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765" windowWidth="14805" windowHeight="735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 name="Risk Weighted Risk Exposures" sheetId="76" state="hidden" r:id="rId17"/>
    <sheet name="Risk Weighted Risk ExposuresT1" sheetId="77" state="hidden" r:id="rId18"/>
    <sheet name="Sheet1" sheetId="78" state="hidden" r:id="rId19"/>
  </sheets>
  <externalReferences>
    <externalReference r:id="rId20"/>
    <externalReference r:id="rId21"/>
    <externalReference r:id="rId22"/>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E105" i="77" l="1"/>
  <c r="D105" i="77"/>
  <c r="C105" i="77"/>
  <c r="G104" i="77"/>
  <c r="G103" i="77"/>
  <c r="G102" i="77"/>
  <c r="G101" i="77"/>
  <c r="G100" i="77"/>
  <c r="G105" i="77" s="1"/>
  <c r="G99" i="77"/>
  <c r="G98" i="77"/>
  <c r="G97" i="77"/>
  <c r="E92" i="77"/>
  <c r="C92" i="77"/>
  <c r="N91" i="77"/>
  <c r="N90" i="77"/>
  <c r="E90" i="77"/>
  <c r="N89" i="77"/>
  <c r="E89" i="77"/>
  <c r="N88" i="77"/>
  <c r="E88" i="77"/>
  <c r="N87" i="77"/>
  <c r="E87" i="77"/>
  <c r="N86" i="77"/>
  <c r="E86" i="77"/>
  <c r="N85" i="77"/>
  <c r="N92" i="77" s="1"/>
  <c r="M85" i="77"/>
  <c r="L85" i="77"/>
  <c r="K85" i="77"/>
  <c r="J85" i="77"/>
  <c r="I85" i="77"/>
  <c r="H85" i="77"/>
  <c r="G85" i="77"/>
  <c r="F85" i="77"/>
  <c r="E85" i="77"/>
  <c r="C85" i="77"/>
  <c r="N84" i="77"/>
  <c r="N83" i="77"/>
  <c r="E83" i="77"/>
  <c r="N82" i="77"/>
  <c r="E82" i="77"/>
  <c r="N81" i="77"/>
  <c r="E81" i="77"/>
  <c r="N80" i="77"/>
  <c r="E80" i="77"/>
  <c r="N79" i="77"/>
  <c r="E79" i="77"/>
  <c r="N78" i="77"/>
  <c r="M78" i="77"/>
  <c r="L78" i="77"/>
  <c r="K78" i="77"/>
  <c r="J78" i="77"/>
  <c r="I78" i="77"/>
  <c r="H78" i="77"/>
  <c r="G78" i="77"/>
  <c r="F78" i="77"/>
  <c r="E78" i="77"/>
  <c r="C78" i="77"/>
  <c r="O73" i="77"/>
  <c r="M73" i="77"/>
  <c r="L73" i="77"/>
  <c r="K73" i="77"/>
  <c r="J73" i="77"/>
  <c r="I73" i="77"/>
  <c r="H73" i="77"/>
  <c r="G73" i="77"/>
  <c r="F73" i="77"/>
  <c r="E73" i="77"/>
  <c r="C73" i="77"/>
  <c r="P72" i="77"/>
  <c r="N72" i="77"/>
  <c r="E72" i="77"/>
  <c r="N71" i="77"/>
  <c r="P71" i="77" s="1"/>
  <c r="E71" i="77"/>
  <c r="P69" i="77"/>
  <c r="N69" i="77"/>
  <c r="E69" i="77"/>
  <c r="P68" i="77"/>
  <c r="N68" i="77"/>
  <c r="E68" i="77"/>
  <c r="P67" i="77"/>
  <c r="N67" i="77"/>
  <c r="E67" i="77"/>
  <c r="N65" i="77"/>
  <c r="P65" i="77" s="1"/>
  <c r="E65" i="77"/>
  <c r="P64" i="77"/>
  <c r="N64" i="77"/>
  <c r="E64" i="77"/>
  <c r="P63" i="77"/>
  <c r="N63" i="77"/>
  <c r="E63" i="77"/>
  <c r="P62" i="77"/>
  <c r="N62" i="77"/>
  <c r="E62" i="77"/>
  <c r="N61" i="77"/>
  <c r="P61" i="77" s="1"/>
  <c r="E61" i="77"/>
  <c r="P59" i="77"/>
  <c r="N59" i="77"/>
  <c r="E59" i="77"/>
  <c r="P58" i="77"/>
  <c r="N58" i="77"/>
  <c r="E58" i="77"/>
  <c r="P57" i="77"/>
  <c r="N57" i="77"/>
  <c r="E57" i="77"/>
  <c r="N56" i="77"/>
  <c r="P56" i="77" s="1"/>
  <c r="E56" i="77"/>
  <c r="P55" i="77"/>
  <c r="N55" i="77"/>
  <c r="E55" i="77"/>
  <c r="P54" i="77"/>
  <c r="N54" i="77"/>
  <c r="E54" i="77"/>
  <c r="P53" i="77"/>
  <c r="N53" i="77"/>
  <c r="E53" i="77"/>
  <c r="N52" i="77"/>
  <c r="N73" i="77" s="1"/>
  <c r="C9" i="77" s="1"/>
  <c r="E52" i="77"/>
  <c r="P51" i="77"/>
  <c r="N51" i="77"/>
  <c r="E51" i="77"/>
  <c r="P50" i="77"/>
  <c r="N50" i="77"/>
  <c r="E50" i="77"/>
  <c r="O44" i="77"/>
  <c r="L44" i="77"/>
  <c r="K44" i="77"/>
  <c r="J44" i="77"/>
  <c r="H44" i="77"/>
  <c r="G44" i="77"/>
  <c r="F44" i="77"/>
  <c r="D44" i="77"/>
  <c r="C44" i="77"/>
  <c r="P43" i="77"/>
  <c r="N43" i="77"/>
  <c r="E43" i="77"/>
  <c r="P42" i="77"/>
  <c r="N42" i="77"/>
  <c r="E42" i="77"/>
  <c r="P41" i="77"/>
  <c r="N41" i="77"/>
  <c r="E41" i="77"/>
  <c r="N40" i="77"/>
  <c r="P40" i="77" s="1"/>
  <c r="E40" i="77"/>
  <c r="P39" i="77"/>
  <c r="N39" i="77"/>
  <c r="E39" i="77"/>
  <c r="P38" i="77"/>
  <c r="N38" i="77"/>
  <c r="E38" i="77"/>
  <c r="P37" i="77"/>
  <c r="N37" i="77"/>
  <c r="E37" i="77"/>
  <c r="N36" i="77"/>
  <c r="P36" i="77" s="1"/>
  <c r="E36" i="77"/>
  <c r="M35" i="77"/>
  <c r="M44" i="77" s="1"/>
  <c r="L35" i="77"/>
  <c r="K35" i="77"/>
  <c r="J35" i="77"/>
  <c r="I35" i="77"/>
  <c r="I44" i="77" s="1"/>
  <c r="H35" i="77"/>
  <c r="G35" i="77"/>
  <c r="F35" i="77"/>
  <c r="E35" i="77"/>
  <c r="E44" i="77" s="1"/>
  <c r="D35" i="77"/>
  <c r="C35" i="77"/>
  <c r="P34" i="77"/>
  <c r="N34" i="77"/>
  <c r="E34" i="77"/>
  <c r="P33" i="77"/>
  <c r="N33" i="77"/>
  <c r="E33" i="77"/>
  <c r="P32" i="77"/>
  <c r="N32" i="77"/>
  <c r="E32" i="77"/>
  <c r="P31" i="77"/>
  <c r="N31" i="77"/>
  <c r="E31" i="77"/>
  <c r="P30" i="77"/>
  <c r="N30" i="77"/>
  <c r="E30" i="77"/>
  <c r="P29" i="77"/>
  <c r="N29" i="77"/>
  <c r="E29" i="77"/>
  <c r="P28" i="77"/>
  <c r="N28" i="77"/>
  <c r="E28" i="77"/>
  <c r="P27" i="77"/>
  <c r="N27" i="77"/>
  <c r="E27" i="77"/>
  <c r="P26" i="77"/>
  <c r="N26" i="77"/>
  <c r="E26" i="77"/>
  <c r="P25" i="77"/>
  <c r="N25" i="77"/>
  <c r="E25" i="77"/>
  <c r="P24" i="77"/>
  <c r="N24" i="77"/>
  <c r="E24" i="77"/>
  <c r="A24" i="77"/>
  <c r="A25" i="77" s="1"/>
  <c r="A26" i="77" s="1"/>
  <c r="A27" i="77" s="1"/>
  <c r="A28" i="77" s="1"/>
  <c r="A29" i="77" s="1"/>
  <c r="A30" i="77" s="1"/>
  <c r="A31" i="77" s="1"/>
  <c r="A32" i="77" s="1"/>
  <c r="A33" i="77" s="1"/>
  <c r="A34" i="77" s="1"/>
  <c r="A35" i="77" s="1"/>
  <c r="P23" i="77"/>
  <c r="N23" i="77"/>
  <c r="E23" i="77"/>
  <c r="A23" i="77"/>
  <c r="P22" i="77"/>
  <c r="N22" i="77"/>
  <c r="E22" i="77"/>
  <c r="E105" i="76"/>
  <c r="D105" i="76"/>
  <c r="C105" i="76"/>
  <c r="G104" i="76"/>
  <c r="G103" i="76"/>
  <c r="G102" i="76"/>
  <c r="G101" i="76"/>
  <c r="G100" i="76"/>
  <c r="G99" i="76"/>
  <c r="G98" i="76"/>
  <c r="G97" i="76"/>
  <c r="G105" i="76" s="1"/>
  <c r="C92" i="76"/>
  <c r="N91" i="76"/>
  <c r="N85" i="76" s="1"/>
  <c r="N92" i="76" s="1"/>
  <c r="N90" i="76"/>
  <c r="E90" i="76"/>
  <c r="N89" i="76"/>
  <c r="E89" i="76"/>
  <c r="N88" i="76"/>
  <c r="E88" i="76"/>
  <c r="N87" i="76"/>
  <c r="E87" i="76"/>
  <c r="N86" i="76"/>
  <c r="E86" i="76"/>
  <c r="M85" i="76"/>
  <c r="L85" i="76"/>
  <c r="K85" i="76"/>
  <c r="J85" i="76"/>
  <c r="I85" i="76"/>
  <c r="H85" i="76"/>
  <c r="G85" i="76"/>
  <c r="F85" i="76"/>
  <c r="E85" i="76"/>
  <c r="C85" i="76"/>
  <c r="N84" i="76"/>
  <c r="N83" i="76"/>
  <c r="E83" i="76"/>
  <c r="N82" i="76"/>
  <c r="E82" i="76"/>
  <c r="N81" i="76"/>
  <c r="E81" i="76"/>
  <c r="N80" i="76"/>
  <c r="E80" i="76"/>
  <c r="N79" i="76"/>
  <c r="E79" i="76"/>
  <c r="E78" i="76" s="1"/>
  <c r="N78" i="76"/>
  <c r="M78" i="76"/>
  <c r="L78" i="76"/>
  <c r="K78" i="76"/>
  <c r="J78" i="76"/>
  <c r="I78" i="76"/>
  <c r="H78" i="76"/>
  <c r="G78" i="76"/>
  <c r="F78" i="76"/>
  <c r="C78" i="76"/>
  <c r="O73" i="76"/>
  <c r="M73" i="76"/>
  <c r="L73" i="76"/>
  <c r="K73" i="76"/>
  <c r="J73" i="76"/>
  <c r="I73" i="76"/>
  <c r="H73" i="76"/>
  <c r="G73" i="76"/>
  <c r="F73" i="76"/>
  <c r="C73" i="76"/>
  <c r="P72" i="76"/>
  <c r="N72" i="76"/>
  <c r="E72" i="76"/>
  <c r="P71" i="76"/>
  <c r="N71" i="76"/>
  <c r="E71" i="76"/>
  <c r="N69" i="76"/>
  <c r="P69" i="76" s="1"/>
  <c r="E69" i="76"/>
  <c r="P68" i="76"/>
  <c r="N68" i="76"/>
  <c r="E68" i="76"/>
  <c r="P67" i="76"/>
  <c r="N67" i="76"/>
  <c r="E67" i="76"/>
  <c r="P65" i="76"/>
  <c r="N65" i="76"/>
  <c r="E65" i="76"/>
  <c r="N64" i="76"/>
  <c r="P64" i="76" s="1"/>
  <c r="E64" i="76"/>
  <c r="P63" i="76"/>
  <c r="N63" i="76"/>
  <c r="E63" i="76"/>
  <c r="P62" i="76"/>
  <c r="N62" i="76"/>
  <c r="E62" i="76"/>
  <c r="P61" i="76"/>
  <c r="N61" i="76"/>
  <c r="E61" i="76"/>
  <c r="P59" i="76"/>
  <c r="N59" i="76"/>
  <c r="E59" i="76"/>
  <c r="P58" i="76"/>
  <c r="N58" i="76"/>
  <c r="E58" i="76"/>
  <c r="P57" i="76"/>
  <c r="N57" i="76"/>
  <c r="E57" i="76"/>
  <c r="P56" i="76"/>
  <c r="N56" i="76"/>
  <c r="E56" i="76"/>
  <c r="P55" i="76"/>
  <c r="N55" i="76"/>
  <c r="E55" i="76"/>
  <c r="P54" i="76"/>
  <c r="N54" i="76"/>
  <c r="E54" i="76"/>
  <c r="P53" i="76"/>
  <c r="N53" i="76"/>
  <c r="E53" i="76"/>
  <c r="P52" i="76"/>
  <c r="N52" i="76"/>
  <c r="E52" i="76"/>
  <c r="P51" i="76"/>
  <c r="P73" i="76" s="1"/>
  <c r="D9" i="76" s="1"/>
  <c r="N51" i="76"/>
  <c r="N73" i="76" s="1"/>
  <c r="C9" i="76" s="1"/>
  <c r="E51" i="76"/>
  <c r="P50" i="76"/>
  <c r="N50" i="76"/>
  <c r="E50" i="76"/>
  <c r="E73" i="76" s="1"/>
  <c r="O44" i="76"/>
  <c r="N44" i="76"/>
  <c r="M44" i="76"/>
  <c r="L44" i="76"/>
  <c r="K44" i="76"/>
  <c r="J44" i="76"/>
  <c r="I44" i="76"/>
  <c r="H44" i="76"/>
  <c r="G44" i="76"/>
  <c r="F44" i="76"/>
  <c r="D44" i="76"/>
  <c r="C44" i="76"/>
  <c r="P43" i="76"/>
  <c r="N43" i="76"/>
  <c r="E43" i="76"/>
  <c r="P42" i="76"/>
  <c r="N42" i="76"/>
  <c r="E42" i="76"/>
  <c r="P41" i="76"/>
  <c r="N41" i="76"/>
  <c r="E41" i="76"/>
  <c r="P40" i="76"/>
  <c r="N40" i="76"/>
  <c r="E40" i="76"/>
  <c r="P39" i="76"/>
  <c r="N39" i="76"/>
  <c r="E39" i="76"/>
  <c r="P38" i="76"/>
  <c r="N38" i="76"/>
  <c r="E38" i="76"/>
  <c r="E35" i="76" s="1"/>
  <c r="P37" i="76"/>
  <c r="N37" i="76"/>
  <c r="E37" i="76"/>
  <c r="P36" i="76"/>
  <c r="N36" i="76"/>
  <c r="E36" i="76"/>
  <c r="P35" i="76"/>
  <c r="N35" i="76"/>
  <c r="M35" i="76"/>
  <c r="L35" i="76"/>
  <c r="K35" i="76"/>
  <c r="J35" i="76"/>
  <c r="I35" i="76"/>
  <c r="H35" i="76"/>
  <c r="G35" i="76"/>
  <c r="F35" i="76"/>
  <c r="D35" i="76"/>
  <c r="C35" i="76"/>
  <c r="P34" i="76"/>
  <c r="N34" i="76"/>
  <c r="E34" i="76"/>
  <c r="P33" i="76"/>
  <c r="N33" i="76"/>
  <c r="E33" i="76"/>
  <c r="P32" i="76"/>
  <c r="N32" i="76"/>
  <c r="E32" i="76"/>
  <c r="P31" i="76"/>
  <c r="N31" i="76"/>
  <c r="E31" i="76"/>
  <c r="P30" i="76"/>
  <c r="N30" i="76"/>
  <c r="E30" i="76"/>
  <c r="P29" i="76"/>
  <c r="N29" i="76"/>
  <c r="E29" i="76"/>
  <c r="P28" i="76"/>
  <c r="N28" i="76"/>
  <c r="E28" i="76"/>
  <c r="P27" i="76"/>
  <c r="N27" i="76"/>
  <c r="E27" i="76"/>
  <c r="P26" i="76"/>
  <c r="N26" i="76"/>
  <c r="E26" i="76"/>
  <c r="P25" i="76"/>
  <c r="N25" i="76"/>
  <c r="E25" i="76"/>
  <c r="P24" i="76"/>
  <c r="N24" i="76"/>
  <c r="E24" i="76"/>
  <c r="P23" i="76"/>
  <c r="N23" i="76"/>
  <c r="E23" i="76"/>
  <c r="A23" i="76"/>
  <c r="A24" i="76" s="1"/>
  <c r="A25" i="76" s="1"/>
  <c r="A26" i="76" s="1"/>
  <c r="A27" i="76" s="1"/>
  <c r="A28" i="76" s="1"/>
  <c r="A29" i="76" s="1"/>
  <c r="A30" i="76" s="1"/>
  <c r="A31" i="76" s="1"/>
  <c r="A32" i="76" s="1"/>
  <c r="A33" i="76" s="1"/>
  <c r="A34" i="76" s="1"/>
  <c r="A35" i="76" s="1"/>
  <c r="P22" i="76"/>
  <c r="P44" i="76" s="1"/>
  <c r="D8" i="76" s="1"/>
  <c r="N22" i="76"/>
  <c r="E22" i="76"/>
  <c r="C8" i="76"/>
  <c r="C15" i="76" s="1"/>
  <c r="C21" i="37"/>
  <c r="M20" i="37"/>
  <c r="L20" i="37"/>
  <c r="K20" i="37"/>
  <c r="J20" i="37"/>
  <c r="I20" i="37"/>
  <c r="H20" i="37"/>
  <c r="G20" i="37"/>
  <c r="F20" i="37"/>
  <c r="C20" i="37"/>
  <c r="M19" i="37"/>
  <c r="L19" i="37"/>
  <c r="K19" i="37"/>
  <c r="J19" i="37"/>
  <c r="I19" i="37"/>
  <c r="H19" i="37"/>
  <c r="G19" i="37"/>
  <c r="F19" i="37"/>
  <c r="E19" i="37"/>
  <c r="C19" i="37"/>
  <c r="M18" i="37"/>
  <c r="L18" i="37"/>
  <c r="K18" i="37"/>
  <c r="J18" i="37"/>
  <c r="I18" i="37"/>
  <c r="H18" i="37"/>
  <c r="G18" i="37"/>
  <c r="F18" i="37"/>
  <c r="E18" i="37"/>
  <c r="C18" i="37"/>
  <c r="M17" i="37"/>
  <c r="L17" i="37"/>
  <c r="K17" i="37"/>
  <c r="J17" i="37"/>
  <c r="I17" i="37"/>
  <c r="H17" i="37"/>
  <c r="G17" i="37"/>
  <c r="F17" i="37"/>
  <c r="E17" i="37"/>
  <c r="C17" i="37"/>
  <c r="M16" i="37"/>
  <c r="L16" i="37"/>
  <c r="K16" i="37"/>
  <c r="J16" i="37"/>
  <c r="I16" i="37"/>
  <c r="H16" i="37"/>
  <c r="G16" i="37"/>
  <c r="F16" i="37"/>
  <c r="E16" i="37"/>
  <c r="C16" i="37"/>
  <c r="M15" i="37"/>
  <c r="L15" i="37"/>
  <c r="K15" i="37"/>
  <c r="J15" i="37"/>
  <c r="I15" i="37"/>
  <c r="H15" i="37"/>
  <c r="G15" i="37"/>
  <c r="F15" i="37"/>
  <c r="E15" i="37"/>
  <c r="C15" i="37"/>
  <c r="E14" i="37"/>
  <c r="C14" i="37"/>
  <c r="C13" i="37"/>
  <c r="M12" i="37"/>
  <c r="L12" i="37"/>
  <c r="K12" i="37"/>
  <c r="J12" i="37"/>
  <c r="I12" i="37"/>
  <c r="H12" i="37"/>
  <c r="G12" i="37"/>
  <c r="F12" i="37"/>
  <c r="E12" i="37"/>
  <c r="C12" i="37"/>
  <c r="M11" i="37"/>
  <c r="L11" i="37"/>
  <c r="K11" i="37"/>
  <c r="J11" i="37"/>
  <c r="I11" i="37"/>
  <c r="H11" i="37"/>
  <c r="G11" i="37"/>
  <c r="F11" i="37"/>
  <c r="E11" i="37"/>
  <c r="C11" i="37"/>
  <c r="M10" i="37"/>
  <c r="L10" i="37"/>
  <c r="K10" i="37"/>
  <c r="J10" i="37"/>
  <c r="I10" i="37"/>
  <c r="H10" i="37"/>
  <c r="G10" i="37"/>
  <c r="F10" i="37"/>
  <c r="E10" i="37"/>
  <c r="C10" i="37"/>
  <c r="M9" i="37"/>
  <c r="L9" i="37"/>
  <c r="K9" i="37"/>
  <c r="J9" i="37"/>
  <c r="I9" i="37"/>
  <c r="H9" i="37"/>
  <c r="G9" i="37"/>
  <c r="F9" i="37"/>
  <c r="E9" i="37"/>
  <c r="C9" i="37"/>
  <c r="M8" i="37"/>
  <c r="L8" i="37"/>
  <c r="K8" i="37"/>
  <c r="J8" i="37"/>
  <c r="I8" i="37"/>
  <c r="H8" i="37"/>
  <c r="G8" i="37"/>
  <c r="F8" i="37"/>
  <c r="E8" i="37"/>
  <c r="C8" i="37"/>
  <c r="E7" i="37"/>
  <c r="E21" i="37" s="1"/>
  <c r="C7" i="37"/>
  <c r="B2" i="37"/>
  <c r="B1" i="37"/>
  <c r="C15" i="36"/>
  <c r="D14" i="36"/>
  <c r="D13" i="36"/>
  <c r="D12" i="36"/>
  <c r="D11" i="36"/>
  <c r="D10" i="36"/>
  <c r="D9" i="36"/>
  <c r="D8" i="36"/>
  <c r="D7" i="36"/>
  <c r="D15" i="36" s="1"/>
  <c r="B2" i="36"/>
  <c r="B1" i="36"/>
  <c r="E22" i="74"/>
  <c r="D22" i="74"/>
  <c r="H20" i="74"/>
  <c r="H19" i="74"/>
  <c r="H18" i="74"/>
  <c r="H17" i="74"/>
  <c r="H16" i="74"/>
  <c r="H15" i="74"/>
  <c r="H14" i="74"/>
  <c r="H13" i="74"/>
  <c r="H12" i="74"/>
  <c r="H11" i="74"/>
  <c r="H10" i="74"/>
  <c r="H9" i="74"/>
  <c r="F22"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21" i="64" s="1"/>
  <c r="V7" i="64"/>
  <c r="B2" i="64"/>
  <c r="B1" i="64"/>
  <c r="R22" i="35"/>
  <c r="P22" i="35"/>
  <c r="N22" i="35"/>
  <c r="L22" i="35"/>
  <c r="J22" i="35"/>
  <c r="H22" i="35"/>
  <c r="F22" i="35"/>
  <c r="D22" i="35"/>
  <c r="S19" i="35"/>
  <c r="S18" i="35"/>
  <c r="S17" i="35"/>
  <c r="S16" i="35"/>
  <c r="S15" i="35"/>
  <c r="S14" i="35"/>
  <c r="S13" i="35"/>
  <c r="S11" i="35"/>
  <c r="K22" i="35"/>
  <c r="C22" i="35"/>
  <c r="M22" i="35"/>
  <c r="G22" i="35"/>
  <c r="S8" i="35"/>
  <c r="B2" i="35"/>
  <c r="B1" i="35"/>
  <c r="B2" i="69"/>
  <c r="B1" i="69"/>
  <c r="C47" i="28"/>
  <c r="C52" i="28" s="1"/>
  <c r="C43" i="28"/>
  <c r="C41" i="28"/>
  <c r="C35" i="28"/>
  <c r="C31" i="28"/>
  <c r="C30" i="28"/>
  <c r="C12" i="28"/>
  <c r="C6" i="28"/>
  <c r="C28" i="28" s="1"/>
  <c r="B2" i="73"/>
  <c r="B1" i="73"/>
  <c r="F21" i="72"/>
  <c r="D21" i="72"/>
  <c r="B2" i="72"/>
  <c r="B1" i="72"/>
  <c r="B2" i="52"/>
  <c r="B1" i="52"/>
  <c r="B2" i="71"/>
  <c r="B1" i="71"/>
  <c r="H53" i="75"/>
  <c r="E53" i="75"/>
  <c r="H52" i="75"/>
  <c r="E52" i="75"/>
  <c r="H51" i="75"/>
  <c r="E51" i="75"/>
  <c r="H50" i="75"/>
  <c r="E50" i="75"/>
  <c r="H49" i="75"/>
  <c r="E49" i="75"/>
  <c r="H48" i="75"/>
  <c r="E48" i="75"/>
  <c r="H47" i="75"/>
  <c r="E47" i="75"/>
  <c r="H46" i="75"/>
  <c r="E46" i="75"/>
  <c r="G45" i="75"/>
  <c r="H45" i="75" s="1"/>
  <c r="F45" i="75"/>
  <c r="E45" i="75"/>
  <c r="D45" i="75"/>
  <c r="C45" i="75"/>
  <c r="H44" i="75"/>
  <c r="E44" i="75"/>
  <c r="H43" i="75"/>
  <c r="E43" i="75"/>
  <c r="H42" i="75"/>
  <c r="E42" i="75"/>
  <c r="H41" i="75"/>
  <c r="E41" i="75"/>
  <c r="G40" i="75"/>
  <c r="H40" i="75" s="1"/>
  <c r="F40" i="75"/>
  <c r="D40" i="75"/>
  <c r="C40" i="75"/>
  <c r="E40" i="75" s="1"/>
  <c r="H39" i="75"/>
  <c r="E39" i="75"/>
  <c r="H38" i="75"/>
  <c r="E38" i="75"/>
  <c r="H37" i="75"/>
  <c r="E37" i="75"/>
  <c r="H36" i="75"/>
  <c r="E36" i="75"/>
  <c r="H35" i="75"/>
  <c r="E35" i="75"/>
  <c r="H34" i="75"/>
  <c r="E34" i="75"/>
  <c r="H33" i="75"/>
  <c r="E33" i="75"/>
  <c r="G32" i="75"/>
  <c r="H32" i="75" s="1"/>
  <c r="F32" i="75"/>
  <c r="D32" i="75"/>
  <c r="C32" i="75"/>
  <c r="E32" i="75" s="1"/>
  <c r="H31" i="75"/>
  <c r="E31" i="75"/>
  <c r="H30" i="75"/>
  <c r="E30" i="75"/>
  <c r="H29" i="75"/>
  <c r="E29" i="75"/>
  <c r="H28" i="75"/>
  <c r="E28" i="75"/>
  <c r="H27" i="75"/>
  <c r="E27" i="75"/>
  <c r="H26" i="75"/>
  <c r="E26" i="75"/>
  <c r="H25" i="75"/>
  <c r="E25" i="75"/>
  <c r="H24" i="75"/>
  <c r="E24" i="75"/>
  <c r="H23" i="75"/>
  <c r="E23" i="75"/>
  <c r="G22" i="75"/>
  <c r="G19" i="75" s="1"/>
  <c r="F22" i="75"/>
  <c r="D22" i="75"/>
  <c r="D19" i="75" s="1"/>
  <c r="C22" i="75"/>
  <c r="H21" i="75"/>
  <c r="E21" i="75"/>
  <c r="H20" i="75"/>
  <c r="E20" i="75"/>
  <c r="F19" i="75"/>
  <c r="H19" i="75" s="1"/>
  <c r="H18" i="75"/>
  <c r="E18" i="75"/>
  <c r="H17" i="75"/>
  <c r="E17" i="75"/>
  <c r="H16" i="75"/>
  <c r="G16" i="75"/>
  <c r="F16" i="75"/>
  <c r="D16" i="75"/>
  <c r="C16" i="75"/>
  <c r="E16" i="75" s="1"/>
  <c r="H15" i="75"/>
  <c r="E15" i="75"/>
  <c r="H14" i="75"/>
  <c r="E14" i="75"/>
  <c r="G13" i="75"/>
  <c r="F13" i="75"/>
  <c r="H13" i="75" s="1"/>
  <c r="E13" i="75"/>
  <c r="D13" i="75"/>
  <c r="C13" i="75"/>
  <c r="H12" i="75"/>
  <c r="E12" i="75"/>
  <c r="H11" i="75"/>
  <c r="E11" i="75"/>
  <c r="H10" i="75"/>
  <c r="E10" i="75"/>
  <c r="H9" i="75"/>
  <c r="E9" i="75"/>
  <c r="H8" i="75"/>
  <c r="E8" i="75"/>
  <c r="G7" i="75"/>
  <c r="F7" i="75"/>
  <c r="H7" i="75" s="1"/>
  <c r="E7" i="75"/>
  <c r="D7" i="75"/>
  <c r="C7" i="75"/>
  <c r="B2" i="75"/>
  <c r="B1" i="75"/>
  <c r="H66" i="53"/>
  <c r="E66" i="53"/>
  <c r="H64" i="53"/>
  <c r="E64" i="53"/>
  <c r="G61" i="53"/>
  <c r="H61" i="53" s="1"/>
  <c r="F61" i="53"/>
  <c r="D61" i="53"/>
  <c r="C61" i="53"/>
  <c r="H60" i="53"/>
  <c r="E60" i="53"/>
  <c r="H59" i="53"/>
  <c r="E59" i="53"/>
  <c r="H58" i="53"/>
  <c r="E58" i="53"/>
  <c r="F54" i="53"/>
  <c r="G53" i="53"/>
  <c r="H53" i="53" s="1"/>
  <c r="F53" i="53"/>
  <c r="D53" i="53"/>
  <c r="C53" i="53"/>
  <c r="E53" i="53" s="1"/>
  <c r="H52" i="53"/>
  <c r="E52" i="53"/>
  <c r="H51" i="53"/>
  <c r="E51" i="53"/>
  <c r="H50" i="53"/>
  <c r="E50" i="53"/>
  <c r="H49" i="53"/>
  <c r="E49" i="53"/>
  <c r="H48" i="53"/>
  <c r="E48" i="53"/>
  <c r="H47" i="53"/>
  <c r="E47" i="53"/>
  <c r="F45" i="53"/>
  <c r="C45" i="53"/>
  <c r="C54" i="53" s="1"/>
  <c r="H44" i="53"/>
  <c r="E44" i="53"/>
  <c r="H43" i="53"/>
  <c r="E43" i="53"/>
  <c r="H42" i="53"/>
  <c r="E42" i="53"/>
  <c r="H41" i="53"/>
  <c r="E41" i="53"/>
  <c r="H40" i="53"/>
  <c r="E40" i="53"/>
  <c r="H39" i="53"/>
  <c r="E39" i="53"/>
  <c r="H38" i="53"/>
  <c r="E38" i="53"/>
  <c r="H37" i="53"/>
  <c r="E37" i="53"/>
  <c r="H36" i="53"/>
  <c r="E36" i="53"/>
  <c r="H35" i="53"/>
  <c r="E35" i="53"/>
  <c r="G34" i="53"/>
  <c r="G45" i="53" s="1"/>
  <c r="G54" i="53" s="1"/>
  <c r="F34" i="53"/>
  <c r="E34" i="53"/>
  <c r="D34" i="53"/>
  <c r="D45" i="53" s="1"/>
  <c r="C34" i="53"/>
  <c r="F31" i="53"/>
  <c r="G30" i="53"/>
  <c r="H30" i="53" s="1"/>
  <c r="F30" i="53"/>
  <c r="D30" i="53"/>
  <c r="C30" i="53"/>
  <c r="E30" i="53" s="1"/>
  <c r="H29" i="53"/>
  <c r="E29" i="53"/>
  <c r="H28" i="53"/>
  <c r="E28" i="53"/>
  <c r="H27" i="53"/>
  <c r="E27" i="53"/>
  <c r="H26" i="53"/>
  <c r="E26" i="53"/>
  <c r="H25" i="53"/>
  <c r="E25" i="53"/>
  <c r="H24" i="53"/>
  <c r="E24" i="53"/>
  <c r="F22" i="53"/>
  <c r="C22" i="53"/>
  <c r="C31" i="53" s="1"/>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G56" i="53" s="1"/>
  <c r="G63" i="53" s="1"/>
  <c r="G65" i="53" s="1"/>
  <c r="G67" i="53" s="1"/>
  <c r="F9" i="53"/>
  <c r="E9" i="53"/>
  <c r="D9" i="53"/>
  <c r="D22" i="53" s="1"/>
  <c r="C9" i="53"/>
  <c r="H8" i="53"/>
  <c r="E8" i="53"/>
  <c r="D41" i="62"/>
  <c r="G40" i="62"/>
  <c r="G41" i="62" s="1"/>
  <c r="F40" i="62"/>
  <c r="D40" i="62"/>
  <c r="C40" i="62"/>
  <c r="H39" i="62"/>
  <c r="E39" i="62"/>
  <c r="H38" i="62"/>
  <c r="E38" i="62"/>
  <c r="H37" i="62"/>
  <c r="E37" i="62"/>
  <c r="H36" i="62"/>
  <c r="E36" i="62"/>
  <c r="H35" i="62"/>
  <c r="E35" i="62"/>
  <c r="H34" i="62"/>
  <c r="E34" i="62"/>
  <c r="H33" i="62"/>
  <c r="H40" i="62" s="1"/>
  <c r="E33" i="62"/>
  <c r="G31" i="62"/>
  <c r="F31" i="62"/>
  <c r="E31" i="62"/>
  <c r="D31" i="62"/>
  <c r="C31" i="62"/>
  <c r="C41" i="62" s="1"/>
  <c r="E41" i="62" s="1"/>
  <c r="H30" i="62"/>
  <c r="E30" i="62"/>
  <c r="H29" i="62"/>
  <c r="E29" i="62"/>
  <c r="H28" i="62"/>
  <c r="E28" i="62"/>
  <c r="H27" i="62"/>
  <c r="E27" i="62"/>
  <c r="H26" i="62"/>
  <c r="E26" i="62"/>
  <c r="H25" i="62"/>
  <c r="E25" i="62"/>
  <c r="H24" i="62"/>
  <c r="E24" i="62"/>
  <c r="H23" i="62"/>
  <c r="E23" i="62"/>
  <c r="H22" i="62"/>
  <c r="E22" i="62"/>
  <c r="G20" i="62"/>
  <c r="C20" i="62"/>
  <c r="E20" i="62" s="1"/>
  <c r="H19" i="62"/>
  <c r="E19" i="62"/>
  <c r="H18" i="62"/>
  <c r="E18" i="62"/>
  <c r="H17" i="62"/>
  <c r="E17" i="62"/>
  <c r="H16" i="62"/>
  <c r="E16" i="62"/>
  <c r="H15" i="62"/>
  <c r="E15" i="62"/>
  <c r="G14" i="62"/>
  <c r="F14" i="62"/>
  <c r="H14" i="62" s="1"/>
  <c r="E14" i="62"/>
  <c r="D14" i="62"/>
  <c r="D20" i="62" s="1"/>
  <c r="C14" i="62"/>
  <c r="H13" i="62"/>
  <c r="E13" i="62"/>
  <c r="H12" i="62"/>
  <c r="E12" i="62"/>
  <c r="H11" i="62"/>
  <c r="E11" i="62"/>
  <c r="H10" i="62"/>
  <c r="E10" i="62"/>
  <c r="H9" i="62"/>
  <c r="E9" i="62"/>
  <c r="H8" i="62"/>
  <c r="E8" i="62"/>
  <c r="H7" i="62"/>
  <c r="E7" i="62"/>
  <c r="B2" i="6"/>
  <c r="B1" i="6"/>
  <c r="C56" i="53" l="1"/>
  <c r="C45" i="69"/>
  <c r="G5" i="6"/>
  <c r="C5" i="6"/>
  <c r="C5" i="71" s="1"/>
  <c r="D5" i="6"/>
  <c r="D5" i="71" s="1"/>
  <c r="F41" i="62"/>
  <c r="H41" i="62" s="1"/>
  <c r="H31" i="62"/>
  <c r="F5" i="6"/>
  <c r="F20" i="62"/>
  <c r="H20" i="62" s="1"/>
  <c r="D31" i="53"/>
  <c r="E31" i="53" s="1"/>
  <c r="H9" i="53"/>
  <c r="D54" i="53"/>
  <c r="E54" i="53" s="1"/>
  <c r="H34" i="53"/>
  <c r="E61" i="53"/>
  <c r="C19" i="75"/>
  <c r="E19" i="75" s="1"/>
  <c r="E22" i="75"/>
  <c r="H22" i="75"/>
  <c r="I22" i="35"/>
  <c r="Q22" i="35"/>
  <c r="C11" i="77"/>
  <c r="D11" i="77"/>
  <c r="F56" i="53"/>
  <c r="H31" i="53"/>
  <c r="H54" i="53"/>
  <c r="C15" i="69"/>
  <c r="C25" i="69" s="1"/>
  <c r="S10" i="35"/>
  <c r="D10" i="76"/>
  <c r="C10" i="76"/>
  <c r="C37" i="69"/>
  <c r="E22" i="53"/>
  <c r="E45" i="53"/>
  <c r="S9" i="35"/>
  <c r="S22" i="35" s="1"/>
  <c r="E22" i="35"/>
  <c r="G22" i="74"/>
  <c r="H8" i="74"/>
  <c r="D15" i="76"/>
  <c r="D7" i="76"/>
  <c r="D14" i="76" s="1"/>
  <c r="S21" i="35"/>
  <c r="E44" i="76"/>
  <c r="C22" i="74"/>
  <c r="E92" i="76"/>
  <c r="E40" i="62"/>
  <c r="E5" i="6"/>
  <c r="H22" i="53"/>
  <c r="H45" i="53"/>
  <c r="O22" i="35"/>
  <c r="S12" i="35"/>
  <c r="S20" i="35"/>
  <c r="D11" i="76"/>
  <c r="C11" i="76"/>
  <c r="P35" i="77"/>
  <c r="P44" i="77" s="1"/>
  <c r="D8" i="77" s="1"/>
  <c r="D10" i="77"/>
  <c r="C10" i="77"/>
  <c r="N35" i="77"/>
  <c r="N44" i="77" s="1"/>
  <c r="C8" i="77" s="1"/>
  <c r="P52" i="77"/>
  <c r="P73" i="77" s="1"/>
  <c r="D9" i="77" s="1"/>
  <c r="C6" i="71" l="1"/>
  <c r="C14" i="71" s="1"/>
  <c r="D15" i="77"/>
  <c r="D7" i="77"/>
  <c r="D14" i="77" s="1"/>
  <c r="H22" i="74"/>
  <c r="F63" i="53"/>
  <c r="H56" i="53"/>
  <c r="H21" i="74"/>
  <c r="C63" i="53"/>
  <c r="E56" i="53"/>
  <c r="C15" i="77"/>
  <c r="C7" i="77"/>
  <c r="C14" i="77" s="1"/>
  <c r="D6" i="71"/>
  <c r="D14" i="71" s="1"/>
  <c r="C7" i="76"/>
  <c r="C14" i="76" s="1"/>
  <c r="C21" i="72"/>
  <c r="D56" i="53"/>
  <c r="D63" i="53" s="1"/>
  <c r="D65" i="53" s="1"/>
  <c r="D67" i="53" s="1"/>
  <c r="H63" i="53" l="1"/>
  <c r="F65" i="53"/>
  <c r="C65" i="53"/>
  <c r="E63" i="53"/>
  <c r="E21" i="72"/>
  <c r="G21" i="72"/>
  <c r="C5" i="73" s="1"/>
  <c r="C8" i="73" s="1"/>
  <c r="C13" i="73" s="1"/>
  <c r="C67" i="53" l="1"/>
  <c r="E67" i="53" s="1"/>
  <c r="E65" i="53"/>
  <c r="H65" i="53"/>
  <c r="F67" i="53"/>
  <c r="H67" i="53" s="1"/>
</calcChain>
</file>

<file path=xl/sharedStrings.xml><?xml version="1.0" encoding="utf-8"?>
<sst xmlns="http://schemas.openxmlformats.org/spreadsheetml/2006/main" count="862" uniqueCount="475">
  <si>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</si>
  <si>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</si>
  <si>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</si>
  <si>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</si>
  <si>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</si>
  <si>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</si>
  <si>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</si>
  <si>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</si>
  <si>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</si>
  <si>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</si>
  <si>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</si>
  <si>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</si>
  <si>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</si>
  <si>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</si>
  <si>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</si>
  <si>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</si>
  <si>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</si>
  <si>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</si>
  <si>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</si>
  <si>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</si>
  <si>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</si>
  <si>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</si>
  <si>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</si>
  <si>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</si>
  <si>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</si>
  <si>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</si>
  <si>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</si>
  <si>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</si>
  <si>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</si>
  <si>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</si>
  <si>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</si>
  <si>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</si>
  <si>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</si>
  <si>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</si>
  <si>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</si>
  <si>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</si>
  <si>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</si>
  <si>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</si>
  <si>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</si>
  <si>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</si>
  <si>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</si>
  <si>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</si>
  <si>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</si>
  <si>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</si>
  <si>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</si>
  <si>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</si>
  <si>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</si>
  <si>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</si>
  <si>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</si>
  <si>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</si>
  <si>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</si>
  <si>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</si>
  <si>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</si>
  <si>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</si>
  <si>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</si>
  <si>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</si>
  <si>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</si>
  <si>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</si>
  <si>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</si>
  <si>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</si>
  <si>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</si>
  <si>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</si>
  <si>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</si>
  <si>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</si>
  <si>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</si>
  <si>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</si>
  <si>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</si>
  <si>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</si>
  <si>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</si>
  <si>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</si>
  <si>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</si>
  <si>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</si>
  <si>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</si>
  <si>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</si>
  <si>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</si>
  <si>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</si>
  <si>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</si>
  <si>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</si>
  <si>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</si>
  <si>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</si>
  <si>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</si>
  <si>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</si>
  <si>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</si>
  <si>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</si>
  <si>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</si>
  <si>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</si>
  <si>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</si>
  <si>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</si>
  <si>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</si>
  <si>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</si>
  <si>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</si>
  <si>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</si>
  <si>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</si>
  <si>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</si>
  <si>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</si>
  <si>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</si>
  <si>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</si>
  <si>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</si>
  <si>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</si>
  <si>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</si>
  <si>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</si>
  <si>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</si>
  <si>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</si>
  <si>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</si>
  <si>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</si>
  <si>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</si>
  <si>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</si>
  <si>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</si>
  <si>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</si>
  <si>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</si>
  <si>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</si>
  <si>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</si>
  <si>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</si>
  <si>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</si>
  <si>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</si>
  <si>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</si>
  <si>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</si>
  <si>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</si>
  <si>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</si>
  <si>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</si>
  <si>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</si>
  <si>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</si>
  <si>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</si>
  <si>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</si>
  <si>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</si>
  <si>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</si>
  <si>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</si>
  <si>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</si>
  <si>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</si>
  <si>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</si>
  <si>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</si>
  <si>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</si>
  <si>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</si>
  <si>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</si>
  <si>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</si>
  <si>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</si>
  <si>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</si>
  <si>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</si>
  <si>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</si>
  <si>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</si>
  <si>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</si>
  <si>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</si>
  <si>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</si>
  <si>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</si>
  <si>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</si>
  <si>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</si>
  <si>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</si>
  <si>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</si>
  <si>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</si>
  <si>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</si>
  <si>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</si>
  <si>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</si>
  <si>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</si>
  <si>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</si>
  <si>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</si>
  <si>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</si>
  <si>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</si>
  <si>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</si>
  <si>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</si>
  <si>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</si>
  <si>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</si>
  <si>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</si>
  <si>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</si>
  <si>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</si>
  <si>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</si>
  <si>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</si>
  <si>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</si>
  <si>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</si>
  <si>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</si>
  <si>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</si>
  <si>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</si>
  <si>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</si>
  <si>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</si>
  <si>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</si>
  <si>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</si>
  <si>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</si>
  <si>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</si>
  <si>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</si>
  <si>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</si>
  <si>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</si>
  <si>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</si>
  <si>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</si>
  <si>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</si>
  <si>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</si>
  <si>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</si>
  <si>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</si>
  <si>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</si>
  <si>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</si>
  <si>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</si>
  <si>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</si>
  <si>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</si>
  <si>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</si>
  <si>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</si>
  <si>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</si>
  <si>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</si>
  <si>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</si>
  <si>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</si>
  <si>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</si>
  <si>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</si>
  <si>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</si>
  <si>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</si>
  <si>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</si>
  <si>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</si>
  <si>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</si>
  <si>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</si>
  <si>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</si>
  <si>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</si>
  <si>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</si>
  <si>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</si>
  <si>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</si>
  <si>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</si>
  <si>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</si>
  <si>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</si>
  <si>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</si>
  <si>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</si>
  <si>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</si>
  <si>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</si>
  <si>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</si>
  <si>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</si>
  <si>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</si>
  <si>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</si>
  <si>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</si>
  <si>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</si>
  <si>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</si>
  <si>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</si>
  <si>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</si>
  <si>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</si>
  <si>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</si>
  <si>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</si>
  <si>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</si>
  <si>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</si>
  <si>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</si>
  <si>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</si>
  <si>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</si>
  <si>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</si>
  <si>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</si>
  <si>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</si>
  <si>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</si>
  <si>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</si>
  <si>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</si>
  <si>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</si>
  <si>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</si>
  <si>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</si>
  <si>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</si>
  <si>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</si>
  <si>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</si>
  <si>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</si>
  <si>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</si>
  <si>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</si>
  <si>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</si>
  <si>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</si>
  <si>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</si>
  <si>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</si>
  <si>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</si>
  <si>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</si>
  <si>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</si>
  <si>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</si>
  <si>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</si>
  <si>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</si>
  <si>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</si>
  <si>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</si>
  <si>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</si>
  <si>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</si>
  <si>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</si>
  <si>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</si>
  <si>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</si>
  <si>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</si>
  <si>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</si>
  <si>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</si>
  <si>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</si>
  <si>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</si>
  <si>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</si>
  <si>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</si>
  <si>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</si>
  <si>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</si>
  <si>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</si>
  <si>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</si>
  <si>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</si>
  <si>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</si>
  <si>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</si>
  <si>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</si>
  <si>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</si>
  <si>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</si>
  <si>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</si>
  <si>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</si>
  <si>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</si>
  <si>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</si>
  <si>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</si>
  <si>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</si>
  <si>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</si>
  <si>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</si>
  <si>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</si>
  <si>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</si>
  <si>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</si>
  <si>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</si>
  <si>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</si>
  <si>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</si>
  <si>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</si>
  <si>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</si>
  <si>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</si>
  <si>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</si>
  <si>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</si>
  <si>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</si>
  <si>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</si>
  <si>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</si>
  <si>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</si>
  <si>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</si>
  <si>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</si>
  <si>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</si>
  <si>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</si>
  <si>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</si>
  <si>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</si>
  <si>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</si>
  <si>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</si>
  <si>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</si>
  <si>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</si>
  <si>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</si>
  <si>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</si>
  <si>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</si>
  <si>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</si>
  <si>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</si>
  <si>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</si>
  <si>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</si>
  <si>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</si>
  <si>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</si>
  <si>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</si>
  <si>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</si>
  <si>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</si>
  <si>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</si>
  <si>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</si>
  <si>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</si>
  <si>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</si>
  <si>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</si>
  <si>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</si>
  <si>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</si>
  <si>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</si>
  <si>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</si>
  <si>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</si>
  <si>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</si>
  <si>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</si>
  <si>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</si>
  <si>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</si>
  <si>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</si>
  <si>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</si>
  <si>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</si>
  <si>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</si>
  <si>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</si>
  <si>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</si>
  <si>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</si>
  <si>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</si>
  <si>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</si>
  <si>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</si>
  <si>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</si>
  <si>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</si>
  <si>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</si>
  <si>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</si>
  <si>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</si>
  <si>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</si>
  <si>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</si>
  <si>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</si>
  <si>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</si>
  <si>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</si>
  <si>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</si>
  <si>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</si>
  <si>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</si>
  <si>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</si>
  <si>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</si>
  <si>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</si>
  <si>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</si>
  <si>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</si>
  <si>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</si>
  <si>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</si>
  <si>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</si>
  <si>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</si>
  <si>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</si>
  <si>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</si>
  <si>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</si>
  <si>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</si>
  <si>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</si>
  <si>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</si>
  <si>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</si>
  <si>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</si>
  <si>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</si>
  <si>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</si>
  <si>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</si>
  <si>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</si>
  <si>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</si>
  <si>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</si>
  <si>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</si>
  <si>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</si>
  <si>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</si>
  <si>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</si>
  <si>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</si>
  <si>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</si>
  <si>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</si>
  <si>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</si>
  <si>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</si>
  <si>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r>
      <t>სს</t>
    </r>
    <r>
      <rPr>
        <sz val="12"/>
        <color theme="1"/>
        <rFont val="Segoe UI"/>
        <family val="2"/>
      </rPr>
      <t xml:space="preserve"> " </t>
    </r>
    <r>
      <rPr>
        <sz val="12"/>
        <color theme="1"/>
        <rFont val="Sylfaen"/>
        <family val="1"/>
      </rPr>
      <t>პაშა</t>
    </r>
    <r>
      <rPr>
        <sz val="12"/>
        <color theme="1"/>
        <rFont val="Segoe UI"/>
        <family val="2"/>
      </rPr>
      <t xml:space="preserve"> </t>
    </r>
    <r>
      <rPr>
        <sz val="12"/>
        <color theme="1"/>
        <rFont val="Sylfaen"/>
        <family val="1"/>
      </rPr>
      <t>ბანკი</t>
    </r>
    <r>
      <rPr>
        <sz val="12"/>
        <color theme="1"/>
        <rFont val="Segoe UI"/>
        <family val="2"/>
      </rPr>
      <t xml:space="preserve"> </t>
    </r>
    <r>
      <rPr>
        <sz val="12"/>
        <color theme="1"/>
        <rFont val="Sylfaen"/>
        <family val="1"/>
      </rPr>
      <t>საქართველო</t>
    </r>
    <r>
      <rPr>
        <sz val="12"/>
        <color theme="1"/>
        <rFont val="Segoe UI"/>
        <family val="2"/>
      </rPr>
      <t>"</t>
    </r>
  </si>
  <si>
    <t>ფარიდ მამმადოვი</t>
  </si>
  <si>
    <t>შაჰინ მამმადოვი</t>
  </si>
  <si>
    <t>www.pashabank.ge</t>
  </si>
  <si>
    <t>მირ ჯამალ პაშაევი</t>
  </si>
  <si>
    <t>ტალეჰ კაზიმოვი</t>
  </si>
  <si>
    <t>ჯალალ გასიმოვი</t>
  </si>
  <si>
    <t>ჰიქმეთ ჯენქ აინეჰენი</t>
  </si>
  <si>
    <t>ჩინგიზ აბდულაევი</t>
  </si>
  <si>
    <t>გიორგი ჯაფარიძე</t>
  </si>
  <si>
    <t>ღსს "პაშა ბანკი" (PASHA Bank OJSC) -</t>
  </si>
  <si>
    <t xml:space="preserve">არიფ პაშაევი </t>
  </si>
  <si>
    <t xml:space="preserve">არზუ ალიევა </t>
  </si>
  <si>
    <t xml:space="preserve">ლეილა ალიევა </t>
  </si>
  <si>
    <t>ცხრილი 9 (Capital), N2</t>
  </si>
  <si>
    <t>ცხრილი 9 (Capital), N6</t>
  </si>
  <si>
    <t>ცხრილი 9 (Capital), N39</t>
  </si>
  <si>
    <t>6.1.1</t>
  </si>
  <si>
    <t xml:space="preserve">მათ შორის  დარეზერვებული სესხი </t>
  </si>
  <si>
    <t>ცხრილი 9 (Capital), N17</t>
  </si>
  <si>
    <t>ბანკი</t>
  </si>
  <si>
    <t>თარიღი</t>
  </si>
  <si>
    <t>რისკის მიხედვით შეწონილი რისკის პოზიციები საკრედიტო რისკის მიტიგაციამდე</t>
  </si>
  <si>
    <t>რისკის მიხედვით შეწონილი რისკის პოზიციები საკრედიტო რისკის მიტიგაციის ეფექტის გათვალისწინებით</t>
  </si>
  <si>
    <t>კონტრაგენტთან დაკავშირებული საკრედიტო რისკი</t>
  </si>
  <si>
    <t>საბაზრო რისკის მიხედვით  შეწონილი რისკის პოზიციები</t>
  </si>
  <si>
    <t>სულ რისკის მიხედვით შეწონილი რისკის პოზიციები სავალუტო კურსის ცვლილებით გამოწვეული და კონტრაგენტთან დაკავშირებული საკრედიტო რისკის მიხედვით შეწონილი რისკის პოზიციების გარდა</t>
  </si>
  <si>
    <t>1. საკრედიტო რისკის მიხედვით შეწონილი რისკის პოზიციები</t>
  </si>
  <si>
    <t>1. 1 საბალანსო ელემენტები</t>
  </si>
  <si>
    <t>საბალანსო ღირებულება</t>
  </si>
  <si>
    <t>ღირებულება, რომელიც არ ექვემდებარება შეწონვას</t>
  </si>
  <si>
    <t>რისკის პოზიციების ღირებულება</t>
  </si>
  <si>
    <t>საკრედიტო რისკის მიხედვით შეწონილი რისკის პოზიციები საკრედიტო რისკის მიტიგაციის ეფექტის გათვალისწინებით</t>
  </si>
  <si>
    <t>სხვა ერთეულები:</t>
  </si>
  <si>
    <t xml:space="preserve">ძირითადი საშუალებები </t>
  </si>
  <si>
    <t>ფული და მისი ექვივალენტები კომერციულ ბანკში</t>
  </si>
  <si>
    <t>ნაღდი ფული სხვა სახით (შეგროვების პროცესში)</t>
  </si>
  <si>
    <t>მნიშვნელოვანი ინვესტიციები კომერციულ ბანკებში, სადაზღვევო ორგანიზაციებსა და სხვა საფინანსო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t>
  </si>
  <si>
    <t>ინვესტიციები კომერციულ ბანკებში, სადაზღვევო ორგანიზაციებსა და სხვა საფინანსო ინსტიტუტებში, სადაც ინვესტიცია მოცემული კომერციული ბანკის, სადაზღვევო ორგანიზაციებისა თუ სხვა საფინანსო ინსტიტუტის კაპიტალის 10%-ზე ნაკლებია და რომლებიც არ გამოიქვითება ძირითადი პირველადი კაპიტალიდან</t>
  </si>
  <si>
    <t>აქციების ფლობა და/ან სხვა სახით 10%–ზე ნაკლები წილით მონაწილეობა კომერციული დაწესებულებების სააქციო კაპიტალში, რომლებიც არ გამოიქვითება ძირითადი პირველადი კაპიტალიდან</t>
  </si>
  <si>
    <t>კომერციული ბანკის მიერ მფლობელოში არსებული ოქროს ზოდი</t>
  </si>
  <si>
    <t>1.2 გარესაბალანსო ელემენტები</t>
  </si>
  <si>
    <t>ნომინალური ღირებულება</t>
  </si>
  <si>
    <t>საკრედიტო რისკის მიხედვით შეწონილი რისკის პოზიციების ღირებულება საკრედიტო რისკის მიტიგაციამდე</t>
  </si>
  <si>
    <t>საკრედიტო რისკის მიხედვით შეწონილი რისკის პოზიციების ღირებულება საკრედიტო რისკის მიტიგაციის ეფექტის გათვალისწინებით</t>
  </si>
  <si>
    <t>მაღალი რისკი</t>
  </si>
  <si>
    <t>კრედიტის მახასიათებლების მქონე გარანტიები</t>
  </si>
  <si>
    <t>საკრედიტო დერივატივები</t>
  </si>
  <si>
    <t>აქცეფტები</t>
  </si>
  <si>
    <t>ინდოსამენტები ჩეკებზე, რომლებზეც მითითებული არ არის სხვა კომერციული ბანკის დასახელება</t>
  </si>
  <si>
    <t>ტრანზაქციები რეგრესის უფლებით</t>
  </si>
  <si>
    <t>კრედიტის მახასიათებლების მქონე შეუქცევადი სთენდბაი აკრედიტივები</t>
  </si>
  <si>
    <t>ფორვარდული ნასყიდობის ხელშეკრულებით შეძენილი აქტივები</t>
  </si>
  <si>
    <t>ნაწილობრივ განაღდებული აქციებისა და ფასიანი ქაღალდების გადაუხდელი ნაწილი</t>
  </si>
  <si>
    <t>აქტივების გაყიდვისა და გამოსყიდვის ხელშეკრულებები</t>
  </si>
  <si>
    <t>სხვა მაღალი რისკის  მქონე გარესაბალანსო ელემენტები, მათ შორის,  სებ–ის მიერ დადგენილი</t>
  </si>
  <si>
    <t>საშუალო რისკი:</t>
  </si>
  <si>
    <t xml:space="preserve"> გაცემული და დამტკიცებული დოკუმენტური აკრედიტივი</t>
  </si>
  <si>
    <t>გარანტიები (შეპირებები) და ზარალის კომპენსაცია (ტენდერზე დამოკიდებული, შედეგებზე დამოკიდებული) და კრედიტის შემცვლელთა მახასიათებლების არმქონე გარანტიები</t>
  </si>
  <si>
    <t>კრედიტის შემცვლელთა მახასიათებლების არმქონე შეუქცევადი სთენდბაი აკრედიტივები</t>
  </si>
  <si>
    <t>ერთ წელზე მეტი თავდაპირველი ვადიანობის მქონე აუთვისებელი საკრედიტო ინსტრუმენტები (ხელშეკრულებები სესხის გაცემაზე, ფასიანი ქაღალდების შესყიდვაზე, გარანტიებისა და აქცეპტების გაცემაზე)</t>
  </si>
  <si>
    <t>სხვა საშუალო რისკის  გარესაბალანსო ელემენტები, მათ შორის,  სებ–ის მიერ დადგენილი</t>
  </si>
  <si>
    <t>საშუალო/დაბალი რისკი:</t>
  </si>
  <si>
    <t>დოკუმენტური აკრედიტივები, რომელთა უზრუნველყოფას წარმოადგენს  გადასაზიდი საქონელი და სხვა თვითლიკვიდირებადი  ტრანზაქციები</t>
  </si>
  <si>
    <t>ერთი და ერთ წელზე ნაკლები თავდაპირველი ვადიანობის მქონე აუთვისებელი  საკრედიტო ინსტრუმენტები (ხელშეკრულებები სესხის გაცემაზე, ფასიანი ქაღალდების  შესყიდვაზე, გარანტიებისა და აქცეპტების გაცემაზე), რომელთა ნებისმიერ დროს  უპირობოდ გაუქმება შეტყობინების გარეშე შეუძლებელია ან რომლებიც მსესხებლის  საკრედიტო მდგომარეობის გაუარესების შემთხვევაში რეალურად ვერ  უზრუნველყოფს მისი ავტომატური გაუქმების შესაძლებლობას</t>
  </si>
  <si>
    <t>სხვა საშუალო/დაბალი რისკის  გარესაბალანსო ელემენტები, მათ შორის,  სებ–ის  მიერ დადგენილი</t>
  </si>
  <si>
    <t>დაბალი რისკი:</t>
  </si>
  <si>
    <t>აუთვისებელი საკრედიტო ინსტრუმენტები (ხელშეკრულებები სესხის გაცემაზე, ფასიანი ქაღალდების შესყიდვაზე, გარანტიებისა და აქცეპტების გაცემაზე), რომლებიც შეიძლება  უპირობოდ გაუქმდეს ნებისმიერ დროს შეტყობინების გარეშე ან რომლებიც მსესხებლის საკრედიტო მდგომარეობის გაუარესების შემთხვევაში რეალურად უზრუნველყოფს მისი ავტომატურად გაუქმების შესაძლებლობას. საცალო საკრედიტო ხაზები შეიძლება ჩაითვალოს უპირობოდ გაუქმების შესაძლებლობის მქონედ თუ ხელშეკრულების სრულად გაუქმების უფლების პირობის ხელშეკრულებაში ჩადება ნებადართულია მომხმარებელთა დაცვისა და სხვა შესაბამისი კანონმდებლობით</t>
  </si>
  <si>
    <t>სხვა დაბალი რისკის  გარესაბალანსო ელემენტები, მათ შორის,  სებ–ის მიერ დადგენილი</t>
  </si>
  <si>
    <t>1.3 კონტრაგენტთან დაკავშირებული საკრედიტო რისკის მიხედვით შეწონილი რისკის პოზიციები</t>
  </si>
  <si>
    <t xml:space="preserve">ნომინალური ღირებულება </t>
  </si>
  <si>
    <t>1.4  სავალუტო კურსის ცვლილებით გამოწვეული საკრედიტო რისკის მიხედვით შეწონილი რისკის პოზიციები</t>
  </si>
  <si>
    <t>მოთხოვნები, რომელთა დაფარვის წყარო დენომინირებულია ,რისკის პოზოცოოსგან განსხვავებულ ვალუტაში</t>
  </si>
  <si>
    <t>რისკის პოზიციების ღირებულება, რომლებიც ექვემდებარება სავალუტო კურსის ცვლილებით გამოწვეული რისკის მიხედვით შეწონვას</t>
  </si>
  <si>
    <t>რისკის პოზიციების ღირებულება საკრედიტო რისკის მიტიგაციის ეფექტის გათვალისწინებით</t>
  </si>
  <si>
    <t>რისკის წონა</t>
  </si>
  <si>
    <t>სს " პაშა ბანკი საქართველო"</t>
  </si>
  <si>
    <t>30.09.2017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</si>
</sst>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0"/>
    <numFmt numFmtId="195" formatCode="#,##0.0000000000000"/>
    <numFmt numFmtId="196" formatCode="#,##0.00000000000"/>
    <numFmt numFmtId="197" formatCode="m/d/yy;@"/>
    <numFmt numFmtId="198" formatCode="#,##0.0000000000"/>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name val="Helv"/>
    </font>
    <font>
      <sz val="1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2"/>
      <color theme="1"/>
      <name val="Sylfaen"/>
      <family val="1"/>
    </font>
    <font>
      <sz val="12"/>
      <color theme="1"/>
      <name val="Segoe UI"/>
      <family val="2"/>
    </font>
    <font>
      <sz val="10"/>
      <name val="Arial"/>
    </font>
    <font>
      <sz val="11"/>
      <name val="Calibri"/>
      <family val="2"/>
      <scheme val="minor"/>
    </font>
    <font>
      <sz val="10"/>
      <color theme="1"/>
      <name val="Arial"/>
      <family val="2"/>
    </font>
    <font>
      <i/>
      <sz val="10"/>
      <color theme="1"/>
      <name val="Arial"/>
      <family val="2"/>
    </font>
    <font>
      <b/>
      <sz val="10"/>
      <color theme="1"/>
      <name val="Arial"/>
      <family val="2"/>
    </font>
    <font>
      <sz val="11"/>
      <color rgb="FFFF0000"/>
      <name val="Calibri"/>
      <family val="2"/>
      <scheme val="minor"/>
    </font>
    <font>
      <b/>
      <sz val="11"/>
      <name val="Calibri"/>
      <family val="2"/>
      <scheme val="minor"/>
    </font>
    <font>
      <b/>
      <u/>
      <sz val="11"/>
      <name val="Calibri"/>
      <family val="2"/>
      <scheme val="minor"/>
    </font>
  </fonts>
  <fills count="79">
    <fill>
      <patternFill patternType="none"/>
    </fill>
    <fill>
      <patternFill patternType="gray125"/>
    </fill>
    <fill>
      <patternFill patternType="solid">
        <fgColor rgb="FFFFFFFF"/>
      </patternFill>
    </fill>
    <fill>
      <patternFill patternType="solid">
        <fgColor theme="0"/>
      </patternFill>
    </fill>
    <fill>
      <patternFill patternType="solid">
        <fgColor rgb="FF5F5F5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5117038483843"/>
        <bgColor indexed="65"/>
      </patternFill>
    </fill>
    <fill>
      <patternFill patternType="solid">
        <fgColor theme="4" tint="0.59999389629810485"/>
        <bgColor indexed="65"/>
      </patternFill>
    </fill>
    <fill>
      <patternFill patternType="solid">
        <fgColor theme="4" tint="0.39994506668294322"/>
        <bgColor indexed="65"/>
      </patternFill>
    </fill>
    <fill>
      <patternFill patternType="solid">
        <fgColor theme="5"/>
      </patternFill>
    </fill>
    <fill>
      <patternFill patternType="solid">
        <fgColor theme="5" tint="0.79995117038483843"/>
        <bgColor indexed="65"/>
      </patternFill>
    </fill>
    <fill>
      <patternFill patternType="solid">
        <fgColor theme="5" tint="0.59999389629810485"/>
        <bgColor indexed="65"/>
      </patternFill>
    </fill>
    <fill>
      <patternFill patternType="solid">
        <fgColor theme="5" tint="0.39994506668294322"/>
        <bgColor indexed="65"/>
      </patternFill>
    </fill>
    <fill>
      <patternFill patternType="solid">
        <fgColor theme="6"/>
      </patternFill>
    </fill>
    <fill>
      <patternFill patternType="solid">
        <fgColor theme="6" tint="0.79995117038483843"/>
        <bgColor indexed="65"/>
      </patternFill>
    </fill>
    <fill>
      <patternFill patternType="solid">
        <fgColor theme="6" tint="0.59999389629810485"/>
        <bgColor indexed="65"/>
      </patternFill>
    </fill>
    <fill>
      <patternFill patternType="solid">
        <fgColor theme="6" tint="0.39994506668294322"/>
        <bgColor indexed="65"/>
      </patternFill>
    </fill>
    <fill>
      <patternFill patternType="solid">
        <fgColor theme="7"/>
      </patternFill>
    </fill>
    <fill>
      <patternFill patternType="solid">
        <fgColor theme="7" tint="0.79995117038483843"/>
        <bgColor indexed="65"/>
      </patternFill>
    </fill>
    <fill>
      <patternFill patternType="solid">
        <fgColor theme="7" tint="0.59999389629810485"/>
        <bgColor indexed="65"/>
      </patternFill>
    </fill>
    <fill>
      <patternFill patternType="solid">
        <fgColor theme="7" tint="0.39994506668294322"/>
        <bgColor indexed="65"/>
      </patternFill>
    </fill>
    <fill>
      <patternFill patternType="solid">
        <fgColor theme="8"/>
      </patternFill>
    </fill>
    <fill>
      <patternFill patternType="solid">
        <fgColor theme="8" tint="0.79995117038483843"/>
        <bgColor indexed="65"/>
      </patternFill>
    </fill>
    <fill>
      <patternFill patternType="solid">
        <fgColor theme="8" tint="0.59999389629810485"/>
        <bgColor indexed="65"/>
      </patternFill>
    </fill>
    <fill>
      <patternFill patternType="solid">
        <fgColor theme="8" tint="0.39994506668294322"/>
        <bgColor indexed="65"/>
      </patternFill>
    </fill>
    <fill>
      <patternFill patternType="solid">
        <fgColor theme="9"/>
      </patternFill>
    </fill>
    <fill>
      <patternFill patternType="solid">
        <fgColor theme="9" tint="0.79995117038483843"/>
        <bgColor indexed="65"/>
      </patternFill>
    </fill>
    <fill>
      <patternFill patternType="solid">
        <fgColor theme="9" tint="0.59999389629810485"/>
        <bgColor indexed="65"/>
      </patternFill>
    </fill>
    <fill>
      <patternFill patternType="solid">
        <fgColor theme="9" tint="0.39994506668294322"/>
        <bgColor indexed="65"/>
      </patternFill>
    </fill>
    <fill>
      <patternFill patternType="solid">
        <fgColor theme="2"/>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9"/>
      </patternFill>
    </fill>
    <fill>
      <patternFill patternType="solid">
        <fgColor indexed="47"/>
      </patternFill>
    </fill>
    <fill>
      <patternFill patternType="solid">
        <fgColor indexed="13"/>
      </patternFill>
    </fill>
    <fill>
      <patternFill patternType="solid">
        <fgColor indexed="43"/>
      </patternFill>
    </fill>
    <fill>
      <patternFill patternType="solid">
        <fgColor indexed="26"/>
      </patternFill>
    </fill>
    <fill>
      <patternFill patternType="solid">
        <fgColor indexed="42"/>
      </patternFill>
    </fill>
    <fill>
      <patternFill patternType="solid">
        <fgColor theme="6" tint="0.59999389629810485"/>
        <bgColor indexed="65"/>
      </patternFill>
    </fill>
    <fill>
      <patternFill patternType="solid">
        <fgColor theme="0"/>
      </patternFill>
    </fill>
    <fill>
      <patternFill patternType="solid">
        <fgColor theme="0" tint="-0.14996795556505021"/>
        <bgColor indexed="65"/>
      </patternFill>
    </fill>
  </fills>
  <borders count="76">
    <border>
      <left/>
      <right/>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auto="1"/>
      </left>
      <right style="thin">
        <color theme="6" tint="-0.499984740745262"/>
      </right>
      <top style="thin">
        <color auto="1"/>
      </top>
      <bottom style="thin">
        <color auto="1"/>
      </bottom>
      <diagonal/>
    </border>
    <border>
      <left style="thin">
        <color theme="6" tint="-0.499984740745262"/>
      </left>
      <right style="thin">
        <color theme="6" tint="-0.499984740745262"/>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theme="6" tint="-0.499984740745262"/>
      </right>
      <top style="thin">
        <color auto="1"/>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auto="1"/>
      </top>
      <bottom style="double">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auto="1"/>
      </left>
      <right style="hair">
        <color auto="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theme="6" tint="-0.499984740745262"/>
      </right>
      <top style="thin">
        <color auto="1"/>
      </top>
      <bottom style="medium">
        <color auto="1"/>
      </bottom>
      <diagonal/>
    </border>
    <border>
      <left style="thin">
        <color theme="6" tint="-0.499984740745262"/>
      </left>
      <right style="thin">
        <color theme="6" tint="-0.499984740745262"/>
      </right>
      <top style="thin">
        <color auto="1"/>
      </top>
      <bottom style="medium">
        <color auto="1"/>
      </bottom>
      <diagonal/>
    </border>
    <border>
      <left style="thin">
        <color theme="6" tint="-0.499984740745262"/>
      </left>
      <right style="medium">
        <color auto="1"/>
      </right>
      <top/>
      <bottom style="thin">
        <color theme="6" tint="-0.499984740745262"/>
      </bottom>
      <diagonal/>
    </border>
    <border>
      <left style="thin">
        <color theme="6" tint="-0.499984740745262"/>
      </left>
      <right style="medium">
        <color auto="1"/>
      </right>
      <top style="thin">
        <color theme="6" tint="-0.499984740745262"/>
      </top>
      <bottom style="thin">
        <color theme="6" tint="-0.499984740745262"/>
      </bottom>
      <diagonal/>
    </border>
    <border>
      <left style="thin">
        <color auto="1"/>
      </left>
      <right/>
      <top style="medium">
        <color auto="1"/>
      </top>
      <bottom/>
      <diagonal/>
    </border>
    <border>
      <left style="thin">
        <color theme="6" tint="-0.499984740745262"/>
      </left>
      <right style="medium">
        <color auto="1"/>
      </right>
      <top style="thin">
        <color auto="1"/>
      </top>
      <bottom style="thin">
        <color theme="6" tint="-0.499984740745262"/>
      </bottom>
      <diagonal/>
    </border>
    <border>
      <left style="thin">
        <color theme="6" tint="-0.499984740745262"/>
      </left>
      <right style="medium">
        <color auto="1"/>
      </right>
      <top style="thin">
        <color theme="6" tint="-0.499984740745262"/>
      </top>
      <bottom/>
      <diagonal/>
    </border>
    <border>
      <left style="medium">
        <color auto="1"/>
      </left>
      <right/>
      <top/>
      <bottom/>
      <diagonal/>
    </border>
    <border>
      <left style="thin">
        <color auto="1"/>
      </left>
      <right style="medium">
        <color auto="1"/>
      </right>
      <top/>
      <bottom style="thin">
        <color auto="1"/>
      </bottom>
      <diagonal/>
    </border>
    <border>
      <left/>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thin">
        <color theme="6" tint="-0.499984740745262"/>
      </left>
      <right/>
      <top style="thin">
        <color theme="6" tint="-0.499984740745262"/>
      </top>
      <bottom/>
      <diagonal/>
    </border>
    <border>
      <left style="thin">
        <color theme="6" tint="-0.499984740745262"/>
      </left>
      <right style="medium">
        <color auto="1"/>
      </right>
      <top style="thin">
        <color auto="1"/>
      </top>
      <bottom style="thin">
        <color auto="1"/>
      </bottom>
      <diagonal/>
    </border>
    <border>
      <left style="thin">
        <color theme="6" tint="-0.499984740745262"/>
      </left>
      <right style="medium">
        <color auto="1"/>
      </right>
      <top style="thin">
        <color auto="1"/>
      </top>
      <bottom style="medium">
        <color auto="1"/>
      </bottom>
      <diagonal/>
    </border>
  </borders>
  <cellStyleXfs count="2096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9" fontId="43"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2" fillId="9" borderId="33"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0" fontId="41"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168" fontId="43" fillId="64" borderId="39" applyNumberFormat="0" applyAlignment="0" applyProtection="0"/>
    <xf numFmtId="169" fontId="43" fillId="64" borderId="39" applyNumberFormat="0" applyAlignment="0" applyProtection="0"/>
    <xf numFmtId="168" fontId="43" fillId="64" borderId="39" applyNumberFormat="0" applyAlignment="0" applyProtection="0"/>
    <xf numFmtId="0" fontId="41" fillId="64" borderId="39" applyNumberFormat="0" applyAlignment="0" applyProtection="0"/>
    <xf numFmtId="0" fontId="44" fillId="65" borderId="40" applyNumberFormat="0" applyAlignment="0" applyProtection="0"/>
    <xf numFmtId="0" fontId="45" fillId="10" borderId="36"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0" fontId="44"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0" fontId="45" fillId="10" borderId="36"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169" fontId="46" fillId="65" borderId="40" applyNumberFormat="0" applyAlignment="0" applyProtection="0"/>
    <xf numFmtId="168" fontId="46" fillId="65" borderId="40" applyNumberFormat="0" applyAlignment="0" applyProtection="0"/>
    <xf numFmtId="0" fontId="4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protection locked="0"/>
    </xf>
    <xf numFmtId="43" fontId="30" fillId="0" borderId="0" applyFont="0" applyFill="0" applyBorder="0" applyAlignment="0" applyProtection="0"/>
    <xf numFmtId="43" fontId="2" fillId="0" borderId="0">
      <protection locked="0"/>
    </xf>
    <xf numFmtId="43" fontId="30" fillId="0" borderId="0" applyFont="0" applyFill="0" applyBorder="0" applyAlignment="0" applyProtection="0"/>
    <xf numFmtId="43" fontId="2" fillId="0" borderId="0">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41">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1" applyNumberFormat="0" applyAlignment="0" applyProtection="0">
      <alignment horizontal="left" vertical="center"/>
    </xf>
    <xf numFmtId="0" fontId="57" fillId="0" borderId="31" applyNumberFormat="0" applyAlignment="0" applyProtection="0">
      <alignment horizontal="left" vertical="center"/>
    </xf>
    <xf numFmtId="168" fontId="57" fillId="0" borderId="31"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2" applyNumberFormat="0" applyFill="0" applyAlignment="0" applyProtection="0"/>
    <xf numFmtId="169" fontId="58" fillId="0" borderId="42" applyNumberFormat="0" applyFill="0" applyAlignment="0" applyProtection="0"/>
    <xf numFmtId="0"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168" fontId="58" fillId="0" borderId="42" applyNumberFormat="0" applyFill="0" applyAlignment="0" applyProtection="0"/>
    <xf numFmtId="169" fontId="58" fillId="0" borderId="42" applyNumberFormat="0" applyFill="0" applyAlignment="0" applyProtection="0"/>
    <xf numFmtId="168" fontId="58" fillId="0" borderId="42" applyNumberFormat="0" applyFill="0" applyAlignment="0" applyProtection="0"/>
    <xf numFmtId="0" fontId="58" fillId="0" borderId="42" applyNumberFormat="0" applyFill="0" applyAlignment="0" applyProtection="0"/>
    <xf numFmtId="0" fontId="59" fillId="0" borderId="43" applyNumberFormat="0" applyFill="0" applyAlignment="0" applyProtection="0"/>
    <xf numFmtId="169" fontId="59" fillId="0" borderId="43" applyNumberFormat="0" applyFill="0" applyAlignment="0" applyProtection="0"/>
    <xf numFmtId="0"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168" fontId="59" fillId="0" borderId="43" applyNumberFormat="0" applyFill="0" applyAlignment="0" applyProtection="0"/>
    <xf numFmtId="169" fontId="59" fillId="0" borderId="43" applyNumberFormat="0" applyFill="0" applyAlignment="0" applyProtection="0"/>
    <xf numFmtId="168" fontId="59" fillId="0" borderId="43" applyNumberFormat="0" applyFill="0" applyAlignment="0" applyProtection="0"/>
    <xf numFmtId="0" fontId="59" fillId="0" borderId="43" applyNumberFormat="0" applyFill="0" applyAlignment="0" applyProtection="0"/>
    <xf numFmtId="0" fontId="60" fillId="0" borderId="44" applyNumberFormat="0" applyFill="0" applyAlignment="0" applyProtection="0"/>
    <xf numFmtId="169"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168" fontId="60" fillId="0" borderId="44" applyNumberFormat="0" applyFill="0" applyAlignment="0" applyProtection="0"/>
    <xf numFmtId="169" fontId="60" fillId="0" borderId="44" applyNumberFormat="0" applyFill="0" applyAlignment="0" applyProtection="0"/>
    <xf numFmtId="168" fontId="60" fillId="0" borderId="44" applyNumberFormat="0" applyFill="0" applyAlignment="0" applyProtection="0"/>
    <xf numFmtId="0" fontId="60" fillId="0" borderId="44"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9" fontId="71"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70" fillId="8" borderId="33"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0" fontId="69"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168" fontId="71" fillId="43" borderId="39" applyNumberFormat="0" applyAlignment="0" applyProtection="0"/>
    <xf numFmtId="169" fontId="71" fillId="43" borderId="39" applyNumberFormat="0" applyAlignment="0" applyProtection="0"/>
    <xf numFmtId="168" fontId="71" fillId="43" borderId="39" applyNumberFormat="0" applyAlignment="0" applyProtection="0"/>
    <xf numFmtId="0" fontId="69" fillId="43" borderId="39"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5" applyNumberFormat="0" applyFill="0" applyAlignment="0" applyProtection="0"/>
    <xf numFmtId="0" fontId="73" fillId="0" borderId="3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0" fontId="72" fillId="0" borderId="4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168" fontId="74" fillId="0" borderId="45" applyNumberFormat="0" applyFill="0" applyAlignment="0" applyProtection="0"/>
    <xf numFmtId="169" fontId="74" fillId="0" borderId="45" applyNumberFormat="0" applyFill="0" applyAlignment="0" applyProtection="0"/>
    <xf numFmtId="168" fontId="74" fillId="0" borderId="45" applyNumberFormat="0" applyFill="0" applyAlignment="0" applyProtection="0"/>
    <xf numFmtId="0" fontId="7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6"/>
    <xf numFmtId="169" fontId="29" fillId="0" borderId="46"/>
    <xf numFmtId="168" fontId="2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168"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168" fontId="2" fillId="0" borderId="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169"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0" borderId="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1" fillId="11" borderId="3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3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9" fontId="88"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7" fillId="9" borderId="34"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0" fontId="86"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168" fontId="88" fillId="64" borderId="48" applyNumberFormat="0" applyAlignment="0" applyProtection="0"/>
    <xf numFmtId="169" fontId="88" fillId="64" borderId="48" applyNumberFormat="0" applyAlignment="0" applyProtection="0"/>
    <xf numFmtId="168" fontId="88" fillId="64" borderId="48" applyNumberFormat="0" applyAlignment="0" applyProtection="0"/>
    <xf numFmtId="0" fontId="86" fillId="64" borderId="48"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9" fontId="97"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6" fillId="0" borderId="38"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0" fontId="50"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168" fontId="97" fillId="0" borderId="49" applyNumberFormat="0" applyFill="0" applyAlignment="0" applyProtection="0"/>
    <xf numFmtId="169" fontId="97" fillId="0" borderId="49" applyNumberFormat="0" applyFill="0" applyAlignment="0" applyProtection="0"/>
    <xf numFmtId="168" fontId="97" fillId="0" borderId="49" applyNumberFormat="0" applyFill="0" applyAlignment="0" applyProtection="0"/>
    <xf numFmtId="0" fontId="50" fillId="0" borderId="49" applyNumberFormat="0" applyFill="0" applyAlignment="0" applyProtection="0"/>
    <xf numFmtId="0" fontId="28" fillId="0" borderId="50"/>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111" fillId="0" borderId="0"/>
  </cellStyleXfs>
  <cellXfs count="57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6" xfId="0" applyFont="1" applyFill="1" applyBorder="1" applyAlignment="1" applyProtection="1">
      <alignment horizontal="center" vertical="center"/>
    </xf>
    <xf numFmtId="0" fontId="9" fillId="0" borderId="17" xfId="0" applyFont="1" applyFill="1" applyBorder="1" applyProtection="1"/>
    <xf numFmtId="0" fontId="9" fillId="0" borderId="19"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2" xfId="0" applyFont="1" applyFill="1" applyBorder="1" applyAlignment="1" applyProtection="1">
      <alignment horizontal="left" indent="1"/>
    </xf>
    <xf numFmtId="0" fontId="10" fillId="0" borderId="25"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1" xfId="0" applyFont="1" applyBorder="1" applyAlignment="1"/>
    <xf numFmtId="0" fontId="13" fillId="0" borderId="8" xfId="0" applyFont="1" applyBorder="1" applyAlignment="1">
      <alignment wrapText="1"/>
    </xf>
    <xf numFmtId="0" fontId="4" fillId="0" borderId="21"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2"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4" xfId="0" applyFont="1" applyFill="1" applyBorder="1" applyAlignment="1">
      <alignment wrapText="1"/>
    </xf>
    <xf numFmtId="0" fontId="4" fillId="0" borderId="19"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15" fillId="0" borderId="0" xfId="8" applyFont="1" applyFill="1" applyBorder="1" applyAlignment="1" applyProtection="1">
      <protection locked="0"/>
    </xf>
    <xf numFmtId="0" fontId="7" fillId="0" borderId="0" xfId="5" applyFont="1" applyFill="1" applyProtection="1">
      <protection locked="0"/>
    </xf>
    <xf numFmtId="0" fontId="15" fillId="3" borderId="3" xfId="15" applyFont="1" applyFill="1" applyBorder="1" applyAlignment="1" applyProtection="1">
      <alignment horizontal="center" vertical="center"/>
      <protection locked="0"/>
    </xf>
    <xf numFmtId="3" fontId="7" fillId="3" borderId="3" xfId="16" applyNumberFormat="1" applyFont="1" applyFill="1" applyBorder="1" applyAlignment="1" applyProtection="1">
      <alignment horizontal="left"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4" fillId="0" borderId="3" xfId="0" applyFont="1" applyFill="1" applyBorder="1"/>
    <xf numFmtId="0" fontId="9" fillId="0" borderId="19" xfId="0" applyFont="1" applyBorder="1" applyAlignment="1">
      <alignment horizontal="right" vertical="center" wrapText="1"/>
    </xf>
    <xf numFmtId="0" fontId="9" fillId="0" borderId="19" xfId="0" applyFont="1" applyFill="1" applyBorder="1" applyAlignment="1">
      <alignment horizontal="center" vertical="center" wrapText="1"/>
    </xf>
    <xf numFmtId="0" fontId="9" fillId="0" borderId="19" xfId="0" applyFont="1" applyFill="1" applyBorder="1" applyAlignment="1">
      <alignment horizontal="right" vertical="center" wrapText="1"/>
    </xf>
    <xf numFmtId="0" fontId="9" fillId="2" borderId="19" xfId="0" applyFont="1" applyFill="1" applyBorder="1" applyAlignment="1">
      <alignment horizontal="right" vertical="center"/>
    </xf>
    <xf numFmtId="0" fontId="9" fillId="2" borderId="22" xfId="0" applyFont="1" applyFill="1" applyBorder="1" applyAlignment="1">
      <alignment horizontal="right" vertical="center"/>
    </xf>
    <xf numFmtId="0" fontId="9" fillId="2" borderId="23" xfId="0" applyFont="1" applyFill="1" applyBorder="1" applyAlignment="1">
      <alignment vertical="center"/>
    </xf>
    <xf numFmtId="0" fontId="21" fillId="0" borderId="16" xfId="0" applyFont="1" applyFill="1" applyBorder="1" applyAlignment="1">
      <alignment horizontal="left" vertical="center" indent="1"/>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center" vertical="center" wrapText="1"/>
    </xf>
    <xf numFmtId="0" fontId="21" fillId="0" borderId="19" xfId="0" applyFont="1" applyFill="1" applyBorder="1" applyAlignment="1">
      <alignment horizontal="left" indent="1"/>
    </xf>
    <xf numFmtId="38" fontId="21" fillId="0" borderId="20" xfId="0" applyNumberFormat="1" applyFont="1" applyFill="1" applyBorder="1" applyAlignment="1" applyProtection="1">
      <alignment horizontal="right"/>
      <protection locked="0"/>
    </xf>
    <xf numFmtId="0" fontId="21" fillId="0" borderId="22" xfId="0" applyFont="1" applyFill="1" applyBorder="1" applyAlignment="1">
      <alignment horizontal="left" vertical="center" indent="1"/>
    </xf>
    <xf numFmtId="0" fontId="22" fillId="0" borderId="23" xfId="0" applyFont="1" applyFill="1" applyBorder="1" applyAlignment="1"/>
    <xf numFmtId="0" fontId="4" fillId="0" borderId="55" xfId="0" applyFont="1" applyBorder="1"/>
    <xf numFmtId="0" fontId="23" fillId="0" borderId="1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vertical="center" wrapText="1"/>
    </xf>
    <xf numFmtId="0" fontId="4" fillId="0" borderId="56"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7" fillId="0" borderId="22"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26" fillId="0" borderId="19" xfId="0" applyFont="1" applyBorder="1" applyAlignment="1">
      <alignment horizontal="center"/>
    </xf>
    <xf numFmtId="167" fontId="26" fillId="0" borderId="60" xfId="0" applyNumberFormat="1" applyFont="1" applyBorder="1" applyAlignment="1">
      <alignment horizontal="center"/>
    </xf>
    <xf numFmtId="167" fontId="26" fillId="0" borderId="63" xfId="0" applyNumberFormat="1" applyFont="1" applyBorder="1" applyAlignment="1">
      <alignment horizontal="center"/>
    </xf>
    <xf numFmtId="167" fontId="26" fillId="0" borderId="59" xfId="0" applyNumberFormat="1" applyFont="1" applyBorder="1" applyAlignment="1">
      <alignment horizontal="center"/>
    </xf>
    <xf numFmtId="0" fontId="26" fillId="0" borderId="22" xfId="0" applyFont="1" applyBorder="1" applyAlignment="1">
      <alignment horizontal="center"/>
    </xf>
    <xf numFmtId="0" fontId="25" fillId="36" borderId="57"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0" fillId="0" borderId="0" xfId="0" applyFont="1" applyFill="1"/>
    <xf numFmtId="0" fontId="4" fillId="0" borderId="64" xfId="0" applyFont="1" applyBorder="1"/>
    <xf numFmtId="0" fontId="4" fillId="0" borderId="17" xfId="0" applyFont="1" applyBorder="1"/>
    <xf numFmtId="0" fontId="4" fillId="0" borderId="22" xfId="0" applyFont="1" applyBorder="1"/>
    <xf numFmtId="0" fontId="7" fillId="3" borderId="20" xfId="13" applyFont="1" applyFill="1" applyBorder="1" applyAlignment="1" applyProtection="1">
      <alignment horizontal="left" vertical="center"/>
      <protection locked="0"/>
    </xf>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15" fillId="0" borderId="55" xfId="8" applyFont="1" applyFill="1" applyBorder="1" applyAlignment="1" applyProtection="1">
      <protection locked="0"/>
    </xf>
    <xf numFmtId="0" fontId="7" fillId="0" borderId="18" xfId="5" applyFont="1" applyFill="1" applyBorder="1" applyAlignment="1" applyProtection="1">
      <alignment horizontal="center"/>
      <protection locked="0"/>
    </xf>
    <xf numFmtId="0" fontId="7" fillId="3" borderId="19" xfId="15" applyFont="1" applyFill="1" applyBorder="1" applyAlignment="1" applyProtection="1">
      <alignment horizontal="left" vertical="center"/>
      <protection locked="0"/>
    </xf>
    <xf numFmtId="0" fontId="7" fillId="3" borderId="19" xfId="9" applyFont="1" applyFill="1" applyBorder="1" applyAlignment="1" applyProtection="1">
      <alignment horizontal="right" vertical="center"/>
      <protection locked="0"/>
    </xf>
    <xf numFmtId="0" fontId="7" fillId="3" borderId="22" xfId="9" applyFont="1" applyFill="1" applyBorder="1" applyAlignment="1" applyProtection="1">
      <alignment horizontal="right" vertical="center"/>
      <protection locked="0"/>
    </xf>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5" xfId="0" applyFont="1" applyBorder="1" applyAlignment="1">
      <alignment horizontal="center"/>
    </xf>
    <xf numFmtId="0" fontId="4" fillId="0" borderId="5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4" fillId="0" borderId="7" xfId="0" applyFont="1" applyFill="1" applyBorder="1" applyAlignment="1">
      <alignment horizontal="center" vertical="center" wrapText="1"/>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4" fillId="0" borderId="54" xfId="0" applyFont="1" applyFill="1" applyBorder="1" applyAlignment="1">
      <alignment horizontal="center" vertical="center" wrapText="1"/>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8"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9"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0"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19"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2" xfId="0" applyFont="1" applyFill="1" applyBorder="1" applyAlignment="1">
      <alignment horizontal="center" vertical="center"/>
    </xf>
    <xf numFmtId="0" fontId="15" fillId="0" borderId="26"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0" fillId="0" borderId="3" xfId="0" applyBorder="1"/>
    <xf numFmtId="0" fontId="7" fillId="0" borderId="7" xfId="11" applyFont="1" applyFill="1" applyBorder="1" applyAlignment="1" applyProtection="1">
      <alignmen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6" xfId="0" applyFont="1" applyFill="1" applyBorder="1" applyAlignment="1">
      <alignment vertical="center" wrapText="1"/>
    </xf>
    <xf numFmtId="0" fontId="0" fillId="0" borderId="26" xfId="0" applyBorder="1"/>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15" fillId="0" borderId="18" xfId="11" applyFont="1" applyFill="1" applyBorder="1" applyAlignment="1" applyProtection="1">
      <alignment horizontal="center" vertical="center"/>
    </xf>
    <xf numFmtId="0" fontId="9" fillId="0" borderId="70" xfId="0" applyFont="1" applyFill="1" applyBorder="1" applyAlignment="1">
      <alignment horizontal="right" vertical="center" wrapText="1"/>
    </xf>
    <xf numFmtId="0" fontId="7" fillId="0" borderId="7" xfId="0" applyFont="1" applyFill="1" applyBorder="1" applyAlignment="1">
      <alignment vertical="center" wrapText="1"/>
    </xf>
    <xf numFmtId="0" fontId="7" fillId="0" borderId="3" xfId="0" applyFont="1" applyFill="1" applyBorder="1" applyAlignment="1">
      <alignment vertical="center" wrapText="1"/>
    </xf>
    <xf numFmtId="193" fontId="15"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4" fillId="0" borderId="20" xfId="0" applyNumberFormat="1" applyFont="1" applyFill="1" applyBorder="1" applyAlignment="1" applyProtection="1">
      <alignment horizontal="center" vertical="center" wrapText="1"/>
      <protection locked="0"/>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0" xfId="0" applyNumberFormat="1" applyFont="1" applyFill="1" applyBorder="1" applyAlignment="1" applyProtection="1">
      <alignment vertical="center" wrapText="1"/>
      <protection locked="0"/>
    </xf>
    <xf numFmtId="193" fontId="15" fillId="0" borderId="3"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0"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0" xfId="0" applyNumberFormat="1" applyFont="1" applyFill="1" applyBorder="1" applyAlignment="1" applyProtection="1">
      <alignment horizontal="right"/>
    </xf>
    <xf numFmtId="193" fontId="9" fillId="36" borderId="23" xfId="7"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0"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0"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0"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0"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0"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3" xfId="0" applyNumberFormat="1" applyFont="1" applyFill="1" applyBorder="1" applyAlignment="1">
      <alignment horizontal="right"/>
    </xf>
    <xf numFmtId="193" fontId="9" fillId="36" borderId="24"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0" fillId="36" borderId="18" xfId="0" applyNumberFormat="1" applyFill="1" applyBorder="1" applyAlignment="1">
      <alignment horizontal="center" vertical="center"/>
    </xf>
    <xf numFmtId="193" fontId="0" fillId="0" borderId="20" xfId="0" applyNumberFormat="1" applyBorder="1" applyAlignment="1">
      <alignment wrapText="1"/>
    </xf>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7" fillId="36" borderId="20" xfId="2" applyNumberFormat="1" applyFont="1" applyFill="1" applyBorder="1" applyAlignment="1" applyProtection="1">
      <alignment vertical="top"/>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25" fillId="36" borderId="15" xfId="0" applyNumberFormat="1" applyFont="1" applyFill="1" applyBorder="1" applyAlignment="1">
      <alignment vertical="center"/>
    </xf>
    <xf numFmtId="193" fontId="25" fillId="36" borderId="58"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3" xfId="0" applyNumberFormat="1" applyFont="1" applyFill="1" applyBorder="1"/>
    <xf numFmtId="193" fontId="4" fillId="0" borderId="19" xfId="0" applyNumberFormat="1" applyFont="1" applyBorder="1" applyAlignment="1"/>
    <xf numFmtId="193" fontId="4" fillId="0" borderId="20" xfId="0" applyNumberFormat="1" applyFont="1" applyBorder="1" applyAlignment="1"/>
    <xf numFmtId="193" fontId="4" fillId="36" borderId="52" xfId="0" applyNumberFormat="1" applyFont="1" applyFill="1" applyBorder="1" applyAlignment="1"/>
    <xf numFmtId="193" fontId="4" fillId="36" borderId="22" xfId="0" applyNumberFormat="1" applyFont="1" applyFill="1" applyBorder="1"/>
    <xf numFmtId="193" fontId="4" fillId="36" borderId="24" xfId="0" applyNumberFormat="1" applyFont="1" applyFill="1" applyBorder="1"/>
    <xf numFmtId="193" fontId="4" fillId="36" borderId="53" xfId="0" applyNumberFormat="1" applyFont="1" applyFill="1" applyBorder="1"/>
    <xf numFmtId="193" fontId="4" fillId="0" borderId="3" xfId="0" applyNumberFormat="1" applyFont="1" applyBorder="1"/>
    <xf numFmtId="193" fontId="4" fillId="0" borderId="3" xfId="0" applyNumberFormat="1" applyFont="1" applyFill="1" applyBorder="1"/>
    <xf numFmtId="193" fontId="15" fillId="36" borderId="23" xfId="16" applyNumberFormat="1" applyFont="1" applyFill="1" applyBorder="1" applyAlignment="1" applyProtection="1">
      <protection locked="0"/>
    </xf>
    <xf numFmtId="193" fontId="7" fillId="36" borderId="20" xfId="1" applyNumberFormat="1" applyFont="1" applyFill="1" applyBorder="1" applyProtection="1">
      <protection locked="0"/>
    </xf>
    <xf numFmtId="193" fontId="7" fillId="36" borderId="24" xfId="1" applyNumberFormat="1" applyFont="1" applyFill="1" applyBorder="1" applyProtection="1">
      <protection locked="0"/>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6" fillId="0" borderId="0" xfId="0" applyNumberFormat="1" applyFont="1"/>
    <xf numFmtId="0" fontId="4" fillId="0" borderId="27" xfId="0" applyFont="1" applyBorder="1" applyAlignment="1">
      <alignment horizontal="center" vertical="center"/>
    </xf>
    <xf numFmtId="193" fontId="4" fillId="0" borderId="8" xfId="0" applyNumberFormat="1" applyFont="1" applyBorder="1" applyAlignment="1"/>
    <xf numFmtId="0" fontId="4" fillId="0" borderId="27" xfId="0" applyFont="1" applyBorder="1" applyAlignment="1">
      <alignment wrapText="1"/>
    </xf>
    <xf numFmtId="193" fontId="4" fillId="0" borderId="21" xfId="0" applyNumberFormat="1" applyFont="1" applyBorder="1" applyAlignment="1"/>
    <xf numFmtId="193" fontId="4" fillId="0" borderId="21"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0" fontId="0" fillId="0" borderId="3" xfId="0" applyBorder="1" applyAlignment="1">
      <alignment horizontal="center"/>
    </xf>
    <xf numFmtId="167" fontId="4" fillId="0" borderId="20" xfId="0" applyNumberFormat="1" applyFont="1" applyBorder="1" applyAlignment="1"/>
    <xf numFmtId="0" fontId="4" fillId="36" borderId="24" xfId="0" applyFont="1" applyFill="1" applyBorder="1"/>
    <xf numFmtId="167" fontId="6" fillId="36" borderId="23" xfId="0" applyNumberFormat="1" applyFont="1" applyFill="1" applyBorder="1" applyAlignment="1">
      <alignment horizontal="center" vertical="center"/>
    </xf>
    <xf numFmtId="0" fontId="7" fillId="0" borderId="17" xfId="8" applyFont="1" applyFill="1" applyBorder="1" applyAlignment="1" applyProtection="1">
      <alignment horizontal="center"/>
      <protection locked="0"/>
    </xf>
    <xf numFmtId="0" fontId="109" fillId="0" borderId="3" xfId="0" applyFont="1" applyBorder="1" applyAlignment="1">
      <alignment vertical="center"/>
    </xf>
    <xf numFmtId="0" fontId="11" fillId="0" borderId="3" xfId="17" applyBorder="1" applyAlignment="1" applyProtection="1"/>
    <xf numFmtId="10" fontId="7" fillId="0" borderId="3" xfId="20961" applyNumberFormat="1" applyFont="1" applyBorder="1" applyAlignment="1" applyProtection="1">
      <alignment vertical="center" wrapText="1"/>
      <protection locked="0"/>
    </xf>
    <xf numFmtId="10" fontId="4" fillId="0" borderId="3" xfId="20961" applyNumberFormat="1" applyFont="1" applyBorder="1" applyAlignment="1" applyProtection="1">
      <alignment vertical="center" wrapText="1"/>
      <protection locked="0"/>
    </xf>
    <xf numFmtId="10" fontId="4" fillId="0" borderId="20" xfId="20961" applyNumberFormat="1" applyFont="1" applyBorder="1" applyAlignment="1" applyProtection="1">
      <alignment vertical="center" wrapText="1"/>
      <protection locked="0"/>
    </xf>
    <xf numFmtId="10" fontId="15" fillId="0" borderId="3" xfId="20961" applyNumberFormat="1" applyFont="1" applyFill="1" applyBorder="1" applyAlignment="1" applyProtection="1">
      <alignment vertical="center" wrapText="1"/>
      <protection locked="0"/>
    </xf>
    <xf numFmtId="10" fontId="4" fillId="0" borderId="3" xfId="20961" applyNumberFormat="1" applyFont="1" applyFill="1" applyBorder="1" applyAlignment="1" applyProtection="1">
      <alignment vertical="center" wrapText="1"/>
      <protection locked="0"/>
    </xf>
    <xf numFmtId="10" fontId="4" fillId="0" borderId="20" xfId="20961" applyNumberFormat="1" applyFont="1" applyFill="1" applyBorder="1" applyAlignment="1" applyProtection="1">
      <alignment vertical="center" wrapText="1"/>
      <protection locked="0"/>
    </xf>
    <xf numFmtId="10" fontId="15" fillId="0" borderId="3" xfId="20961" applyNumberFormat="1" applyFont="1" applyFill="1" applyBorder="1" applyAlignment="1" applyProtection="1">
      <alignment horizontal="center" vertical="center" wrapText="1"/>
      <protection locked="0"/>
    </xf>
    <xf numFmtId="10" fontId="4" fillId="0" borderId="3" xfId="20961" applyNumberFormat="1" applyFont="1" applyFill="1" applyBorder="1" applyAlignment="1" applyProtection="1">
      <alignment horizontal="center" vertical="center" wrapText="1"/>
      <protection locked="0"/>
    </xf>
    <xf numFmtId="10" fontId="4" fillId="0" borderId="20" xfId="20961" applyNumberFormat="1" applyFont="1" applyFill="1" applyBorder="1" applyAlignment="1" applyProtection="1">
      <alignment horizontal="center" vertical="center" wrapText="1"/>
      <protection locked="0"/>
    </xf>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0"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18" fillId="2" borderId="23" xfId="20961" applyNumberFormat="1" applyFont="1" applyFill="1" applyBorder="1" applyAlignment="1" applyProtection="1">
      <alignment vertical="center"/>
      <protection locked="0"/>
    </xf>
    <xf numFmtId="10" fontId="18" fillId="2" borderId="24" xfId="20961" applyNumberFormat="1" applyFont="1" applyFill="1" applyBorder="1" applyAlignment="1" applyProtection="1">
      <alignment vertical="center"/>
      <protection locked="0"/>
    </xf>
    <xf numFmtId="38" fontId="21" fillId="0" borderId="46" xfId="0" applyNumberFormat="1" applyFont="1" applyFill="1" applyBorder="1" applyAlignment="1" applyProtection="1">
      <alignment horizontal="right"/>
      <protection locked="0"/>
    </xf>
    <xf numFmtId="38" fontId="21" fillId="0" borderId="3" xfId="20962" applyNumberFormat="1" applyFont="1" applyFill="1" applyBorder="1" applyAlignment="1" applyProtection="1">
      <alignment horizontal="right"/>
      <protection locked="0"/>
    </xf>
    <xf numFmtId="38" fontId="21" fillId="0" borderId="46" xfId="20962" applyNumberFormat="1" applyFont="1" applyFill="1" applyBorder="1" applyAlignment="1" applyProtection="1">
      <alignment horizontal="right"/>
      <protection locked="0"/>
    </xf>
    <xf numFmtId="0" fontId="9" fillId="0" borderId="3" xfId="0" applyFont="1" applyFill="1" applyBorder="1" applyProtection="1">
      <protection locked="0"/>
    </xf>
    <xf numFmtId="9" fontId="4" fillId="0" borderId="21" xfId="20961" applyFont="1" applyBorder="1" applyAlignment="1"/>
    <xf numFmtId="0" fontId="9" fillId="0" borderId="19" xfId="0" applyFont="1" applyBorder="1"/>
    <xf numFmtId="0" fontId="9" fillId="0" borderId="3" xfId="0" applyFont="1" applyBorder="1" applyProtection="1">
      <protection locked="0"/>
    </xf>
    <xf numFmtId="10" fontId="9" fillId="0" borderId="20" xfId="20961" applyNumberFormat="1" applyFont="1" applyBorder="1"/>
    <xf numFmtId="0" fontId="9" fillId="0" borderId="23" xfId="0" applyFont="1" applyBorder="1" applyProtection="1">
      <protection locked="0"/>
    </xf>
    <xf numFmtId="10" fontId="9" fillId="0" borderId="24" xfId="20961" applyNumberFormat="1" applyFont="1" applyBorder="1"/>
    <xf numFmtId="193" fontId="4" fillId="0" borderId="3" xfId="0" applyNumberFormat="1" applyFont="1" applyBorder="1" applyAlignment="1">
      <alignment horizontal="center" vertical="center"/>
    </xf>
    <xf numFmtId="193" fontId="4" fillId="0" borderId="8" xfId="0" applyNumberFormat="1" applyFont="1" applyBorder="1" applyAlignment="1">
      <alignment horizontal="center" vertical="center"/>
    </xf>
    <xf numFmtId="193" fontId="0" fillId="0" borderId="20" xfId="0" applyNumberFormat="1" applyFill="1" applyBorder="1" applyAlignment="1">
      <alignment horizontal="center"/>
    </xf>
    <xf numFmtId="3" fontId="21" fillId="0" borderId="46" xfId="15" applyNumberFormat="1" applyFont="1" applyFill="1" applyBorder="1" applyAlignment="1" applyProtection="1">
      <alignment horizontal="right"/>
      <protection locked="0"/>
    </xf>
    <xf numFmtId="193" fontId="7" fillId="77" borderId="20" xfId="2" applyNumberFormat="1" applyFont="1" applyFill="1" applyBorder="1" applyAlignment="1" applyProtection="1">
      <alignment vertical="top"/>
      <protection locked="0"/>
    </xf>
    <xf numFmtId="193" fontId="7" fillId="77" borderId="20" xfId="2" applyNumberFormat="1" applyFont="1" applyFill="1" applyBorder="1" applyAlignment="1" applyProtection="1">
      <alignment vertical="top" wrapText="1"/>
      <protection locked="0"/>
    </xf>
    <xf numFmtId="193" fontId="20" fillId="0" borderId="73" xfId="0" applyNumberFormat="1" applyFont="1" applyBorder="1" applyAlignment="1">
      <alignment vertical="center"/>
    </xf>
    <xf numFmtId="167" fontId="26" fillId="0" borderId="3" xfId="0" applyNumberFormat="1" applyFont="1" applyBorder="1" applyAlignment="1">
      <alignment horizontal="center"/>
    </xf>
    <xf numFmtId="193" fontId="0" fillId="0" borderId="0" xfId="0" applyNumberFormat="1"/>
    <xf numFmtId="193" fontId="12" fillId="0" borderId="0" xfId="0" applyNumberFormat="1" applyFont="1"/>
    <xf numFmtId="0" fontId="4" fillId="0" borderId="3" xfId="15" applyFont="1" applyFill="1" applyBorder="1" applyAlignment="1" applyProtection="1">
      <alignment horizontal="center" vertical="center" wrapText="1"/>
      <protection locked="0"/>
    </xf>
    <xf numFmtId="0" fontId="7" fillId="0" borderId="20" xfId="5" applyFont="1" applyFill="1" applyBorder="1" applyAlignment="1" applyProtection="1">
      <alignment horizontal="center" vertical="center" wrapText="1"/>
      <protection locked="0"/>
    </xf>
    <xf numFmtId="167" fontId="26" fillId="0" borderId="63" xfId="0" applyNumberFormat="1" applyFont="1" applyFill="1" applyBorder="1" applyAlignment="1">
      <alignment horizontal="center"/>
    </xf>
    <xf numFmtId="167" fontId="113" fillId="0" borderId="62" xfId="0" applyNumberFormat="1" applyFont="1" applyBorder="1" applyAlignment="1">
      <alignment horizontal="center"/>
    </xf>
    <xf numFmtId="167" fontId="113" fillId="0" borderId="60" xfId="0" applyNumberFormat="1" applyFont="1" applyBorder="1" applyAlignment="1">
      <alignment horizontal="center"/>
    </xf>
    <xf numFmtId="167" fontId="114" fillId="0" borderId="60" xfId="0" applyNumberFormat="1" applyFont="1" applyBorder="1" applyAlignment="1">
      <alignment horizontal="center"/>
    </xf>
    <xf numFmtId="167" fontId="66" fillId="76" borderId="60" xfId="0" applyNumberFormat="1" applyFont="1" applyFill="1" applyBorder="1" applyAlignment="1">
      <alignment horizontal="center"/>
    </xf>
    <xf numFmtId="167" fontId="115" fillId="36" borderId="74" xfId="0" applyNumberFormat="1" applyFont="1" applyFill="1" applyBorder="1" applyAlignment="1">
      <alignment horizontal="center"/>
    </xf>
    <xf numFmtId="167" fontId="115" fillId="36" borderId="75" xfId="0" applyNumberFormat="1" applyFont="1" applyFill="1" applyBorder="1" applyAlignment="1">
      <alignment horizontal="center"/>
    </xf>
    <xf numFmtId="193" fontId="7" fillId="0" borderId="20" xfId="2" applyNumberFormat="1" applyFont="1" applyFill="1" applyBorder="1" applyAlignment="1" applyProtection="1">
      <alignment vertical="top" wrapText="1"/>
      <protection locked="0"/>
    </xf>
    <xf numFmtId="9" fontId="4" fillId="36" borderId="23" xfId="20961" applyFont="1" applyFill="1" applyBorder="1"/>
    <xf numFmtId="9" fontId="0" fillId="0" borderId="0" xfId="0" applyNumberFormat="1" applyAlignment="1"/>
    <xf numFmtId="0" fontId="7" fillId="0" borderId="0" xfId="0" applyFont="1" applyFill="1" applyBorder="1"/>
    <xf numFmtId="14" fontId="7" fillId="0" borderId="0" xfId="0" applyNumberFormat="1" applyFont="1" applyFill="1" applyBorder="1"/>
    <xf numFmtId="0" fontId="7" fillId="0" borderId="0" xfId="0" applyFont="1" applyFill="1"/>
    <xf numFmtId="14" fontId="7" fillId="0" borderId="30" xfId="0" applyNumberFormat="1" applyFont="1" applyFill="1" applyBorder="1"/>
    <xf numFmtId="14" fontId="23" fillId="0" borderId="7" xfId="0" applyNumberFormat="1" applyFont="1" applyBorder="1" applyAlignment="1">
      <alignment horizontal="center" vertical="center" wrapText="1"/>
    </xf>
    <xf numFmtId="167" fontId="4" fillId="0" borderId="3" xfId="0" applyNumberFormat="1" applyFont="1" applyFill="1" applyBorder="1" applyAlignment="1">
      <alignment horizontal="center" vertical="center"/>
    </xf>
    <xf numFmtId="193" fontId="4" fillId="0" borderId="3" xfId="0" quotePrefix="1" applyNumberFormat="1" applyFont="1" applyBorder="1"/>
    <xf numFmtId="3" fontId="112" fillId="0" borderId="3" xfId="8" quotePrefix="1" applyNumberFormat="1" applyFont="1" applyFill="1" applyBorder="1" applyAlignment="1" applyProtection="1">
      <alignment horizontal="right" wrapText="1"/>
      <protection locked="0"/>
    </xf>
    <xf numFmtId="3" fontId="0" fillId="0" borderId="3" xfId="0" quotePrefix="1"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xf numFmtId="0" fontId="23" fillId="0" borderId="7" xfId="0" applyFont="1" applyBorder="1" applyAlignment="1">
      <alignment horizontal="center" vertical="center" wrapText="1"/>
    </xf>
    <xf numFmtId="3" fontId="24" fillId="36" borderId="3" xfId="0" applyNumberFormat="1" applyFont="1" applyFill="1" applyBorder="1" applyAlignment="1">
      <alignment vertical="center" wrapText="1"/>
    </xf>
    <xf numFmtId="3" fontId="24" fillId="36" borderId="20" xfId="0" applyNumberFormat="1" applyFont="1" applyFill="1" applyBorder="1" applyAlignment="1">
      <alignment vertical="center" wrapText="1"/>
    </xf>
    <xf numFmtId="3" fontId="24" fillId="0" borderId="3"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3" xfId="0" applyNumberFormat="1" applyFont="1" applyFill="1" applyBorder="1" applyAlignment="1">
      <alignment vertical="center" wrapText="1"/>
    </xf>
    <xf numFmtId="3" fontId="24" fillId="36" borderId="24" xfId="0" applyNumberFormat="1" applyFont="1" applyFill="1" applyBorder="1" applyAlignment="1">
      <alignment vertical="center" wrapText="1"/>
    </xf>
    <xf numFmtId="193" fontId="4" fillId="0" borderId="3" xfId="0" applyNumberFormat="1" applyFont="1" applyBorder="1"/>
    <xf numFmtId="0" fontId="112" fillId="3" borderId="3" xfId="13" applyFont="1" applyFill="1" applyBorder="1" applyAlignment="1" applyProtection="1">
      <alignment horizontal="left" vertical="center" wrapText="1"/>
      <protection locked="0"/>
    </xf>
    <xf numFmtId="0" fontId="112" fillId="0" borderId="3" xfId="13" applyFont="1" applyFill="1" applyBorder="1" applyAlignment="1" applyProtection="1">
      <alignment horizontal="left" vertical="center" wrapText="1"/>
      <protection locked="0"/>
    </xf>
    <xf numFmtId="0" fontId="117" fillId="3" borderId="3" xfId="13" applyFont="1" applyFill="1" applyBorder="1" applyAlignment="1" applyProtection="1">
      <alignment wrapText="1"/>
      <protection locked="0"/>
    </xf>
    <xf numFmtId="0" fontId="112" fillId="3" borderId="3" xfId="9" applyFont="1" applyFill="1" applyBorder="1" applyAlignment="1" applyProtection="1">
      <alignment horizontal="left" vertical="center"/>
      <protection locked="0"/>
    </xf>
    <xf numFmtId="0" fontId="117" fillId="3" borderId="0" xfId="13" applyFont="1" applyFill="1" applyBorder="1" applyAlignment="1" applyProtection="1">
      <alignment horizontal="left" vertical="center"/>
      <protection locked="0"/>
    </xf>
    <xf numFmtId="0" fontId="112" fillId="0" borderId="0" xfId="0" applyFont="1" applyFill="1" applyBorder="1" applyAlignment="1" applyProtection="1">
      <alignment horizontal="left"/>
      <protection locked="0"/>
    </xf>
    <xf numFmtId="0" fontId="112" fillId="3" borderId="0" xfId="5" applyFont="1" applyFill="1" applyBorder="1" applyAlignment="1" applyProtection="1">
      <alignment horizontal="left"/>
      <protection locked="0"/>
    </xf>
    <xf numFmtId="0" fontId="112" fillId="3" borderId="0" xfId="5" applyFont="1" applyFill="1" applyProtection="1">
      <protection locked="0"/>
    </xf>
    <xf numFmtId="3" fontId="112" fillId="3" borderId="0" xfId="1" applyNumberFormat="1" applyFont="1" applyFill="1" applyProtection="1">
      <protection locked="0"/>
    </xf>
    <xf numFmtId="14" fontId="112" fillId="0" borderId="0" xfId="0" applyNumberFormat="1" applyFont="1" applyFill="1" applyBorder="1" applyAlignment="1" applyProtection="1">
      <alignment horizontal="left"/>
      <protection locked="0"/>
    </xf>
    <xf numFmtId="14" fontId="112" fillId="3" borderId="0" xfId="8" applyNumberFormat="1" applyFont="1" applyFill="1" applyBorder="1" applyAlignment="1" applyProtection="1">
      <alignment horizontal="left"/>
      <protection locked="0"/>
    </xf>
    <xf numFmtId="0" fontId="112" fillId="3" borderId="0" xfId="13" applyFont="1" applyFill="1" applyAlignment="1" applyProtection="1">
      <alignment horizontal="left" vertical="center"/>
      <protection locked="0"/>
    </xf>
    <xf numFmtId="0" fontId="117" fillId="3" borderId="0" xfId="9" applyFont="1" applyFill="1" applyAlignment="1" applyProtection="1">
      <alignment horizontal="left"/>
      <protection locked="0"/>
    </xf>
    <xf numFmtId="0" fontId="117" fillId="3" borderId="0" xfId="9" applyFont="1" applyFill="1" applyAlignment="1" applyProtection="1">
      <alignment horizontal="left" indent="2"/>
      <protection locked="0"/>
    </xf>
    <xf numFmtId="194" fontId="112" fillId="3" borderId="0" xfId="5" applyNumberFormat="1" applyFont="1" applyFill="1" applyProtection="1">
      <protection locked="0"/>
    </xf>
    <xf numFmtId="0" fontId="112" fillId="3" borderId="0" xfId="5" applyFont="1" applyFill="1" applyAlignment="1" applyProtection="1">
      <alignment horizontal="left" vertical="center"/>
      <protection locked="0"/>
    </xf>
    <xf numFmtId="0" fontId="112" fillId="3" borderId="3" xfId="5" applyFont="1" applyFill="1" applyBorder="1" applyAlignment="1" applyProtection="1">
      <alignment horizontal="left" vertical="center"/>
      <protection locked="0"/>
    </xf>
    <xf numFmtId="0" fontId="117" fillId="3" borderId="3" xfId="8" applyFont="1" applyFill="1" applyBorder="1" applyAlignment="1" applyProtection="1">
      <alignment horizontal="center" vertical="center"/>
      <protection locked="0"/>
    </xf>
    <xf numFmtId="0" fontId="112" fillId="3" borderId="3" xfId="13" applyFont="1" applyFill="1" applyBorder="1" applyAlignment="1" applyProtection="1">
      <alignment horizontal="center" vertical="center" wrapText="1"/>
      <protection locked="0"/>
    </xf>
    <xf numFmtId="0" fontId="112" fillId="3" borderId="3" xfId="5" applyFont="1" applyFill="1" applyBorder="1" applyAlignment="1" applyProtection="1">
      <alignment horizontal="right" vertical="center"/>
      <protection locked="0"/>
    </xf>
    <xf numFmtId="0" fontId="117" fillId="3" borderId="3" xfId="8" applyFont="1" applyFill="1" applyBorder="1" applyAlignment="1" applyProtection="1">
      <alignment horizontal="left" vertical="center"/>
      <protection locked="0"/>
    </xf>
    <xf numFmtId="3" fontId="117" fillId="78" borderId="3" xfId="5" applyNumberFormat="1" applyFont="1" applyFill="1" applyBorder="1" applyProtection="1"/>
    <xf numFmtId="14" fontId="112" fillId="3" borderId="3" xfId="8" quotePrefix="1" applyNumberFormat="1" applyFont="1" applyFill="1" applyBorder="1" applyAlignment="1" applyProtection="1">
      <alignment horizontal="left" indent="3"/>
      <protection locked="0"/>
    </xf>
    <xf numFmtId="3" fontId="112" fillId="78" borderId="3" xfId="5" applyNumberFormat="1" applyFont="1" applyFill="1" applyBorder="1" applyProtection="1"/>
    <xf numFmtId="0" fontId="1" fillId="3" borderId="3" xfId="5" applyFont="1" applyFill="1" applyBorder="1" applyAlignment="1" applyProtection="1">
      <alignment horizontal="right" vertical="center"/>
      <protection locked="0"/>
    </xf>
    <xf numFmtId="0" fontId="3" fillId="3" borderId="3" xfId="8" applyFont="1" applyFill="1" applyBorder="1" applyAlignment="1" applyProtection="1">
      <alignment horizontal="left" vertical="center" wrapText="1"/>
      <protection locked="0"/>
    </xf>
    <xf numFmtId="3" fontId="1" fillId="3" borderId="3" xfId="5" applyNumberFormat="1" applyFont="1" applyFill="1" applyBorder="1" applyProtection="1">
      <protection locked="0"/>
    </xf>
    <xf numFmtId="3" fontId="1" fillId="3" borderId="0" xfId="1" applyNumberFormat="1" applyFont="1" applyFill="1" applyProtection="1">
      <protection locked="0"/>
    </xf>
    <xf numFmtId="3" fontId="1" fillId="3" borderId="0" xfId="5" applyNumberFormat="1" applyFont="1" applyFill="1" applyProtection="1">
      <protection locked="0"/>
    </xf>
    <xf numFmtId="0" fontId="1" fillId="3" borderId="0" xfId="5" applyFont="1" applyFill="1" applyProtection="1">
      <protection locked="0"/>
    </xf>
    <xf numFmtId="3" fontId="1" fillId="0" borderId="0" xfId="13" applyNumberFormat="1" applyFont="1" applyFill="1" applyProtection="1">
      <protection locked="0"/>
    </xf>
    <xf numFmtId="14" fontId="117" fillId="3" borderId="3" xfId="8" quotePrefix="1" applyNumberFormat="1" applyFont="1" applyFill="1" applyBorder="1" applyAlignment="1" applyProtection="1">
      <alignment horizontal="left" wrapText="1"/>
      <protection locked="0"/>
    </xf>
    <xf numFmtId="195" fontId="112" fillId="3" borderId="0" xfId="5" applyNumberFormat="1" applyFont="1" applyFill="1" applyProtection="1">
      <protection locked="0"/>
    </xf>
    <xf numFmtId="196" fontId="112" fillId="3" borderId="0" xfId="5" applyNumberFormat="1" applyFont="1" applyFill="1" applyProtection="1">
      <protection locked="0"/>
    </xf>
    <xf numFmtId="0" fontId="117" fillId="3" borderId="8" xfId="9" applyFont="1" applyFill="1" applyBorder="1" applyAlignment="1" applyProtection="1">
      <alignment horizontal="left" wrapText="1"/>
      <protection locked="0"/>
    </xf>
    <xf numFmtId="3" fontId="112" fillId="3" borderId="0" xfId="1" applyNumberFormat="1" applyFont="1" applyFill="1" applyBorder="1" applyProtection="1">
      <protection locked="0"/>
    </xf>
    <xf numFmtId="0" fontId="112" fillId="3" borderId="0" xfId="5" applyFont="1" applyFill="1" applyBorder="1" applyProtection="1">
      <protection locked="0"/>
    </xf>
    <xf numFmtId="0" fontId="112" fillId="3" borderId="0" xfId="8" applyFont="1" applyFill="1" applyBorder="1" applyAlignment="1" applyProtection="1">
      <alignment horizontal="left" vertical="center"/>
      <protection locked="0"/>
    </xf>
    <xf numFmtId="197" fontId="112" fillId="3" borderId="0" xfId="8" applyNumberFormat="1" applyFont="1" applyFill="1" applyBorder="1" applyAlignment="1" applyProtection="1">
      <alignment horizontal="left"/>
      <protection locked="0"/>
    </xf>
    <xf numFmtId="198" fontId="112" fillId="3" borderId="0" xfId="5" applyNumberFormat="1" applyFont="1" applyFill="1" applyProtection="1">
      <protection locked="0"/>
    </xf>
    <xf numFmtId="0" fontId="117" fillId="3" borderId="0" xfId="15" applyFont="1" applyFill="1" applyAlignment="1" applyProtection="1">
      <alignment horizontal="left" vertical="center"/>
      <protection locked="0"/>
    </xf>
    <xf numFmtId="0" fontId="117" fillId="3" borderId="0" xfId="8" applyFont="1" applyFill="1" applyAlignment="1" applyProtection="1">
      <alignment horizontal="left" vertical="center"/>
      <protection locked="0"/>
    </xf>
    <xf numFmtId="0" fontId="117" fillId="3" borderId="0" xfId="9" applyFont="1" applyFill="1" applyAlignment="1" applyProtection="1">
      <protection locked="0"/>
    </xf>
    <xf numFmtId="0" fontId="112" fillId="3" borderId="0" xfId="13" applyFont="1" applyFill="1" applyProtection="1">
      <protection locked="0"/>
    </xf>
    <xf numFmtId="0" fontId="118" fillId="3" borderId="0" xfId="5" applyFont="1" applyFill="1" applyAlignment="1" applyProtection="1">
      <alignment vertical="center"/>
      <protection locked="0"/>
    </xf>
    <xf numFmtId="0" fontId="118" fillId="3" borderId="0" xfId="13" applyFont="1" applyFill="1" applyAlignment="1" applyProtection="1">
      <alignment vertical="center"/>
      <protection locked="0"/>
    </xf>
    <xf numFmtId="0" fontId="112" fillId="3" borderId="3" xfId="5" applyFont="1" applyFill="1" applyBorder="1" applyProtection="1">
      <protection locked="0"/>
    </xf>
    <xf numFmtId="3" fontId="112" fillId="3" borderId="3" xfId="1" applyNumberFormat="1" applyFont="1" applyFill="1" applyBorder="1" applyAlignment="1" applyProtection="1">
      <alignment horizontal="center" vertical="center" wrapText="1"/>
      <protection locked="0"/>
    </xf>
    <xf numFmtId="9" fontId="112" fillId="3" borderId="3" xfId="15" applyNumberFormat="1" applyFont="1" applyFill="1" applyBorder="1" applyAlignment="1" applyProtection="1">
      <alignment horizontal="center" vertical="center"/>
      <protection locked="0"/>
    </xf>
    <xf numFmtId="49" fontId="112" fillId="3" borderId="3" xfId="5" applyNumberFormat="1" applyFont="1" applyFill="1" applyBorder="1" applyAlignment="1" applyProtection="1">
      <alignment horizontal="right" vertical="center"/>
      <protection locked="0"/>
    </xf>
    <xf numFmtId="38" fontId="112" fillId="3" borderId="3" xfId="5" applyNumberFormat="1" applyFont="1" applyFill="1" applyBorder="1" applyProtection="1">
      <protection locked="0"/>
    </xf>
    <xf numFmtId="3" fontId="112" fillId="3" borderId="3" xfId="8" applyNumberFormat="1" applyFont="1" applyFill="1" applyBorder="1" applyAlignment="1" applyProtection="1">
      <alignment horizontal="right" wrapText="1"/>
      <protection locked="0"/>
    </xf>
    <xf numFmtId="3" fontId="112" fillId="78" borderId="3" xfId="1" applyNumberFormat="1" applyFont="1" applyFill="1" applyBorder="1" applyProtection="1"/>
    <xf numFmtId="3" fontId="112" fillId="3" borderId="3" xfId="5" applyNumberFormat="1" applyFont="1" applyFill="1" applyBorder="1" applyProtection="1">
      <protection locked="0"/>
    </xf>
    <xf numFmtId="3" fontId="116" fillId="3" borderId="3" xfId="5" applyNumberFormat="1" applyFont="1" applyFill="1" applyBorder="1" applyProtection="1">
      <protection locked="0"/>
    </xf>
    <xf numFmtId="49" fontId="112" fillId="0" borderId="3" xfId="5" applyNumberFormat="1" applyFont="1" applyFill="1" applyBorder="1" applyAlignment="1" applyProtection="1">
      <alignment horizontal="right" vertical="center"/>
      <protection locked="0"/>
    </xf>
    <xf numFmtId="3" fontId="112" fillId="0" borderId="3" xfId="5" applyNumberFormat="1" applyFont="1" applyFill="1" applyBorder="1" applyProtection="1">
      <protection locked="0"/>
    </xf>
    <xf numFmtId="3" fontId="112" fillId="0" borderId="3" xfId="8" applyNumberFormat="1" applyFont="1" applyFill="1" applyBorder="1" applyAlignment="1" applyProtection="1">
      <alignment horizontal="right" wrapText="1"/>
      <protection locked="0"/>
    </xf>
    <xf numFmtId="0" fontId="112" fillId="0" borderId="0" xfId="5" applyFont="1" applyFill="1" applyProtection="1">
      <protection locked="0"/>
    </xf>
    <xf numFmtId="0" fontId="112" fillId="3" borderId="3" xfId="13" applyFont="1" applyFill="1" applyBorder="1" applyAlignment="1" applyProtection="1">
      <alignment horizontal="left" vertical="center" wrapText="1" indent="1"/>
      <protection locked="0"/>
    </xf>
    <xf numFmtId="164" fontId="112" fillId="3" borderId="3" xfId="8" applyNumberFormat="1" applyFont="1" applyFill="1" applyBorder="1" applyAlignment="1" applyProtection="1">
      <alignment horizontal="right" wrapText="1"/>
      <protection locked="0"/>
    </xf>
    <xf numFmtId="0" fontId="112" fillId="0" borderId="3" xfId="13" applyFont="1" applyFill="1" applyBorder="1" applyAlignment="1" applyProtection="1">
      <alignment horizontal="left" vertical="center" wrapText="1" indent="1"/>
      <protection locked="0"/>
    </xf>
    <xf numFmtId="164" fontId="112" fillId="3" borderId="3" xfId="5" applyNumberFormat="1" applyFont="1" applyFill="1" applyBorder="1" applyProtection="1">
      <protection locked="0"/>
    </xf>
    <xf numFmtId="0" fontId="117" fillId="3" borderId="3" xfId="16" applyFont="1" applyFill="1" applyBorder="1" applyAlignment="1" applyProtection="1">
      <protection locked="0"/>
    </xf>
    <xf numFmtId="3" fontId="117" fillId="78" borderId="3" xfId="16" applyNumberFormat="1" applyFont="1" applyFill="1" applyBorder="1" applyAlignment="1" applyProtection="1">
      <protection locked="0"/>
    </xf>
    <xf numFmtId="3" fontId="117" fillId="78" borderId="3" xfId="16" applyNumberFormat="1" applyFont="1" applyFill="1" applyBorder="1" applyAlignment="1" applyProtection="1"/>
    <xf numFmtId="0" fontId="112" fillId="3" borderId="0" xfId="5" applyFont="1" applyFill="1" applyAlignment="1" applyProtection="1">
      <alignment wrapText="1"/>
      <protection locked="0"/>
    </xf>
    <xf numFmtId="0" fontId="112" fillId="3" borderId="0" xfId="5" applyFont="1" applyFill="1" applyAlignment="1" applyProtection="1">
      <protection locked="0"/>
    </xf>
    <xf numFmtId="0" fontId="118" fillId="3" borderId="0" xfId="13" applyFont="1" applyFill="1" applyBorder="1" applyAlignment="1" applyProtection="1">
      <alignment horizontal="left" vertical="center"/>
      <protection locked="0"/>
    </xf>
    <xf numFmtId="0" fontId="118" fillId="3" borderId="0" xfId="5" applyFont="1" applyFill="1" applyBorder="1" applyAlignment="1" applyProtection="1">
      <alignment horizontal="left" vertical="center" wrapText="1"/>
      <protection locked="0"/>
    </xf>
    <xf numFmtId="0" fontId="118" fillId="3" borderId="3" xfId="5" applyFont="1" applyFill="1" applyBorder="1" applyAlignment="1" applyProtection="1">
      <alignment vertical="center" wrapText="1"/>
      <protection locked="0"/>
    </xf>
    <xf numFmtId="3" fontId="112" fillId="3" borderId="3" xfId="1" applyNumberFormat="1" applyFont="1" applyFill="1" applyBorder="1" applyProtection="1">
      <protection locked="0"/>
    </xf>
    <xf numFmtId="165" fontId="112" fillId="3" borderId="3" xfId="8" applyNumberFormat="1" applyFont="1" applyFill="1" applyBorder="1" applyAlignment="1" applyProtection="1">
      <alignment horizontal="right" wrapText="1"/>
      <protection locked="0"/>
    </xf>
    <xf numFmtId="2" fontId="112" fillId="3" borderId="3" xfId="5" applyNumberFormat="1" applyFont="1" applyFill="1" applyBorder="1" applyAlignment="1" applyProtection="1">
      <alignment horizontal="right" vertical="center"/>
      <protection locked="0"/>
    </xf>
    <xf numFmtId="0" fontId="118" fillId="3" borderId="3" xfId="13" applyFont="1" applyFill="1" applyBorder="1" applyAlignment="1" applyProtection="1">
      <alignment vertical="center" wrapText="1"/>
      <protection locked="0"/>
    </xf>
    <xf numFmtId="3" fontId="112" fillId="0" borderId="3" xfId="13" applyNumberFormat="1" applyFont="1" applyBorder="1" applyProtection="1">
      <protection locked="0"/>
    </xf>
    <xf numFmtId="4" fontId="112" fillId="0" borderId="3" xfId="13" applyNumberFormat="1" applyFont="1" applyBorder="1" applyProtection="1">
      <protection locked="0"/>
    </xf>
    <xf numFmtId="3" fontId="112" fillId="0" borderId="3" xfId="1" applyNumberFormat="1" applyFont="1" applyFill="1" applyBorder="1" applyProtection="1">
      <protection locked="0"/>
    </xf>
    <xf numFmtId="38" fontId="112" fillId="0" borderId="3" xfId="13" applyNumberFormat="1" applyFont="1" applyBorder="1" applyProtection="1">
      <protection locked="0"/>
    </xf>
    <xf numFmtId="0" fontId="112" fillId="0" borderId="3" xfId="5" applyFont="1" applyFill="1" applyBorder="1" applyProtection="1">
      <protection locked="0"/>
    </xf>
    <xf numFmtId="0" fontId="118" fillId="3" borderId="0" xfId="5" applyFont="1" applyFill="1" applyAlignment="1" applyProtection="1">
      <alignment vertical="center" wrapText="1"/>
      <protection locked="0"/>
    </xf>
    <xf numFmtId="0" fontId="112" fillId="0" borderId="3" xfId="13" applyFont="1" applyFill="1" applyBorder="1" applyAlignment="1" applyProtection="1">
      <alignment horizontal="center" vertical="center" wrapText="1"/>
      <protection locked="0"/>
    </xf>
    <xf numFmtId="3" fontId="112" fillId="78" borderId="3" xfId="5" applyNumberFormat="1" applyFont="1" applyFill="1" applyBorder="1" applyProtection="1">
      <protection locked="0"/>
    </xf>
    <xf numFmtId="164" fontId="112" fillId="78" borderId="3" xfId="1" applyNumberFormat="1" applyFont="1" applyFill="1" applyBorder="1" applyProtection="1">
      <protection locked="0"/>
    </xf>
    <xf numFmtId="165" fontId="112" fillId="4" borderId="3" xfId="8" applyNumberFormat="1" applyFont="1" applyFill="1" applyBorder="1" applyAlignment="1" applyProtection="1">
      <alignment horizontal="right" wrapText="1"/>
      <protection locked="0"/>
    </xf>
    <xf numFmtId="164" fontId="112" fillId="0" borderId="3" xfId="1" applyNumberFormat="1" applyFont="1" applyFill="1" applyBorder="1" applyProtection="1">
      <protection locked="0"/>
    </xf>
    <xf numFmtId="0" fontId="117" fillId="0" borderId="3" xfId="13" applyFont="1" applyFill="1" applyBorder="1" applyAlignment="1" applyProtection="1">
      <alignment wrapText="1"/>
      <protection locked="0"/>
    </xf>
    <xf numFmtId="164" fontId="117" fillId="78" borderId="3" xfId="1" applyNumberFormat="1" applyFont="1" applyFill="1" applyBorder="1" applyAlignment="1" applyProtection="1">
      <protection locked="0"/>
    </xf>
    <xf numFmtId="0" fontId="117" fillId="3" borderId="0" xfId="8" applyFont="1" applyFill="1" applyBorder="1" applyAlignment="1" applyProtection="1">
      <protection locked="0"/>
    </xf>
    <xf numFmtId="0" fontId="112" fillId="3" borderId="3" xfId="15" applyFont="1" applyFill="1" applyBorder="1" applyAlignment="1" applyProtection="1">
      <alignment horizontal="left" vertical="center"/>
      <protection locked="0"/>
    </xf>
    <xf numFmtId="0" fontId="117" fillId="3" borderId="3" xfId="15" applyFont="1" applyFill="1" applyBorder="1" applyAlignment="1" applyProtection="1">
      <alignment horizontal="center" vertical="center"/>
      <protection locked="0"/>
    </xf>
    <xf numFmtId="0" fontId="1" fillId="3" borderId="3" xfId="15" applyFont="1" applyFill="1" applyBorder="1" applyAlignment="1" applyProtection="1">
      <alignment horizontal="center" vertical="center" wrapText="1"/>
      <protection locked="0"/>
    </xf>
    <xf numFmtId="0" fontId="112" fillId="3" borderId="3" xfId="15" applyFont="1" applyFill="1" applyBorder="1" applyAlignment="1" applyProtection="1">
      <alignment horizontal="center" vertical="center" wrapText="1"/>
      <protection locked="0"/>
    </xf>
    <xf numFmtId="0" fontId="112" fillId="3" borderId="3" xfId="5" applyFont="1" applyFill="1" applyBorder="1" applyAlignment="1" applyProtection="1">
      <alignment horizontal="center" vertical="center" wrapText="1"/>
      <protection locked="0"/>
    </xf>
    <xf numFmtId="9" fontId="112" fillId="78" borderId="3" xfId="14" applyFont="1" applyFill="1" applyBorder="1" applyAlignment="1" applyProtection="1">
      <protection locked="0"/>
    </xf>
    <xf numFmtId="0" fontId="116" fillId="3" borderId="0" xfId="5" applyFont="1" applyFill="1" applyProtection="1">
      <protection locked="0"/>
    </xf>
    <xf numFmtId="3" fontId="112" fillId="3" borderId="3" xfId="16" applyNumberFormat="1" applyFont="1" applyFill="1" applyBorder="1" applyAlignment="1" applyProtection="1">
      <alignment horizontal="left" wrapText="1"/>
      <protection locked="0"/>
    </xf>
    <xf numFmtId="164" fontId="112" fillId="0" borderId="3" xfId="8" applyNumberFormat="1" applyFont="1" applyFill="1" applyBorder="1" applyAlignment="1" applyProtection="1">
      <alignment horizontal="right" wrapText="1"/>
      <protection locked="0"/>
    </xf>
    <xf numFmtId="0" fontId="0" fillId="0" borderId="0" xfId="0" quotePrefix="1" applyAlignment="1">
      <alignment horizontal="center"/>
    </xf>
    <xf numFmtId="0" fontId="0" fillId="0" borderId="3" xfId="0" quotePrefix="1" applyBorder="1" applyAlignment="1">
      <alignment horizontal="center"/>
    </xf>
    <xf numFmtId="193" fontId="26" fillId="0" borderId="13" xfId="0" applyNumberFormat="1" applyFont="1" applyBorder="1" applyAlignment="1">
      <alignment horizontal="center" vertical="center"/>
    </xf>
    <xf numFmtId="0" fontId="4" fillId="0" borderId="3" xfId="0" quotePrefix="1" applyFont="1" applyBorder="1"/>
    <xf numFmtId="3" fontId="4" fillId="0" borderId="3" xfId="0" applyNumberFormat="1" applyFont="1" applyBorder="1"/>
    <xf numFmtId="38" fontId="4" fillId="0" borderId="3" xfId="0" quotePrefix="1" applyNumberFormat="1" applyFont="1" applyBorder="1"/>
    <xf numFmtId="3" fontId="4" fillId="0" borderId="3" xfId="0" quotePrefix="1" applyNumberFormat="1" applyFont="1" applyBorder="1"/>
    <xf numFmtId="0" fontId="107" fillId="0" borderId="67" xfId="0" applyFont="1" applyBorder="1" applyAlignment="1">
      <alignment horizontal="left" wrapText="1"/>
    </xf>
    <xf numFmtId="0" fontId="107" fillId="0" borderId="66" xfId="0" applyFont="1" applyBorder="1" applyAlignment="1">
      <alignment horizontal="left" wrapText="1"/>
    </xf>
    <xf numFmtId="0" fontId="9" fillId="0" borderId="27" xfId="0" applyFont="1" applyFill="1" applyBorder="1" applyAlignment="1" applyProtection="1">
      <alignment horizontal="center"/>
    </xf>
    <xf numFmtId="0" fontId="9" fillId="0" borderId="28"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29" xfId="0" applyFont="1" applyFill="1" applyBorder="1" applyAlignment="1" applyProtection="1">
      <alignment horizontal="center"/>
    </xf>
    <xf numFmtId="0" fontId="6" fillId="0" borderId="4" xfId="0" applyFont="1" applyBorder="1" applyAlignment="1">
      <alignment horizontal="center" vertical="center"/>
    </xf>
    <xf numFmtId="0" fontId="6" fillId="0" borderId="70"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0" fillId="0" borderId="27" xfId="0" applyFont="1" applyBorder="1" applyAlignment="1">
      <alignment horizontal="center" wrapText="1"/>
    </xf>
    <xf numFmtId="0" fontId="9" fillId="0" borderId="29" xfId="0" applyFont="1" applyBorder="1" applyAlignment="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wrapText="1"/>
    </xf>
    <xf numFmtId="0" fontId="9" fillId="0" borderId="21" xfId="0" applyFont="1" applyBorder="1" applyAlignment="1">
      <alignment horizontal="center"/>
    </xf>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8" xfId="0" applyFont="1" applyBorder="1" applyAlignment="1">
      <alignment wrapText="1"/>
    </xf>
    <xf numFmtId="0" fontId="9" fillId="0" borderId="21" xfId="0" applyFont="1" applyBorder="1" applyAlignment="1">
      <alignment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6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04" fillId="3" borderId="68" xfId="13" applyFont="1" applyFill="1" applyBorder="1" applyAlignment="1" applyProtection="1">
      <alignment horizontal="center" vertical="center" wrapText="1"/>
      <protection locked="0"/>
    </xf>
    <xf numFmtId="0" fontId="104" fillId="3" borderId="65"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164" fontId="15" fillId="0" borderId="71" xfId="1" applyNumberFormat="1" applyFont="1" applyFill="1" applyBorder="1" applyAlignment="1" applyProtection="1">
      <alignment horizontal="center" vertical="center" wrapText="1"/>
      <protection locked="0"/>
    </xf>
    <xf numFmtId="164" fontId="15" fillId="0" borderId="72"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cellXfs>
  <cellStyles count="20963">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23" xfId="20962"/>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161925</xdr:rowOff>
    </xdr:to>
    <xdr:sp macro="" textlink="" fPublished="1">
      <xdr:nvSpPr>
        <xdr:cNvPr id="1025" name="Straight Connector 2"/>
        <xdr:cNvSpPr/>
      </xdr:nvSpPr>
      <xdr:spPr>
        <a:prstGeom prst="line">
          <a:avLst/>
        </a:prstGeom>
        <a:ln w="9525">
          <a:solidFill>
            <a:schemeClr val="dk1"/>
          </a:solidFill>
        </a:ln>
      </xdr:spPr>
      <xdr:style>
        <a:lnRef idx="1">
          <a:schemeClr val="accent1"/>
        </a:lnRef>
        <a:fillRef idx="0">
          <a:schemeClr val="accent1"/>
        </a:fillRef>
        <a:effectRef idx="0">
          <a:schemeClr val="accent1"/>
        </a:effectRef>
        <a:fontRef idx="minor">
          <a:schemeClr val="dk1"/>
        </a:fontRef>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bgreporting\Users\tamta.chkonia\Downloads\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bgreporting\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sha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pane xSplit="1" ySplit="7" topLeftCell="B8" activePane="bottomRight" state="frozen"/>
      <selection pane="topRight"/>
      <selection pane="bottomLeft"/>
      <selection pane="bottomRight" activeCell="B25" sqref="B25"/>
    </sheetView>
  </sheetViews>
  <sheetFormatPr defaultColWidth="9.140625" defaultRowHeight="15"/>
  <cols>
    <col min="1" max="1" width="10.28515625" style="2" customWidth="1"/>
    <col min="2" max="2" width="134.7109375" bestFit="1" customWidth="1"/>
    <col min="3" max="3" width="39.42578125" customWidth="1"/>
    <col min="7" max="7" width="25" customWidth="1"/>
  </cols>
  <sheetData>
    <row r="1" spans="1:3" ht="15.75">
      <c r="A1" s="10"/>
      <c r="B1" s="211" t="s">
        <v>270</v>
      </c>
      <c r="C1" s="102"/>
    </row>
    <row r="2" spans="1:3" s="208" customFormat="1" ht="18">
      <c r="A2" s="265">
        <v>1</v>
      </c>
      <c r="B2" s="209" t="s">
        <v>271</v>
      </c>
      <c r="C2" s="357" t="s">
        <v>397</v>
      </c>
    </row>
    <row r="3" spans="1:3" s="208" customFormat="1" ht="15.75">
      <c r="A3" s="265">
        <v>2</v>
      </c>
      <c r="B3" s="210" t="s">
        <v>272</v>
      </c>
      <c r="C3" s="206" t="s">
        <v>398</v>
      </c>
    </row>
    <row r="4" spans="1:3" s="208" customFormat="1" ht="15.75">
      <c r="A4" s="265">
        <v>3</v>
      </c>
      <c r="B4" s="210" t="s">
        <v>273</v>
      </c>
      <c r="C4" s="206" t="s">
        <v>399</v>
      </c>
    </row>
    <row r="5" spans="1:3" s="208" customFormat="1" ht="15.75">
      <c r="A5" s="266">
        <v>4</v>
      </c>
      <c r="B5" s="216" t="s">
        <v>274</v>
      </c>
      <c r="C5" s="358" t="s">
        <v>400</v>
      </c>
    </row>
    <row r="6" spans="1:3" s="212" customFormat="1" ht="65.25" customHeight="1">
      <c r="A6" s="530" t="s">
        <v>295</v>
      </c>
      <c r="B6" s="531"/>
      <c r="C6" s="531"/>
    </row>
    <row r="7" spans="1:3">
      <c r="A7" s="264" t="s">
        <v>347</v>
      </c>
      <c r="B7" s="211" t="s">
        <v>275</v>
      </c>
    </row>
    <row r="8" spans="1:3">
      <c r="A8" s="10">
        <v>1</v>
      </c>
      <c r="B8" s="213" t="s">
        <v>235</v>
      </c>
    </row>
    <row r="9" spans="1:3">
      <c r="A9" s="10">
        <v>2</v>
      </c>
      <c r="B9" s="213" t="s">
        <v>276</v>
      </c>
    </row>
    <row r="10" spans="1:3">
      <c r="A10" s="10">
        <v>3</v>
      </c>
      <c r="B10" s="213" t="s">
        <v>277</v>
      </c>
    </row>
    <row r="11" spans="1:3">
      <c r="A11" s="10">
        <v>4</v>
      </c>
      <c r="B11" s="213" t="s">
        <v>278</v>
      </c>
      <c r="C11" s="207"/>
    </row>
    <row r="12" spans="1:3">
      <c r="A12" s="10">
        <v>5</v>
      </c>
      <c r="B12" s="213" t="s">
        <v>196</v>
      </c>
    </row>
    <row r="13" spans="1:3">
      <c r="A13" s="10">
        <v>6</v>
      </c>
      <c r="B13" s="214" t="s">
        <v>157</v>
      </c>
    </row>
    <row r="14" spans="1:3">
      <c r="A14" s="10">
        <v>7</v>
      </c>
      <c r="B14" s="213" t="s">
        <v>280</v>
      </c>
    </row>
    <row r="15" spans="1:3">
      <c r="A15" s="10">
        <v>8</v>
      </c>
      <c r="B15" s="213" t="s">
        <v>284</v>
      </c>
    </row>
    <row r="16" spans="1:3">
      <c r="A16" s="10">
        <v>9</v>
      </c>
      <c r="B16" s="213" t="s">
        <v>95</v>
      </c>
    </row>
    <row r="17" spans="1:2">
      <c r="A17" s="10">
        <v>10</v>
      </c>
      <c r="B17" s="213" t="s">
        <v>288</v>
      </c>
    </row>
    <row r="18" spans="1:2">
      <c r="A18" s="10">
        <v>11</v>
      </c>
      <c r="B18" s="214" t="s">
        <v>264</v>
      </c>
    </row>
    <row r="19" spans="1:2">
      <c r="A19" s="10">
        <v>12</v>
      </c>
      <c r="B19" s="214" t="s">
        <v>261</v>
      </c>
    </row>
    <row r="20" spans="1:2">
      <c r="A20" s="10">
        <v>13</v>
      </c>
      <c r="B20" s="215" t="s">
        <v>386</v>
      </c>
    </row>
    <row r="21" spans="1:2">
      <c r="A21" s="10">
        <v>14</v>
      </c>
      <c r="B21" s="214" t="s">
        <v>77</v>
      </c>
    </row>
    <row r="22" spans="1:2">
      <c r="A22" s="135">
        <v>15</v>
      </c>
      <c r="B22" s="214" t="s">
        <v>84</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55"/>
  <sheetViews>
    <sheetView zoomScaleNormal="100" workbookViewId="0">
      <pane xSplit="1" ySplit="5" topLeftCell="B6" activePane="bottomRight" state="frozen"/>
      <selection pane="topRight"/>
      <selection pane="bottomLeft"/>
      <selection pane="bottomRight" activeCell="C46" sqref="C46"/>
    </sheetView>
  </sheetViews>
  <sheetFormatPr defaultColWidth="9.140625" defaultRowHeight="15"/>
  <cols>
    <col min="1" max="1" width="9.5703125" style="5" bestFit="1" customWidth="1"/>
    <col min="2" max="2" width="132.42578125" style="2" customWidth="1"/>
    <col min="3" max="3" width="18.42578125" style="2" customWidth="1"/>
    <col min="5" max="5" width="12.5703125" bestFit="1" customWidth="1"/>
    <col min="7" max="7" width="11.28515625" bestFit="1" customWidth="1"/>
  </cols>
  <sheetData>
    <row r="1" spans="1:7" ht="15.75">
      <c r="A1" s="17" t="s">
        <v>199</v>
      </c>
      <c r="B1" s="408" t="s">
        <v>473</v>
      </c>
      <c r="D1" s="2"/>
      <c r="F1" s="2"/>
    </row>
    <row r="2" spans="1:7" s="21" customFormat="1" ht="15.75" customHeight="1">
      <c r="A2" s="21" t="s">
        <v>200</v>
      </c>
      <c r="B2" s="408" t="s">
        <v>474</v>
      </c>
      <c r="E2"/>
    </row>
    <row r="3" spans="1:7" s="21" customFormat="1" ht="15.75" customHeight="1">
      <c r="E3"/>
    </row>
    <row r="4" spans="1:7" ht="15.75" thickBot="1">
      <c r="A4" s="5" t="s">
        <v>356</v>
      </c>
      <c r="B4" s="64" t="s">
        <v>95</v>
      </c>
    </row>
    <row r="5" spans="1:7">
      <c r="A5" s="155" t="s">
        <v>29</v>
      </c>
      <c r="B5" s="156"/>
      <c r="C5" s="157" t="s">
        <v>30</v>
      </c>
    </row>
    <row r="6" spans="1:7">
      <c r="A6" s="158">
        <v>1</v>
      </c>
      <c r="B6" s="91" t="s">
        <v>31</v>
      </c>
      <c r="C6" s="311">
        <f>SUM(C7:C11)</f>
        <v>105331557.98999999</v>
      </c>
      <c r="G6" s="392"/>
    </row>
    <row r="7" spans="1:7">
      <c r="A7" s="158">
        <v>2</v>
      </c>
      <c r="B7" s="88" t="s">
        <v>32</v>
      </c>
      <c r="C7" s="388">
        <v>103000000</v>
      </c>
      <c r="G7" s="392"/>
    </row>
    <row r="8" spans="1:7">
      <c r="A8" s="158">
        <v>3</v>
      </c>
      <c r="B8" s="82" t="s">
        <v>33</v>
      </c>
      <c r="C8" s="388"/>
      <c r="G8" s="392"/>
    </row>
    <row r="9" spans="1:7">
      <c r="A9" s="158">
        <v>4</v>
      </c>
      <c r="B9" s="82" t="s">
        <v>34</v>
      </c>
      <c r="C9" s="388"/>
      <c r="G9" s="392"/>
    </row>
    <row r="10" spans="1:7">
      <c r="A10" s="158">
        <v>5</v>
      </c>
      <c r="B10" s="82" t="s">
        <v>35</v>
      </c>
      <c r="C10" s="388"/>
      <c r="G10" s="392"/>
    </row>
    <row r="11" spans="1:7">
      <c r="A11" s="158">
        <v>6</v>
      </c>
      <c r="B11" s="89" t="s">
        <v>36</v>
      </c>
      <c r="C11" s="388">
        <v>2331557.9900000002</v>
      </c>
      <c r="G11" s="392"/>
    </row>
    <row r="12" spans="1:7" s="4" customFormat="1">
      <c r="A12" s="158">
        <v>7</v>
      </c>
      <c r="B12" s="91" t="s">
        <v>37</v>
      </c>
      <c r="C12" s="312">
        <f>SUM(C13:C27)</f>
        <v>5801006.1200000001</v>
      </c>
      <c r="E12"/>
      <c r="G12" s="392"/>
    </row>
    <row r="13" spans="1:7" s="4" customFormat="1">
      <c r="A13" s="158">
        <v>8</v>
      </c>
      <c r="B13" s="90" t="s">
        <v>38</v>
      </c>
      <c r="C13" s="389"/>
      <c r="E13"/>
      <c r="G13" s="392"/>
    </row>
    <row r="14" spans="1:7" s="4" customFormat="1" ht="25.5">
      <c r="A14" s="158">
        <v>9</v>
      </c>
      <c r="B14" s="83" t="s">
        <v>39</v>
      </c>
      <c r="C14" s="389"/>
      <c r="E14"/>
      <c r="G14" s="392"/>
    </row>
    <row r="15" spans="1:7" s="4" customFormat="1">
      <c r="A15" s="158">
        <v>10</v>
      </c>
      <c r="B15" s="84" t="s">
        <v>40</v>
      </c>
      <c r="C15" s="389">
        <v>2085956.12</v>
      </c>
      <c r="E15"/>
      <c r="G15" s="392"/>
    </row>
    <row r="16" spans="1:7" s="4" customFormat="1">
      <c r="A16" s="158">
        <v>11</v>
      </c>
      <c r="B16" s="85" t="s">
        <v>41</v>
      </c>
      <c r="C16" s="389"/>
      <c r="E16"/>
      <c r="G16" s="392"/>
    </row>
    <row r="17" spans="1:7" s="4" customFormat="1">
      <c r="A17" s="158">
        <v>12</v>
      </c>
      <c r="B17" s="84" t="s">
        <v>42</v>
      </c>
      <c r="C17" s="389"/>
      <c r="E17"/>
      <c r="G17" s="392"/>
    </row>
    <row r="18" spans="1:7" s="4" customFormat="1">
      <c r="A18" s="158">
        <v>13</v>
      </c>
      <c r="B18" s="84" t="s">
        <v>43</v>
      </c>
      <c r="C18" s="389"/>
      <c r="E18"/>
      <c r="G18" s="392"/>
    </row>
    <row r="19" spans="1:7" s="4" customFormat="1">
      <c r="A19" s="158">
        <v>14</v>
      </c>
      <c r="B19" s="84" t="s">
        <v>44</v>
      </c>
      <c r="C19" s="389"/>
      <c r="E19"/>
      <c r="G19" s="392"/>
    </row>
    <row r="20" spans="1:7" s="4" customFormat="1" ht="25.5">
      <c r="A20" s="158">
        <v>15</v>
      </c>
      <c r="B20" s="84" t="s">
        <v>45</v>
      </c>
      <c r="C20" s="389"/>
      <c r="E20"/>
      <c r="G20" s="392"/>
    </row>
    <row r="21" spans="1:7" s="4" customFormat="1" ht="25.5">
      <c r="A21" s="158">
        <v>16</v>
      </c>
      <c r="B21" s="83" t="s">
        <v>46</v>
      </c>
      <c r="C21" s="389"/>
      <c r="E21"/>
      <c r="G21" s="392"/>
    </row>
    <row r="22" spans="1:7" s="4" customFormat="1">
      <c r="A22" s="158">
        <v>17</v>
      </c>
      <c r="B22" s="159" t="s">
        <v>47</v>
      </c>
      <c r="C22" s="403">
        <v>3715050</v>
      </c>
      <c r="E22"/>
      <c r="G22" s="392"/>
    </row>
    <row r="23" spans="1:7" s="4" customFormat="1" ht="25.5">
      <c r="A23" s="158">
        <v>18</v>
      </c>
      <c r="B23" s="83" t="s">
        <v>48</v>
      </c>
      <c r="C23" s="389"/>
      <c r="E23"/>
      <c r="G23" s="392"/>
    </row>
    <row r="24" spans="1:7" s="4" customFormat="1" ht="25.5">
      <c r="A24" s="158">
        <v>19</v>
      </c>
      <c r="B24" s="83" t="s">
        <v>49</v>
      </c>
      <c r="C24" s="389"/>
      <c r="E24"/>
      <c r="G24" s="392"/>
    </row>
    <row r="25" spans="1:7" s="4" customFormat="1" ht="25.5">
      <c r="A25" s="158">
        <v>20</v>
      </c>
      <c r="B25" s="86" t="s">
        <v>50</v>
      </c>
      <c r="C25" s="389"/>
      <c r="E25"/>
      <c r="G25" s="392"/>
    </row>
    <row r="26" spans="1:7" s="4" customFormat="1">
      <c r="A26" s="158">
        <v>21</v>
      </c>
      <c r="B26" s="86" t="s">
        <v>51</v>
      </c>
      <c r="C26" s="389"/>
      <c r="E26"/>
      <c r="G26" s="392"/>
    </row>
    <row r="27" spans="1:7" s="4" customFormat="1" ht="25.5">
      <c r="A27" s="158">
        <v>22</v>
      </c>
      <c r="B27" s="86" t="s">
        <v>52</v>
      </c>
      <c r="C27" s="389"/>
      <c r="E27"/>
      <c r="G27" s="392"/>
    </row>
    <row r="28" spans="1:7" s="4" customFormat="1">
      <c r="A28" s="158">
        <v>23</v>
      </c>
      <c r="B28" s="92" t="s">
        <v>26</v>
      </c>
      <c r="C28" s="312">
        <f>C6-C12</f>
        <v>99530551.86999999</v>
      </c>
      <c r="E28"/>
      <c r="G28" s="392"/>
    </row>
    <row r="29" spans="1:7" s="4" customFormat="1">
      <c r="A29" s="160"/>
      <c r="B29" s="87"/>
      <c r="C29" s="313"/>
      <c r="E29"/>
      <c r="G29" s="392"/>
    </row>
    <row r="30" spans="1:7" s="4" customFormat="1">
      <c r="A30" s="160">
        <v>24</v>
      </c>
      <c r="B30" s="92" t="s">
        <v>53</v>
      </c>
      <c r="C30" s="312">
        <f>C31+C34</f>
        <v>0</v>
      </c>
      <c r="E30"/>
      <c r="G30" s="392"/>
    </row>
    <row r="31" spans="1:7" s="4" customFormat="1">
      <c r="A31" s="160">
        <v>25</v>
      </c>
      <c r="B31" s="82" t="s">
        <v>54</v>
      </c>
      <c r="C31" s="314">
        <f>C32+C33</f>
        <v>0</v>
      </c>
      <c r="E31"/>
      <c r="G31" s="392"/>
    </row>
    <row r="32" spans="1:7" s="4" customFormat="1">
      <c r="A32" s="160">
        <v>26</v>
      </c>
      <c r="B32" s="201" t="s">
        <v>55</v>
      </c>
      <c r="C32" s="313"/>
      <c r="E32"/>
      <c r="G32" s="392"/>
    </row>
    <row r="33" spans="1:7" s="4" customFormat="1">
      <c r="A33" s="160">
        <v>27</v>
      </c>
      <c r="B33" s="201" t="s">
        <v>56</v>
      </c>
      <c r="C33" s="313"/>
      <c r="E33"/>
      <c r="G33" s="392"/>
    </row>
    <row r="34" spans="1:7" s="4" customFormat="1">
      <c r="A34" s="160">
        <v>28</v>
      </c>
      <c r="B34" s="82" t="s">
        <v>57</v>
      </c>
      <c r="C34" s="313"/>
      <c r="E34"/>
      <c r="G34" s="392"/>
    </row>
    <row r="35" spans="1:7" s="4" customFormat="1">
      <c r="A35" s="160">
        <v>29</v>
      </c>
      <c r="B35" s="92" t="s">
        <v>58</v>
      </c>
      <c r="C35" s="312">
        <f>SUM(C36:C40)</f>
        <v>0</v>
      </c>
      <c r="E35"/>
      <c r="G35" s="392"/>
    </row>
    <row r="36" spans="1:7" s="4" customFormat="1">
      <c r="A36" s="160">
        <v>30</v>
      </c>
      <c r="B36" s="83" t="s">
        <v>59</v>
      </c>
      <c r="C36" s="313"/>
      <c r="E36"/>
      <c r="G36" s="392"/>
    </row>
    <row r="37" spans="1:7" s="4" customFormat="1">
      <c r="A37" s="160">
        <v>31</v>
      </c>
      <c r="B37" s="84" t="s">
        <v>60</v>
      </c>
      <c r="C37" s="313"/>
      <c r="E37"/>
      <c r="G37" s="392"/>
    </row>
    <row r="38" spans="1:7" s="4" customFormat="1" ht="25.5">
      <c r="A38" s="160">
        <v>32</v>
      </c>
      <c r="B38" s="83" t="s">
        <v>61</v>
      </c>
      <c r="C38" s="313"/>
      <c r="E38"/>
      <c r="G38" s="392"/>
    </row>
    <row r="39" spans="1:7" s="4" customFormat="1" ht="25.5">
      <c r="A39" s="160">
        <v>33</v>
      </c>
      <c r="B39" s="83" t="s">
        <v>49</v>
      </c>
      <c r="C39" s="313"/>
      <c r="E39"/>
      <c r="G39" s="392"/>
    </row>
    <row r="40" spans="1:7" s="4" customFormat="1" ht="25.5">
      <c r="A40" s="160">
        <v>34</v>
      </c>
      <c r="B40" s="86" t="s">
        <v>62</v>
      </c>
      <c r="C40" s="313"/>
      <c r="E40"/>
      <c r="G40" s="392"/>
    </row>
    <row r="41" spans="1:7" s="4" customFormat="1">
      <c r="A41" s="160">
        <v>35</v>
      </c>
      <c r="B41" s="92" t="s">
        <v>27</v>
      </c>
      <c r="C41" s="312">
        <f>C30-C35</f>
        <v>0</v>
      </c>
      <c r="E41"/>
      <c r="G41" s="392"/>
    </row>
    <row r="42" spans="1:7" s="4" customFormat="1">
      <c r="A42" s="160"/>
      <c r="B42" s="87"/>
      <c r="C42" s="313"/>
      <c r="E42"/>
      <c r="G42" s="392"/>
    </row>
    <row r="43" spans="1:7" s="4" customFormat="1">
      <c r="A43" s="160">
        <v>36</v>
      </c>
      <c r="B43" s="93" t="s">
        <v>63</v>
      </c>
      <c r="C43" s="312">
        <f>SUM(C44:C46)</f>
        <v>2829847.3388</v>
      </c>
      <c r="E43"/>
      <c r="G43" s="392"/>
    </row>
    <row r="44" spans="1:7" s="4" customFormat="1">
      <c r="A44" s="160">
        <v>37</v>
      </c>
      <c r="B44" s="82" t="s">
        <v>64</v>
      </c>
      <c r="C44" s="389"/>
      <c r="E44"/>
      <c r="G44" s="392"/>
    </row>
    <row r="45" spans="1:7" s="4" customFormat="1">
      <c r="A45" s="160">
        <v>38</v>
      </c>
      <c r="B45" s="82" t="s">
        <v>65</v>
      </c>
      <c r="C45" s="389"/>
      <c r="E45"/>
      <c r="G45" s="392"/>
    </row>
    <row r="46" spans="1:7" s="4" customFormat="1">
      <c r="A46" s="160">
        <v>39</v>
      </c>
      <c r="B46" s="82" t="s">
        <v>66</v>
      </c>
      <c r="C46" s="389">
        <v>2829847.3388</v>
      </c>
      <c r="E46"/>
      <c r="G46" s="392"/>
    </row>
    <row r="47" spans="1:7" s="4" customFormat="1">
      <c r="A47" s="160">
        <v>40</v>
      </c>
      <c r="B47" s="93" t="s">
        <v>67</v>
      </c>
      <c r="C47" s="312">
        <f>SUM(C48:C51)</f>
        <v>0</v>
      </c>
      <c r="E47"/>
      <c r="G47" s="392"/>
    </row>
    <row r="48" spans="1:7" s="4" customFormat="1">
      <c r="A48" s="160">
        <v>41</v>
      </c>
      <c r="B48" s="83" t="s">
        <v>68</v>
      </c>
      <c r="C48" s="313"/>
      <c r="E48"/>
      <c r="G48" s="392"/>
    </row>
    <row r="49" spans="1:7" s="4" customFormat="1">
      <c r="A49" s="160">
        <v>42</v>
      </c>
      <c r="B49" s="84" t="s">
        <v>69</v>
      </c>
      <c r="C49" s="313"/>
      <c r="E49"/>
      <c r="G49" s="392"/>
    </row>
    <row r="50" spans="1:7" s="4" customFormat="1" ht="25.5">
      <c r="A50" s="160">
        <v>43</v>
      </c>
      <c r="B50" s="83" t="s">
        <v>70</v>
      </c>
      <c r="C50" s="313"/>
      <c r="E50"/>
      <c r="G50" s="392"/>
    </row>
    <row r="51" spans="1:7" s="4" customFormat="1" ht="25.5">
      <c r="A51" s="160">
        <v>44</v>
      </c>
      <c r="B51" s="83" t="s">
        <v>49</v>
      </c>
      <c r="C51" s="313"/>
      <c r="E51"/>
      <c r="G51" s="392"/>
    </row>
    <row r="52" spans="1:7" s="4" customFormat="1" ht="15.75" thickBot="1">
      <c r="A52" s="161">
        <v>45</v>
      </c>
      <c r="B52" s="162" t="s">
        <v>28</v>
      </c>
      <c r="C52" s="315">
        <f>C43-C47</f>
        <v>2829847.3388</v>
      </c>
      <c r="E52"/>
      <c r="G52" s="392"/>
    </row>
    <row r="55" spans="1:7">
      <c r="B55" s="2" t="s">
        <v>237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45"/>
  <sheetViews>
    <sheetView zoomScaleNormal="100" workbookViewId="0">
      <pane xSplit="1" ySplit="5" topLeftCell="B27" activePane="bottomRight" state="frozen"/>
      <selection pane="topRight"/>
      <selection pane="bottomLeft"/>
      <selection pane="bottomRight" activeCell="C48" sqref="C48"/>
    </sheetView>
  </sheetViews>
  <sheetFormatPr defaultColWidth="9.140625" defaultRowHeight="15.75"/>
  <cols>
    <col min="1" max="1" width="10.7109375" style="78" customWidth="1"/>
    <col min="2" max="2" width="91.85546875" style="78" customWidth="1"/>
    <col min="3" max="3" width="53.140625" style="78" customWidth="1"/>
    <col min="4" max="4" width="32.28515625" style="78" customWidth="1"/>
    <col min="5" max="5" width="9.42578125" customWidth="1"/>
  </cols>
  <sheetData>
    <row r="1" spans="1:6">
      <c r="A1" s="17" t="s">
        <v>199</v>
      </c>
      <c r="B1" s="408" t="str">
        <f>'2. RC'!B1</f>
        <v>სს " პაშა ბანკი საქართველო"</v>
      </c>
      <c r="E1" s="2"/>
      <c r="F1" s="2"/>
    </row>
    <row r="2" spans="1:6" s="21" customFormat="1" ht="15.75" customHeight="1">
      <c r="A2" s="21" t="s">
        <v>200</v>
      </c>
      <c r="B2" s="408" t="str">
        <f>'2. RC'!B2</f>
        <v>30.09.2017</v>
      </c>
    </row>
    <row r="3" spans="1:6" s="21" customFormat="1" ht="15.75" customHeight="1">
      <c r="A3" s="26"/>
    </row>
    <row r="4" spans="1:6" s="21" customFormat="1" ht="15.75" customHeight="1" thickBot="1">
      <c r="A4" s="21" t="s">
        <v>357</v>
      </c>
      <c r="B4" s="232" t="s">
        <v>288</v>
      </c>
      <c r="D4" s="234" t="s">
        <v>101</v>
      </c>
    </row>
    <row r="5" spans="1:6" ht="38.25">
      <c r="A5" s="169" t="s">
        <v>29</v>
      </c>
      <c r="B5" s="170" t="s">
        <v>244</v>
      </c>
      <c r="C5" s="171" t="s">
        <v>250</v>
      </c>
      <c r="D5" s="233" t="s">
        <v>289</v>
      </c>
    </row>
    <row r="6" spans="1:6">
      <c r="A6" s="163">
        <v>1</v>
      </c>
      <c r="B6" s="94" t="s">
        <v>162</v>
      </c>
      <c r="C6" s="352">
        <v>603702.49659999995</v>
      </c>
      <c r="D6" s="397"/>
      <c r="E6" s="8"/>
    </row>
    <row r="7" spans="1:6">
      <c r="A7" s="163">
        <v>2</v>
      </c>
      <c r="B7" s="95" t="s">
        <v>163</v>
      </c>
      <c r="C7" s="524">
        <v>24264830.883299999</v>
      </c>
      <c r="D7" s="398"/>
      <c r="E7" s="8"/>
    </row>
    <row r="8" spans="1:6">
      <c r="A8" s="163">
        <v>3</v>
      </c>
      <c r="B8" s="95" t="s">
        <v>164</v>
      </c>
      <c r="C8" s="352">
        <v>47159819.937600002</v>
      </c>
      <c r="D8" s="398"/>
      <c r="E8" s="8"/>
    </row>
    <row r="9" spans="1:6">
      <c r="A9" s="163">
        <v>4</v>
      </c>
      <c r="B9" s="95" t="s">
        <v>193</v>
      </c>
      <c r="C9" s="352">
        <v>0</v>
      </c>
      <c r="D9" s="398"/>
      <c r="E9" s="8"/>
    </row>
    <row r="10" spans="1:6">
      <c r="A10" s="163">
        <v>5</v>
      </c>
      <c r="B10" s="95" t="s">
        <v>165</v>
      </c>
      <c r="C10" s="352">
        <v>59206161.747600004</v>
      </c>
      <c r="D10" s="398"/>
      <c r="E10" s="8"/>
    </row>
    <row r="11" spans="1:6">
      <c r="A11" s="163">
        <v>6.1</v>
      </c>
      <c r="B11" s="95" t="s">
        <v>166</v>
      </c>
      <c r="C11" s="352">
        <v>111849887.1886</v>
      </c>
      <c r="D11" s="164"/>
      <c r="E11" s="9"/>
    </row>
    <row r="12" spans="1:6">
      <c r="A12" s="163" t="s">
        <v>414</v>
      </c>
      <c r="B12" s="95" t="s">
        <v>415</v>
      </c>
      <c r="C12" s="523">
        <v>3715050</v>
      </c>
      <c r="D12" s="164" t="s">
        <v>416</v>
      </c>
      <c r="E12" s="9"/>
    </row>
    <row r="13" spans="1:6">
      <c r="A13" s="163">
        <v>6.2</v>
      </c>
      <c r="B13" s="96" t="s">
        <v>167</v>
      </c>
      <c r="C13" s="524">
        <v>-2498649.5386999999</v>
      </c>
      <c r="D13" s="399"/>
      <c r="E13" s="9"/>
    </row>
    <row r="14" spans="1:6">
      <c r="A14" s="163" t="s">
        <v>394</v>
      </c>
      <c r="B14" s="97" t="s">
        <v>395</v>
      </c>
      <c r="C14" s="523">
        <v>2453167.8396999999</v>
      </c>
      <c r="D14" s="164" t="s">
        <v>413</v>
      </c>
      <c r="E14" s="9"/>
    </row>
    <row r="15" spans="1:6">
      <c r="A15" s="163">
        <v>6</v>
      </c>
      <c r="B15" s="95" t="s">
        <v>168</v>
      </c>
      <c r="C15" s="318">
        <f>C13+C11</f>
        <v>109351237.6499</v>
      </c>
      <c r="D15" s="399"/>
      <c r="E15" s="8"/>
    </row>
    <row r="16" spans="1:6">
      <c r="A16" s="163">
        <v>7</v>
      </c>
      <c r="B16" s="95" t="s">
        <v>169</v>
      </c>
      <c r="C16" s="524">
        <v>2335316.9797999999</v>
      </c>
      <c r="D16" s="164"/>
      <c r="E16" s="8"/>
    </row>
    <row r="17" spans="1:5">
      <c r="A17" s="163">
        <v>8</v>
      </c>
      <c r="B17" s="95" t="s">
        <v>170</v>
      </c>
      <c r="C17" s="352">
        <v>0</v>
      </c>
      <c r="D17" s="164"/>
      <c r="E17" s="8"/>
    </row>
    <row r="18" spans="1:5">
      <c r="A18" s="163">
        <v>9</v>
      </c>
      <c r="B18" s="95" t="s">
        <v>171</v>
      </c>
      <c r="C18" s="352">
        <v>0</v>
      </c>
      <c r="D18" s="164"/>
      <c r="E18" s="8"/>
    </row>
    <row r="19" spans="1:5">
      <c r="A19" s="163">
        <v>9.1</v>
      </c>
      <c r="B19" s="97" t="s">
        <v>260</v>
      </c>
      <c r="C19" s="352"/>
      <c r="D19" s="164"/>
      <c r="E19" s="8"/>
    </row>
    <row r="20" spans="1:5">
      <c r="A20" s="163">
        <v>9.1999999999999993</v>
      </c>
      <c r="B20" s="97" t="s">
        <v>249</v>
      </c>
      <c r="C20" s="352"/>
      <c r="D20" s="164"/>
      <c r="E20" s="8"/>
    </row>
    <row r="21" spans="1:5">
      <c r="A21" s="163">
        <v>9.3000000000000007</v>
      </c>
      <c r="B21" s="97" t="s">
        <v>248</v>
      </c>
      <c r="C21" s="352"/>
      <c r="D21" s="164"/>
      <c r="E21" s="8"/>
    </row>
    <row r="22" spans="1:5">
      <c r="A22" s="163">
        <v>10</v>
      </c>
      <c r="B22" s="95" t="s">
        <v>172</v>
      </c>
      <c r="C22" s="352">
        <v>3074486.09</v>
      </c>
      <c r="D22" s="164"/>
      <c r="E22" s="8"/>
    </row>
    <row r="23" spans="1:5">
      <c r="A23" s="163">
        <v>10.1</v>
      </c>
      <c r="B23" s="97" t="s">
        <v>247</v>
      </c>
      <c r="C23" s="524">
        <v>2085956.12</v>
      </c>
      <c r="D23" s="400" t="s">
        <v>367</v>
      </c>
      <c r="E23" s="8"/>
    </row>
    <row r="24" spans="1:5">
      <c r="A24" s="163">
        <v>11</v>
      </c>
      <c r="B24" s="98" t="s">
        <v>173</v>
      </c>
      <c r="C24" s="352">
        <v>4927479.3605000004</v>
      </c>
      <c r="D24" s="165"/>
      <c r="E24" s="8"/>
    </row>
    <row r="25" spans="1:5">
      <c r="A25" s="163">
        <v>12</v>
      </c>
      <c r="B25" s="100" t="s">
        <v>174</v>
      </c>
      <c r="C25" s="316">
        <f>SUM(C6:C10,C15:C18,C22,C24)</f>
        <v>250923035.1453</v>
      </c>
      <c r="D25" s="401"/>
      <c r="E25" s="7"/>
    </row>
    <row r="26" spans="1:5">
      <c r="A26" s="163">
        <v>13</v>
      </c>
      <c r="B26" s="95" t="s">
        <v>175</v>
      </c>
      <c r="C26" s="352">
        <v>94312886.865499988</v>
      </c>
      <c r="D26" s="166"/>
      <c r="E26" s="8"/>
    </row>
    <row r="27" spans="1:5">
      <c r="A27" s="163">
        <v>14</v>
      </c>
      <c r="B27" s="95" t="s">
        <v>176</v>
      </c>
      <c r="C27" s="352">
        <v>9793276.5581999999</v>
      </c>
      <c r="D27" s="164"/>
      <c r="E27" s="8"/>
    </row>
    <row r="28" spans="1:5">
      <c r="A28" s="163">
        <v>15</v>
      </c>
      <c r="B28" s="95" t="s">
        <v>177</v>
      </c>
      <c r="C28" s="352">
        <v>0</v>
      </c>
      <c r="D28" s="164"/>
      <c r="E28" s="8"/>
    </row>
    <row r="29" spans="1:5">
      <c r="A29" s="163">
        <v>16</v>
      </c>
      <c r="B29" s="95" t="s">
        <v>178</v>
      </c>
      <c r="C29" s="352">
        <v>36932123.508500002</v>
      </c>
      <c r="D29" s="164"/>
      <c r="E29" s="8"/>
    </row>
    <row r="30" spans="1:5">
      <c r="A30" s="163">
        <v>17</v>
      </c>
      <c r="B30" s="95" t="s">
        <v>179</v>
      </c>
      <c r="C30" s="352">
        <v>0</v>
      </c>
      <c r="D30" s="164"/>
      <c r="E30" s="8"/>
    </row>
    <row r="31" spans="1:5">
      <c r="A31" s="163">
        <v>18</v>
      </c>
      <c r="B31" s="95" t="s">
        <v>180</v>
      </c>
      <c r="C31" s="352">
        <v>2314566.3500999999</v>
      </c>
      <c r="D31" s="164"/>
      <c r="E31" s="8"/>
    </row>
    <row r="32" spans="1:5">
      <c r="A32" s="163">
        <v>19</v>
      </c>
      <c r="B32" s="95" t="s">
        <v>181</v>
      </c>
      <c r="C32" s="352">
        <v>689563.38670000003</v>
      </c>
      <c r="D32" s="164"/>
      <c r="E32" s="8"/>
    </row>
    <row r="33" spans="1:5">
      <c r="A33" s="163">
        <v>20</v>
      </c>
      <c r="B33" s="95" t="s">
        <v>103</v>
      </c>
      <c r="C33" s="352">
        <v>1549060.4556999998</v>
      </c>
      <c r="D33" s="396"/>
      <c r="E33" s="8"/>
    </row>
    <row r="34" spans="1:5">
      <c r="A34" s="163">
        <v>20.100000000000001</v>
      </c>
      <c r="B34" s="99" t="s">
        <v>393</v>
      </c>
      <c r="C34" s="523">
        <v>376679.49910000002</v>
      </c>
      <c r="D34" s="164" t="s">
        <v>413</v>
      </c>
      <c r="E34" s="8"/>
    </row>
    <row r="35" spans="1:5">
      <c r="A35" s="163">
        <v>21</v>
      </c>
      <c r="B35" s="98" t="s">
        <v>182</v>
      </c>
      <c r="C35" s="352">
        <v>0</v>
      </c>
      <c r="D35" s="391"/>
      <c r="E35" s="8"/>
    </row>
    <row r="36" spans="1:5">
      <c r="A36" s="163">
        <v>21.1</v>
      </c>
      <c r="B36" s="99" t="s">
        <v>246</v>
      </c>
      <c r="C36" s="390"/>
      <c r="D36" s="391"/>
      <c r="E36" s="8"/>
    </row>
    <row r="37" spans="1:5">
      <c r="A37" s="163">
        <v>22</v>
      </c>
      <c r="B37" s="100" t="s">
        <v>183</v>
      </c>
      <c r="C37" s="316">
        <f>SUM(C26:C33)</f>
        <v>145591477.12470001</v>
      </c>
      <c r="D37" s="401"/>
      <c r="E37" s="7"/>
    </row>
    <row r="38" spans="1:5">
      <c r="A38" s="163">
        <v>23</v>
      </c>
      <c r="B38" s="98" t="s">
        <v>184</v>
      </c>
      <c r="C38" s="525">
        <v>103000000</v>
      </c>
      <c r="D38" s="164" t="s">
        <v>411</v>
      </c>
      <c r="E38" s="8"/>
    </row>
    <row r="39" spans="1:5">
      <c r="A39" s="163">
        <v>24</v>
      </c>
      <c r="B39" s="98" t="s">
        <v>185</v>
      </c>
      <c r="C39" s="525">
        <v>0</v>
      </c>
      <c r="D39" s="164"/>
      <c r="E39" s="8"/>
    </row>
    <row r="40" spans="1:5">
      <c r="A40" s="163">
        <v>25</v>
      </c>
      <c r="B40" s="98" t="s">
        <v>245</v>
      </c>
      <c r="C40" s="525">
        <v>0</v>
      </c>
      <c r="D40" s="164"/>
      <c r="E40" s="8"/>
    </row>
    <row r="41" spans="1:5">
      <c r="A41" s="163">
        <v>26</v>
      </c>
      <c r="B41" s="98" t="s">
        <v>187</v>
      </c>
      <c r="C41" s="525">
        <v>0</v>
      </c>
      <c r="D41" s="164"/>
      <c r="E41" s="8"/>
    </row>
    <row r="42" spans="1:5">
      <c r="A42" s="163">
        <v>27</v>
      </c>
      <c r="B42" s="98" t="s">
        <v>188</v>
      </c>
      <c r="C42" s="525">
        <v>0</v>
      </c>
      <c r="D42" s="164"/>
      <c r="E42" s="8"/>
    </row>
    <row r="43" spans="1:5">
      <c r="A43" s="163">
        <v>28</v>
      </c>
      <c r="B43" s="98" t="s">
        <v>189</v>
      </c>
      <c r="C43" s="525">
        <v>2331557.9900000002</v>
      </c>
      <c r="D43" s="164" t="s">
        <v>412</v>
      </c>
      <c r="E43" s="8"/>
    </row>
    <row r="44" spans="1:5">
      <c r="A44" s="163">
        <v>29</v>
      </c>
      <c r="B44" s="98" t="s">
        <v>38</v>
      </c>
      <c r="C44" s="525">
        <v>0</v>
      </c>
      <c r="D44" s="164"/>
      <c r="E44" s="8"/>
    </row>
    <row r="45" spans="1:5" ht="16.5" thickBot="1">
      <c r="A45" s="167">
        <v>30</v>
      </c>
      <c r="B45" s="168" t="s">
        <v>190</v>
      </c>
      <c r="C45" s="317">
        <f>SUM(C38:C44)</f>
        <v>105331557.98999999</v>
      </c>
      <c r="D45" s="402"/>
      <c r="E45" s="7"/>
    </row>
  </sheetData>
  <dataValidations count="1">
    <dataValidation operator="lessThanOrEqual" allowBlank="1" showInputMessage="1" showErrorMessage="1" errorTitle="Should be negative number" error="Should be whole negative number or 0" sqref="C12"/>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2"/>
  <sheetViews>
    <sheetView workbookViewId="0">
      <pane xSplit="2" ySplit="7" topLeftCell="C8" activePane="bottomRight" state="frozen"/>
      <selection pane="topRight"/>
      <selection pane="bottomLeft"/>
      <selection pane="bottomRight" activeCell="A17" sqref="A17"/>
    </sheetView>
  </sheetViews>
  <sheetFormatPr defaultColWidth="9.140625" defaultRowHeight="12.75"/>
  <cols>
    <col min="1" max="1" width="10.5703125" style="2" bestFit="1" customWidth="1"/>
    <col min="2" max="2" width="95" style="2" customWidth="1"/>
    <col min="3" max="3" width="29.140625" style="2" bestFit="1" customWidth="1"/>
    <col min="4" max="4" width="28.140625" style="2" bestFit="1" customWidth="1"/>
    <col min="5" max="5" width="29" style="2" bestFit="1" customWidth="1"/>
    <col min="6" max="6" width="28.42578125" style="2" bestFit="1" customWidth="1"/>
    <col min="7" max="7" width="29" style="2" bestFit="1" customWidth="1"/>
    <col min="8" max="9" width="28.42578125" style="2" bestFit="1" customWidth="1"/>
    <col min="10" max="12" width="27.85546875" style="2" bestFit="1" customWidth="1"/>
    <col min="13" max="14" width="28.28515625" style="2" bestFit="1" customWidth="1"/>
    <col min="15" max="16" width="28" style="2" bestFit="1" customWidth="1"/>
    <col min="17" max="18" width="28.85546875" style="2" bestFit="1" customWidth="1"/>
    <col min="19" max="19" width="31.5703125" style="2" bestFit="1" customWidth="1"/>
    <col min="20" max="16384" width="9.140625" style="12"/>
  </cols>
  <sheetData>
    <row r="1" spans="1:19">
      <c r="A1" s="2" t="s">
        <v>199</v>
      </c>
      <c r="B1" s="408" t="str">
        <f>'2. RC'!B1</f>
        <v>სს " პაშა ბანკი საქართველო"</v>
      </c>
    </row>
    <row r="2" spans="1:19">
      <c r="A2" s="2" t="s">
        <v>200</v>
      </c>
      <c r="B2" s="408" t="str">
        <f>'2. RC'!B2</f>
        <v>30.09.2017</v>
      </c>
    </row>
    <row r="4" spans="1:19" ht="39" thickBot="1">
      <c r="A4" s="77" t="s">
        <v>358</v>
      </c>
      <c r="B4" s="348" t="s">
        <v>383</v>
      </c>
    </row>
    <row r="5" spans="1:19">
      <c r="A5" s="150"/>
      <c r="B5" s="154"/>
      <c r="C5" s="130" t="s">
        <v>0</v>
      </c>
      <c r="D5" s="130" t="s">
        <v>1</v>
      </c>
      <c r="E5" s="130" t="s">
        <v>2</v>
      </c>
      <c r="F5" s="130" t="s">
        <v>3</v>
      </c>
      <c r="G5" s="130" t="s">
        <v>4</v>
      </c>
      <c r="H5" s="130" t="s">
        <v>6</v>
      </c>
      <c r="I5" s="130" t="s">
        <v>251</v>
      </c>
      <c r="J5" s="130" t="s">
        <v>252</v>
      </c>
      <c r="K5" s="130" t="s">
        <v>253</v>
      </c>
      <c r="L5" s="130" t="s">
        <v>254</v>
      </c>
      <c r="M5" s="130" t="s">
        <v>255</v>
      </c>
      <c r="N5" s="130" t="s">
        <v>256</v>
      </c>
      <c r="O5" s="130" t="s">
        <v>370</v>
      </c>
      <c r="P5" s="130" t="s">
        <v>371</v>
      </c>
      <c r="Q5" s="130" t="s">
        <v>372</v>
      </c>
      <c r="R5" s="340" t="s">
        <v>373</v>
      </c>
      <c r="S5" s="131" t="s">
        <v>374</v>
      </c>
    </row>
    <row r="6" spans="1:19" ht="46.5" customHeight="1">
      <c r="A6" s="173"/>
      <c r="B6" s="561" t="s">
        <v>375</v>
      </c>
      <c r="C6" s="559">
        <v>0</v>
      </c>
      <c r="D6" s="560"/>
      <c r="E6" s="559">
        <v>0.2</v>
      </c>
      <c r="F6" s="560"/>
      <c r="G6" s="559">
        <v>0.35</v>
      </c>
      <c r="H6" s="560"/>
      <c r="I6" s="559">
        <v>0.5</v>
      </c>
      <c r="J6" s="560"/>
      <c r="K6" s="559">
        <v>0.75</v>
      </c>
      <c r="L6" s="560"/>
      <c r="M6" s="559">
        <v>1</v>
      </c>
      <c r="N6" s="560"/>
      <c r="O6" s="559">
        <v>1.5</v>
      </c>
      <c r="P6" s="560"/>
      <c r="Q6" s="559">
        <v>2.5</v>
      </c>
      <c r="R6" s="560"/>
      <c r="S6" s="557" t="s">
        <v>265</v>
      </c>
    </row>
    <row r="7" spans="1:19">
      <c r="A7" s="173"/>
      <c r="B7" s="562"/>
      <c r="C7" s="347" t="s">
        <v>368</v>
      </c>
      <c r="D7" s="347" t="s">
        <v>369</v>
      </c>
      <c r="E7" s="347" t="s">
        <v>368</v>
      </c>
      <c r="F7" s="347" t="s">
        <v>369</v>
      </c>
      <c r="G7" s="347" t="s">
        <v>368</v>
      </c>
      <c r="H7" s="347" t="s">
        <v>369</v>
      </c>
      <c r="I7" s="347" t="s">
        <v>368</v>
      </c>
      <c r="J7" s="347" t="s">
        <v>369</v>
      </c>
      <c r="K7" s="347" t="s">
        <v>368</v>
      </c>
      <c r="L7" s="347" t="s">
        <v>369</v>
      </c>
      <c r="M7" s="347" t="s">
        <v>368</v>
      </c>
      <c r="N7" s="347" t="s">
        <v>369</v>
      </c>
      <c r="O7" s="347" t="s">
        <v>368</v>
      </c>
      <c r="P7" s="347" t="s">
        <v>369</v>
      </c>
      <c r="Q7" s="347" t="s">
        <v>368</v>
      </c>
      <c r="R7" s="347" t="s">
        <v>369</v>
      </c>
      <c r="S7" s="558"/>
    </row>
    <row r="8" spans="1:19" s="177" customFormat="1">
      <c r="A8" s="134">
        <v>1</v>
      </c>
      <c r="B8" s="200" t="s">
        <v>228</v>
      </c>
      <c r="C8" s="528">
        <v>2974794.75</v>
      </c>
      <c r="D8" s="319"/>
      <c r="E8" s="529">
        <v>0</v>
      </c>
      <c r="F8" s="341"/>
      <c r="G8" s="529">
        <v>0</v>
      </c>
      <c r="H8" s="319"/>
      <c r="I8" s="529">
        <v>0</v>
      </c>
      <c r="J8" s="319"/>
      <c r="K8" s="529">
        <v>0</v>
      </c>
      <c r="L8" s="319"/>
      <c r="M8" s="528">
        <v>22444335.493299998</v>
      </c>
      <c r="N8" s="526"/>
      <c r="O8" s="529">
        <v>0</v>
      </c>
      <c r="P8" s="319"/>
      <c r="Q8" s="529">
        <v>0</v>
      </c>
      <c r="R8" s="319"/>
      <c r="S8" s="353">
        <f t="shared" ref="S8:S21" si="0">$C$6*SUM(C8:D8)+$E$6*SUM(E8:F8)+$G$6*SUM(G8:H8)+$I$6*SUM(I8:J8)+$K$6*SUM(K8:L8)+$M$6*SUM(M8:N8)+$O$6*SUM(O8:P8)+$Q$6*SUM(Q8:R8)</f>
        <v>22444335.493299998</v>
      </c>
    </row>
    <row r="9" spans="1:19" s="177" customFormat="1">
      <c r="A9" s="134">
        <v>2</v>
      </c>
      <c r="B9" s="200" t="s">
        <v>229</v>
      </c>
      <c r="C9" s="527">
        <v>0</v>
      </c>
      <c r="D9" s="319"/>
      <c r="E9" s="529">
        <v>0</v>
      </c>
      <c r="F9" s="341"/>
      <c r="G9" s="529">
        <v>0</v>
      </c>
      <c r="H9" s="319"/>
      <c r="I9" s="529">
        <v>0</v>
      </c>
      <c r="J9" s="319"/>
      <c r="K9" s="529">
        <v>0</v>
      </c>
      <c r="L9" s="319"/>
      <c r="M9" s="528">
        <v>0</v>
      </c>
      <c r="N9" s="319"/>
      <c r="O9" s="529">
        <v>0</v>
      </c>
      <c r="P9" s="319"/>
      <c r="Q9" s="529">
        <v>0</v>
      </c>
      <c r="R9" s="319"/>
      <c r="S9" s="353">
        <f t="shared" si="0"/>
        <v>0</v>
      </c>
    </row>
    <row r="10" spans="1:19" s="177" customFormat="1">
      <c r="A10" s="134">
        <v>3</v>
      </c>
      <c r="B10" s="200" t="s">
        <v>230</v>
      </c>
      <c r="C10" s="527">
        <v>0</v>
      </c>
      <c r="D10" s="319"/>
      <c r="E10" s="529">
        <v>0</v>
      </c>
      <c r="F10" s="341"/>
      <c r="G10" s="529">
        <v>0</v>
      </c>
      <c r="H10" s="319"/>
      <c r="I10" s="529">
        <v>0</v>
      </c>
      <c r="J10" s="319"/>
      <c r="K10" s="529">
        <v>0</v>
      </c>
      <c r="L10" s="319"/>
      <c r="M10" s="528">
        <v>0</v>
      </c>
      <c r="N10" s="319"/>
      <c r="O10" s="529">
        <v>0</v>
      </c>
      <c r="P10" s="319"/>
      <c r="Q10" s="529">
        <v>0</v>
      </c>
      <c r="R10" s="319"/>
      <c r="S10" s="353">
        <f t="shared" si="0"/>
        <v>0</v>
      </c>
    </row>
    <row r="11" spans="1:19" s="177" customFormat="1">
      <c r="A11" s="134">
        <v>4</v>
      </c>
      <c r="B11" s="200" t="s">
        <v>231</v>
      </c>
      <c r="C11" s="527">
        <v>0</v>
      </c>
      <c r="D11" s="319"/>
      <c r="E11" s="529">
        <v>0</v>
      </c>
      <c r="F11" s="341"/>
      <c r="G11" s="529">
        <v>0</v>
      </c>
      <c r="H11" s="319"/>
      <c r="I11" s="529">
        <v>0</v>
      </c>
      <c r="J11" s="319"/>
      <c r="K11" s="529">
        <v>0</v>
      </c>
      <c r="L11" s="319"/>
      <c r="M11" s="528">
        <v>0</v>
      </c>
      <c r="N11" s="319"/>
      <c r="O11" s="529">
        <v>0</v>
      </c>
      <c r="P11" s="319"/>
      <c r="Q11" s="529">
        <v>0</v>
      </c>
      <c r="R11" s="319"/>
      <c r="S11" s="353">
        <f t="shared" si="0"/>
        <v>0</v>
      </c>
    </row>
    <row r="12" spans="1:19" s="177" customFormat="1">
      <c r="A12" s="134">
        <v>5</v>
      </c>
      <c r="B12" s="200" t="s">
        <v>232</v>
      </c>
      <c r="C12" s="527">
        <v>0</v>
      </c>
      <c r="D12" s="319"/>
      <c r="E12" s="529">
        <v>0</v>
      </c>
      <c r="F12" s="341"/>
      <c r="G12" s="529">
        <v>0</v>
      </c>
      <c r="H12" s="319"/>
      <c r="I12" s="529">
        <v>0</v>
      </c>
      <c r="J12" s="319"/>
      <c r="K12" s="529">
        <v>0</v>
      </c>
      <c r="L12" s="319"/>
      <c r="M12" s="528">
        <v>0</v>
      </c>
      <c r="N12" s="319"/>
      <c r="O12" s="529">
        <v>0</v>
      </c>
      <c r="P12" s="319"/>
      <c r="Q12" s="529">
        <v>0</v>
      </c>
      <c r="R12" s="319"/>
      <c r="S12" s="353">
        <f t="shared" si="0"/>
        <v>0</v>
      </c>
    </row>
    <row r="13" spans="1:19" s="177" customFormat="1">
      <c r="A13" s="134">
        <v>6</v>
      </c>
      <c r="B13" s="200" t="s">
        <v>233</v>
      </c>
      <c r="C13" s="527">
        <v>0</v>
      </c>
      <c r="D13" s="526"/>
      <c r="E13" s="529">
        <v>822519.93729999999</v>
      </c>
      <c r="F13" s="526"/>
      <c r="G13" s="529">
        <v>0</v>
      </c>
      <c r="H13" s="526"/>
      <c r="I13" s="529">
        <v>27815926.049600001</v>
      </c>
      <c r="J13" s="526"/>
      <c r="K13" s="529">
        <v>0</v>
      </c>
      <c r="L13" s="526"/>
      <c r="M13" s="528">
        <v>68431651.070299998</v>
      </c>
      <c r="N13" s="526">
        <v>105000</v>
      </c>
      <c r="O13" s="529">
        <v>0</v>
      </c>
      <c r="P13" s="526"/>
      <c r="Q13" s="529">
        <v>0</v>
      </c>
      <c r="R13" s="526"/>
      <c r="S13" s="353">
        <f t="shared" si="0"/>
        <v>82609118.082560003</v>
      </c>
    </row>
    <row r="14" spans="1:19" s="177" customFormat="1">
      <c r="A14" s="134">
        <v>7</v>
      </c>
      <c r="B14" s="200" t="s">
        <v>78</v>
      </c>
      <c r="C14" s="527">
        <v>0</v>
      </c>
      <c r="D14" s="526"/>
      <c r="E14" s="529">
        <v>0</v>
      </c>
      <c r="F14" s="526"/>
      <c r="G14" s="529">
        <v>0</v>
      </c>
      <c r="H14" s="526"/>
      <c r="I14" s="529">
        <v>0</v>
      </c>
      <c r="J14" s="526"/>
      <c r="K14" s="529">
        <v>0</v>
      </c>
      <c r="L14" s="526"/>
      <c r="M14" s="528">
        <v>125711874.0794</v>
      </c>
      <c r="N14" s="526">
        <v>12242940.783600001</v>
      </c>
      <c r="O14" s="529">
        <v>0</v>
      </c>
      <c r="P14" s="526"/>
      <c r="Q14" s="529">
        <v>0</v>
      </c>
      <c r="R14" s="526"/>
      <c r="S14" s="353">
        <f t="shared" si="0"/>
        <v>137954814.86300001</v>
      </c>
    </row>
    <row r="15" spans="1:19" s="177" customFormat="1">
      <c r="A15" s="134">
        <v>8</v>
      </c>
      <c r="B15" s="200" t="s">
        <v>79</v>
      </c>
      <c r="C15" s="527">
        <v>0</v>
      </c>
      <c r="D15" s="526"/>
      <c r="E15" s="529">
        <v>0</v>
      </c>
      <c r="F15" s="526"/>
      <c r="G15" s="529">
        <v>0</v>
      </c>
      <c r="H15" s="526"/>
      <c r="I15" s="529">
        <v>0</v>
      </c>
      <c r="J15" s="526"/>
      <c r="K15" s="529">
        <v>568010.97</v>
      </c>
      <c r="L15" s="526"/>
      <c r="M15" s="528">
        <v>0</v>
      </c>
      <c r="N15" s="526">
        <v>103248.818</v>
      </c>
      <c r="O15" s="529">
        <v>0</v>
      </c>
      <c r="P15" s="526"/>
      <c r="Q15" s="529">
        <v>0</v>
      </c>
      <c r="R15" s="526"/>
      <c r="S15" s="353">
        <f t="shared" si="0"/>
        <v>529257.04550000001</v>
      </c>
    </row>
    <row r="16" spans="1:19" s="177" customFormat="1">
      <c r="A16" s="134">
        <v>9</v>
      </c>
      <c r="B16" s="200" t="s">
        <v>80</v>
      </c>
      <c r="C16" s="527">
        <v>0</v>
      </c>
      <c r="D16" s="319"/>
      <c r="E16" s="529">
        <v>0</v>
      </c>
      <c r="F16" s="341"/>
      <c r="G16" s="529">
        <v>0</v>
      </c>
      <c r="H16" s="319"/>
      <c r="I16" s="529">
        <v>0</v>
      </c>
      <c r="J16" s="319"/>
      <c r="K16" s="529">
        <v>0</v>
      </c>
      <c r="L16" s="319"/>
      <c r="M16" s="528">
        <v>0</v>
      </c>
      <c r="N16" s="319"/>
      <c r="O16" s="529">
        <v>0</v>
      </c>
      <c r="P16" s="319"/>
      <c r="Q16" s="529">
        <v>0</v>
      </c>
      <c r="R16" s="319"/>
      <c r="S16" s="353">
        <f t="shared" si="0"/>
        <v>0</v>
      </c>
    </row>
    <row r="17" spans="1:19" s="177" customFormat="1">
      <c r="A17" s="134">
        <v>10</v>
      </c>
      <c r="B17" s="200" t="s">
        <v>72</v>
      </c>
      <c r="C17" s="527">
        <v>0</v>
      </c>
      <c r="D17" s="319"/>
      <c r="E17" s="529">
        <v>0</v>
      </c>
      <c r="F17" s="341"/>
      <c r="G17" s="529">
        <v>0</v>
      </c>
      <c r="H17" s="319"/>
      <c r="I17" s="529">
        <v>0</v>
      </c>
      <c r="J17" s="319"/>
      <c r="K17" s="529">
        <v>0</v>
      </c>
      <c r="L17" s="319"/>
      <c r="M17" s="528">
        <v>0</v>
      </c>
      <c r="N17" s="319"/>
      <c r="O17" s="529">
        <v>0</v>
      </c>
      <c r="P17" s="319"/>
      <c r="Q17" s="529">
        <v>0</v>
      </c>
      <c r="R17" s="319"/>
      <c r="S17" s="353">
        <f t="shared" si="0"/>
        <v>0</v>
      </c>
    </row>
    <row r="18" spans="1:19" s="177" customFormat="1">
      <c r="A18" s="134">
        <v>11</v>
      </c>
      <c r="B18" s="200" t="s">
        <v>73</v>
      </c>
      <c r="C18" s="527">
        <v>0</v>
      </c>
      <c r="D18" s="319"/>
      <c r="E18" s="529">
        <v>0</v>
      </c>
      <c r="F18" s="341"/>
      <c r="G18" s="529">
        <v>0</v>
      </c>
      <c r="H18" s="319"/>
      <c r="I18" s="529">
        <v>0</v>
      </c>
      <c r="J18" s="319"/>
      <c r="K18" s="529">
        <v>0</v>
      </c>
      <c r="L18" s="319"/>
      <c r="M18" s="528">
        <v>0</v>
      </c>
      <c r="N18" s="319"/>
      <c r="O18" s="529">
        <v>0</v>
      </c>
      <c r="P18" s="319"/>
      <c r="Q18" s="529">
        <v>0</v>
      </c>
      <c r="R18" s="319"/>
      <c r="S18" s="353">
        <f t="shared" si="0"/>
        <v>0</v>
      </c>
    </row>
    <row r="19" spans="1:19" s="177" customFormat="1">
      <c r="A19" s="134">
        <v>12</v>
      </c>
      <c r="B19" s="200" t="s">
        <v>74</v>
      </c>
      <c r="C19" s="527">
        <v>0</v>
      </c>
      <c r="D19" s="319"/>
      <c r="E19" s="529">
        <v>0</v>
      </c>
      <c r="F19" s="341"/>
      <c r="G19" s="529">
        <v>0</v>
      </c>
      <c r="H19" s="319"/>
      <c r="I19" s="529">
        <v>0</v>
      </c>
      <c r="J19" s="319"/>
      <c r="K19" s="529">
        <v>0</v>
      </c>
      <c r="L19" s="319"/>
      <c r="M19" s="528">
        <v>0</v>
      </c>
      <c r="N19" s="319"/>
      <c r="O19" s="529">
        <v>0</v>
      </c>
      <c r="P19" s="319"/>
      <c r="Q19" s="529">
        <v>0</v>
      </c>
      <c r="R19" s="319"/>
      <c r="S19" s="353">
        <f t="shared" si="0"/>
        <v>0</v>
      </c>
    </row>
    <row r="20" spans="1:19" s="177" customFormat="1">
      <c r="A20" s="134">
        <v>13</v>
      </c>
      <c r="B20" s="200" t="s">
        <v>75</v>
      </c>
      <c r="C20" s="527">
        <v>0</v>
      </c>
      <c r="D20" s="319"/>
      <c r="E20" s="529">
        <v>0</v>
      </c>
      <c r="F20" s="341"/>
      <c r="G20" s="529">
        <v>0</v>
      </c>
      <c r="H20" s="319"/>
      <c r="I20" s="529">
        <v>0</v>
      </c>
      <c r="J20" s="319"/>
      <c r="K20" s="529">
        <v>0</v>
      </c>
      <c r="L20" s="319"/>
      <c r="M20" s="528">
        <v>0</v>
      </c>
      <c r="N20" s="319"/>
      <c r="O20" s="529">
        <v>0</v>
      </c>
      <c r="P20" s="319"/>
      <c r="Q20" s="529">
        <v>0</v>
      </c>
      <c r="R20" s="319"/>
      <c r="S20" s="353">
        <f t="shared" si="0"/>
        <v>0</v>
      </c>
    </row>
    <row r="21" spans="1:19" s="177" customFormat="1">
      <c r="A21" s="134">
        <v>14</v>
      </c>
      <c r="B21" s="200" t="s">
        <v>263</v>
      </c>
      <c r="C21" s="527">
        <v>603702.49659999995</v>
      </c>
      <c r="D21" s="319"/>
      <c r="E21" s="529">
        <v>0</v>
      </c>
      <c r="F21" s="341"/>
      <c r="G21" s="529">
        <v>0</v>
      </c>
      <c r="H21" s="319"/>
      <c r="I21" s="529">
        <v>0</v>
      </c>
      <c r="J21" s="319"/>
      <c r="K21" s="529">
        <v>0</v>
      </c>
      <c r="L21" s="319"/>
      <c r="M21" s="528">
        <v>1917431.9909000001</v>
      </c>
      <c r="N21" s="319"/>
      <c r="O21" s="529">
        <v>0</v>
      </c>
      <c r="P21" s="319"/>
      <c r="Q21" s="529">
        <v>0</v>
      </c>
      <c r="R21" s="319"/>
      <c r="S21" s="353">
        <f t="shared" si="0"/>
        <v>1917431.9909000001</v>
      </c>
    </row>
    <row r="22" spans="1:19" ht="13.5" thickBot="1">
      <c r="A22" s="112"/>
      <c r="B22" s="179" t="s">
        <v>71</v>
      </c>
      <c r="C22" s="320">
        <f t="shared" ref="C22:S22" si="1">SUM(C8:C21)</f>
        <v>3578497.2466000002</v>
      </c>
      <c r="D22" s="320">
        <f t="shared" si="1"/>
        <v>0</v>
      </c>
      <c r="E22" s="320">
        <f t="shared" si="1"/>
        <v>822519.93729999999</v>
      </c>
      <c r="F22" s="320">
        <f t="shared" si="1"/>
        <v>0</v>
      </c>
      <c r="G22" s="320">
        <f t="shared" si="1"/>
        <v>0</v>
      </c>
      <c r="H22" s="320">
        <f t="shared" si="1"/>
        <v>0</v>
      </c>
      <c r="I22" s="320">
        <f t="shared" si="1"/>
        <v>27815926.049600001</v>
      </c>
      <c r="J22" s="320">
        <f t="shared" si="1"/>
        <v>0</v>
      </c>
      <c r="K22" s="320">
        <f t="shared" si="1"/>
        <v>568010.97</v>
      </c>
      <c r="L22" s="320">
        <f t="shared" si="1"/>
        <v>0</v>
      </c>
      <c r="M22" s="320">
        <f t="shared" si="1"/>
        <v>218505292.63390002</v>
      </c>
      <c r="N22" s="320">
        <f t="shared" si="1"/>
        <v>12451189.601600001</v>
      </c>
      <c r="O22" s="320">
        <f t="shared" si="1"/>
        <v>0</v>
      </c>
      <c r="P22" s="320">
        <f t="shared" si="1"/>
        <v>0</v>
      </c>
      <c r="Q22" s="320">
        <f t="shared" si="1"/>
        <v>0</v>
      </c>
      <c r="R22" s="320">
        <f t="shared" si="1"/>
        <v>0</v>
      </c>
      <c r="S22" s="354">
        <f t="shared" si="1"/>
        <v>245454957.47526002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
  <sheetViews>
    <sheetView workbookViewId="0">
      <pane xSplit="2" ySplit="6" topLeftCell="C7" activePane="bottomRight" state="frozen"/>
      <selection pane="topRight"/>
      <selection pane="bottomLeft"/>
      <selection pane="bottomRight" activeCell="A12" sqref="A1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199</v>
      </c>
      <c r="B1" s="408" t="str">
        <f>'2. RC'!B1</f>
        <v>სს " პაშა ბანკი საქართველო"</v>
      </c>
    </row>
    <row r="2" spans="1:22">
      <c r="A2" s="2" t="s">
        <v>200</v>
      </c>
      <c r="B2" s="408" t="str">
        <f>'2. RC'!B2</f>
        <v>30.09.2017</v>
      </c>
    </row>
    <row r="4" spans="1:22" ht="27.75" thickBot="1">
      <c r="A4" s="2" t="s">
        <v>359</v>
      </c>
      <c r="B4" s="349" t="s">
        <v>384</v>
      </c>
      <c r="V4" s="234" t="s">
        <v>101</v>
      </c>
    </row>
    <row r="5" spans="1:22">
      <c r="A5" s="110"/>
      <c r="B5" s="111"/>
      <c r="C5" s="563" t="s">
        <v>210</v>
      </c>
      <c r="D5" s="564"/>
      <c r="E5" s="564"/>
      <c r="F5" s="564"/>
      <c r="G5" s="564"/>
      <c r="H5" s="564"/>
      <c r="I5" s="564"/>
      <c r="J5" s="564"/>
      <c r="K5" s="564"/>
      <c r="L5" s="565"/>
      <c r="M5" s="563" t="s">
        <v>211</v>
      </c>
      <c r="N5" s="564"/>
      <c r="O5" s="564"/>
      <c r="P5" s="564"/>
      <c r="Q5" s="564"/>
      <c r="R5" s="564"/>
      <c r="S5" s="565"/>
      <c r="T5" s="568" t="s">
        <v>382</v>
      </c>
      <c r="U5" s="568" t="s">
        <v>381</v>
      </c>
      <c r="V5" s="566" t="s">
        <v>212</v>
      </c>
    </row>
    <row r="6" spans="1:22" s="77" customFormat="1" ht="140.25">
      <c r="A6" s="132"/>
      <c r="B6" s="202"/>
      <c r="C6" s="108" t="s">
        <v>213</v>
      </c>
      <c r="D6" s="107" t="s">
        <v>214</v>
      </c>
      <c r="E6" s="104" t="s">
        <v>215</v>
      </c>
      <c r="F6" s="350" t="s">
        <v>376</v>
      </c>
      <c r="G6" s="107" t="s">
        <v>216</v>
      </c>
      <c r="H6" s="107" t="s">
        <v>217</v>
      </c>
      <c r="I6" s="107" t="s">
        <v>218</v>
      </c>
      <c r="J6" s="107" t="s">
        <v>262</v>
      </c>
      <c r="K6" s="107" t="s">
        <v>219</v>
      </c>
      <c r="L6" s="109" t="s">
        <v>220</v>
      </c>
      <c r="M6" s="108" t="s">
        <v>221</v>
      </c>
      <c r="N6" s="107" t="s">
        <v>222</v>
      </c>
      <c r="O6" s="107" t="s">
        <v>223</v>
      </c>
      <c r="P6" s="107" t="s">
        <v>224</v>
      </c>
      <c r="Q6" s="107" t="s">
        <v>225</v>
      </c>
      <c r="R6" s="107" t="s">
        <v>226</v>
      </c>
      <c r="S6" s="109" t="s">
        <v>227</v>
      </c>
      <c r="T6" s="569"/>
      <c r="U6" s="569"/>
      <c r="V6" s="567"/>
    </row>
    <row r="7" spans="1:22" s="177" customFormat="1">
      <c r="A7" s="178">
        <v>1</v>
      </c>
      <c r="B7" s="176" t="s">
        <v>228</v>
      </c>
      <c r="C7" s="321"/>
      <c r="D7" s="319"/>
      <c r="E7" s="319"/>
      <c r="F7" s="319"/>
      <c r="G7" s="319"/>
      <c r="H7" s="319"/>
      <c r="I7" s="319"/>
      <c r="J7" s="319"/>
      <c r="K7" s="319"/>
      <c r="L7" s="322"/>
      <c r="M7" s="321"/>
      <c r="N7" s="319"/>
      <c r="O7" s="319"/>
      <c r="P7" s="319"/>
      <c r="Q7" s="319"/>
      <c r="R7" s="319"/>
      <c r="S7" s="322"/>
      <c r="T7" s="344"/>
      <c r="U7" s="343"/>
      <c r="V7" s="323">
        <f t="shared" ref="V7:V20" si="0">SUM(C7:S7)</f>
        <v>0</v>
      </c>
    </row>
    <row r="8" spans="1:22" s="177" customFormat="1">
      <c r="A8" s="178">
        <v>2</v>
      </c>
      <c r="B8" s="176" t="s">
        <v>229</v>
      </c>
      <c r="C8" s="321"/>
      <c r="D8" s="319"/>
      <c r="E8" s="319"/>
      <c r="F8" s="319"/>
      <c r="G8" s="319"/>
      <c r="H8" s="319"/>
      <c r="I8" s="319"/>
      <c r="J8" s="319"/>
      <c r="K8" s="319"/>
      <c r="L8" s="322"/>
      <c r="M8" s="321"/>
      <c r="N8" s="319"/>
      <c r="O8" s="319"/>
      <c r="P8" s="319"/>
      <c r="Q8" s="319"/>
      <c r="R8" s="319"/>
      <c r="S8" s="322"/>
      <c r="T8" s="343"/>
      <c r="U8" s="343"/>
      <c r="V8" s="323">
        <f t="shared" si="0"/>
        <v>0</v>
      </c>
    </row>
    <row r="9" spans="1:22" s="177" customFormat="1">
      <c r="A9" s="178">
        <v>3</v>
      </c>
      <c r="B9" s="176" t="s">
        <v>230</v>
      </c>
      <c r="C9" s="321"/>
      <c r="D9" s="319"/>
      <c r="E9" s="319"/>
      <c r="F9" s="319"/>
      <c r="G9" s="319"/>
      <c r="H9" s="319"/>
      <c r="I9" s="319"/>
      <c r="J9" s="319"/>
      <c r="K9" s="319"/>
      <c r="L9" s="322"/>
      <c r="M9" s="321"/>
      <c r="N9" s="319"/>
      <c r="O9" s="319"/>
      <c r="P9" s="319"/>
      <c r="Q9" s="319"/>
      <c r="R9" s="319"/>
      <c r="S9" s="322"/>
      <c r="T9" s="343"/>
      <c r="U9" s="343"/>
      <c r="V9" s="323">
        <f t="shared" si="0"/>
        <v>0</v>
      </c>
    </row>
    <row r="10" spans="1:22" s="177" customFormat="1">
      <c r="A10" s="178">
        <v>4</v>
      </c>
      <c r="B10" s="176" t="s">
        <v>231</v>
      </c>
      <c r="C10" s="321"/>
      <c r="D10" s="319"/>
      <c r="E10" s="319"/>
      <c r="F10" s="319"/>
      <c r="G10" s="319"/>
      <c r="H10" s="319"/>
      <c r="I10" s="319"/>
      <c r="J10" s="319"/>
      <c r="K10" s="319"/>
      <c r="L10" s="322"/>
      <c r="M10" s="321"/>
      <c r="N10" s="319"/>
      <c r="O10" s="319"/>
      <c r="P10" s="319"/>
      <c r="Q10" s="319"/>
      <c r="R10" s="319"/>
      <c r="S10" s="322"/>
      <c r="T10" s="343"/>
      <c r="U10" s="343"/>
      <c r="V10" s="323">
        <f t="shared" si="0"/>
        <v>0</v>
      </c>
    </row>
    <row r="11" spans="1:22" s="177" customFormat="1">
      <c r="A11" s="178">
        <v>5</v>
      </c>
      <c r="B11" s="176" t="s">
        <v>232</v>
      </c>
      <c r="C11" s="321"/>
      <c r="D11" s="319"/>
      <c r="E11" s="319"/>
      <c r="F11" s="319"/>
      <c r="G11" s="319"/>
      <c r="H11" s="319"/>
      <c r="I11" s="319"/>
      <c r="J11" s="319"/>
      <c r="K11" s="319"/>
      <c r="L11" s="322"/>
      <c r="M11" s="321"/>
      <c r="N11" s="319"/>
      <c r="O11" s="319"/>
      <c r="P11" s="319"/>
      <c r="Q11" s="319"/>
      <c r="R11" s="319"/>
      <c r="S11" s="322"/>
      <c r="T11" s="343"/>
      <c r="U11" s="343"/>
      <c r="V11" s="323">
        <f t="shared" si="0"/>
        <v>0</v>
      </c>
    </row>
    <row r="12" spans="1:22" s="177" customFormat="1">
      <c r="A12" s="178">
        <v>6</v>
      </c>
      <c r="B12" s="176" t="s">
        <v>233</v>
      </c>
      <c r="C12" s="321"/>
      <c r="D12" s="319"/>
      <c r="E12" s="319"/>
      <c r="F12" s="319"/>
      <c r="G12" s="319"/>
      <c r="H12" s="319"/>
      <c r="I12" s="319"/>
      <c r="J12" s="319"/>
      <c r="K12" s="319"/>
      <c r="L12" s="322"/>
      <c r="M12" s="321"/>
      <c r="N12" s="319"/>
      <c r="O12" s="319"/>
      <c r="P12" s="319"/>
      <c r="Q12" s="319"/>
      <c r="R12" s="319"/>
      <c r="S12" s="322"/>
      <c r="T12" s="343"/>
      <c r="U12" s="343"/>
      <c r="V12" s="323">
        <f t="shared" si="0"/>
        <v>0</v>
      </c>
    </row>
    <row r="13" spans="1:22" s="177" customFormat="1">
      <c r="A13" s="178">
        <v>7</v>
      </c>
      <c r="B13" s="176" t="s">
        <v>78</v>
      </c>
      <c r="C13" s="321"/>
      <c r="D13" s="319"/>
      <c r="E13" s="319"/>
      <c r="F13" s="319"/>
      <c r="G13" s="319"/>
      <c r="H13" s="319"/>
      <c r="I13" s="319"/>
      <c r="J13" s="319"/>
      <c r="K13" s="319"/>
      <c r="L13" s="322"/>
      <c r="M13" s="321"/>
      <c r="N13" s="319"/>
      <c r="O13" s="319"/>
      <c r="P13" s="319"/>
      <c r="Q13" s="319"/>
      <c r="R13" s="319"/>
      <c r="S13" s="322"/>
      <c r="T13" s="343"/>
      <c r="U13" s="343"/>
      <c r="V13" s="323">
        <f t="shared" si="0"/>
        <v>0</v>
      </c>
    </row>
    <row r="14" spans="1:22" s="177" customFormat="1">
      <c r="A14" s="178">
        <v>8</v>
      </c>
      <c r="B14" s="176" t="s">
        <v>79</v>
      </c>
      <c r="C14" s="321"/>
      <c r="D14" s="319"/>
      <c r="E14" s="319"/>
      <c r="F14" s="319"/>
      <c r="G14" s="319"/>
      <c r="H14" s="319"/>
      <c r="I14" s="319"/>
      <c r="J14" s="319"/>
      <c r="K14" s="319"/>
      <c r="L14" s="322"/>
      <c r="M14" s="321"/>
      <c r="N14" s="319"/>
      <c r="O14" s="319"/>
      <c r="P14" s="319"/>
      <c r="Q14" s="319"/>
      <c r="R14" s="319"/>
      <c r="S14" s="322"/>
      <c r="T14" s="343"/>
      <c r="U14" s="343"/>
      <c r="V14" s="323">
        <f t="shared" si="0"/>
        <v>0</v>
      </c>
    </row>
    <row r="15" spans="1:22" s="177" customFormat="1">
      <c r="A15" s="178">
        <v>9</v>
      </c>
      <c r="B15" s="176" t="s">
        <v>80</v>
      </c>
      <c r="C15" s="321"/>
      <c r="D15" s="319"/>
      <c r="E15" s="319"/>
      <c r="F15" s="319"/>
      <c r="G15" s="319"/>
      <c r="H15" s="319"/>
      <c r="I15" s="319"/>
      <c r="J15" s="319"/>
      <c r="K15" s="319"/>
      <c r="L15" s="322"/>
      <c r="M15" s="321"/>
      <c r="N15" s="319"/>
      <c r="O15" s="319"/>
      <c r="P15" s="319"/>
      <c r="Q15" s="319"/>
      <c r="R15" s="319"/>
      <c r="S15" s="322"/>
      <c r="T15" s="343"/>
      <c r="U15" s="343"/>
      <c r="V15" s="323">
        <f t="shared" si="0"/>
        <v>0</v>
      </c>
    </row>
    <row r="16" spans="1:22" s="177" customFormat="1">
      <c r="A16" s="178">
        <v>10</v>
      </c>
      <c r="B16" s="176" t="s">
        <v>72</v>
      </c>
      <c r="C16" s="321"/>
      <c r="D16" s="319"/>
      <c r="E16" s="319"/>
      <c r="F16" s="319"/>
      <c r="G16" s="319"/>
      <c r="H16" s="319"/>
      <c r="I16" s="319"/>
      <c r="J16" s="319"/>
      <c r="K16" s="319"/>
      <c r="L16" s="322"/>
      <c r="M16" s="321"/>
      <c r="N16" s="319"/>
      <c r="O16" s="319"/>
      <c r="P16" s="319"/>
      <c r="Q16" s="319"/>
      <c r="R16" s="319"/>
      <c r="S16" s="322"/>
      <c r="T16" s="343"/>
      <c r="U16" s="343"/>
      <c r="V16" s="323">
        <f t="shared" si="0"/>
        <v>0</v>
      </c>
    </row>
    <row r="17" spans="1:22" s="177" customFormat="1">
      <c r="A17" s="178">
        <v>11</v>
      </c>
      <c r="B17" s="176" t="s">
        <v>73</v>
      </c>
      <c r="C17" s="321"/>
      <c r="D17" s="319"/>
      <c r="E17" s="319"/>
      <c r="F17" s="319"/>
      <c r="G17" s="319"/>
      <c r="H17" s="319"/>
      <c r="I17" s="319"/>
      <c r="J17" s="319"/>
      <c r="K17" s="319"/>
      <c r="L17" s="322"/>
      <c r="M17" s="321"/>
      <c r="N17" s="319"/>
      <c r="O17" s="319"/>
      <c r="P17" s="319"/>
      <c r="Q17" s="319"/>
      <c r="R17" s="319"/>
      <c r="S17" s="322"/>
      <c r="T17" s="343"/>
      <c r="U17" s="343"/>
      <c r="V17" s="323">
        <f t="shared" si="0"/>
        <v>0</v>
      </c>
    </row>
    <row r="18" spans="1:22" s="177" customFormat="1">
      <c r="A18" s="178">
        <v>12</v>
      </c>
      <c r="B18" s="176" t="s">
        <v>74</v>
      </c>
      <c r="C18" s="321"/>
      <c r="D18" s="319"/>
      <c r="E18" s="319"/>
      <c r="F18" s="319"/>
      <c r="G18" s="319"/>
      <c r="H18" s="319"/>
      <c r="I18" s="319"/>
      <c r="J18" s="319"/>
      <c r="K18" s="319"/>
      <c r="L18" s="322"/>
      <c r="M18" s="321"/>
      <c r="N18" s="319"/>
      <c r="O18" s="319"/>
      <c r="P18" s="319"/>
      <c r="Q18" s="319"/>
      <c r="R18" s="319"/>
      <c r="S18" s="322"/>
      <c r="T18" s="343"/>
      <c r="U18" s="343"/>
      <c r="V18" s="323">
        <f t="shared" si="0"/>
        <v>0</v>
      </c>
    </row>
    <row r="19" spans="1:22" s="177" customFormat="1">
      <c r="A19" s="178">
        <v>13</v>
      </c>
      <c r="B19" s="176" t="s">
        <v>75</v>
      </c>
      <c r="C19" s="321"/>
      <c r="D19" s="319"/>
      <c r="E19" s="319"/>
      <c r="F19" s="319"/>
      <c r="G19" s="319"/>
      <c r="H19" s="319"/>
      <c r="I19" s="319"/>
      <c r="J19" s="319"/>
      <c r="K19" s="319"/>
      <c r="L19" s="322"/>
      <c r="M19" s="321"/>
      <c r="N19" s="319"/>
      <c r="O19" s="319"/>
      <c r="P19" s="319"/>
      <c r="Q19" s="319"/>
      <c r="R19" s="319"/>
      <c r="S19" s="322"/>
      <c r="T19" s="343"/>
      <c r="U19" s="343"/>
      <c r="V19" s="323">
        <f t="shared" si="0"/>
        <v>0</v>
      </c>
    </row>
    <row r="20" spans="1:22" s="177" customFormat="1">
      <c r="A20" s="178">
        <v>14</v>
      </c>
      <c r="B20" s="176" t="s">
        <v>263</v>
      </c>
      <c r="C20" s="321"/>
      <c r="D20" s="319"/>
      <c r="E20" s="319"/>
      <c r="F20" s="319"/>
      <c r="G20" s="319"/>
      <c r="H20" s="319"/>
      <c r="I20" s="319"/>
      <c r="J20" s="319"/>
      <c r="K20" s="319"/>
      <c r="L20" s="322"/>
      <c r="M20" s="321"/>
      <c r="N20" s="319"/>
      <c r="O20" s="319"/>
      <c r="P20" s="319"/>
      <c r="Q20" s="319"/>
      <c r="R20" s="319"/>
      <c r="S20" s="322"/>
      <c r="T20" s="343"/>
      <c r="U20" s="343"/>
      <c r="V20" s="323">
        <f t="shared" si="0"/>
        <v>0</v>
      </c>
    </row>
    <row r="21" spans="1:22" ht="13.5" thickBot="1">
      <c r="A21" s="112"/>
      <c r="B21" s="113" t="s">
        <v>71</v>
      </c>
      <c r="C21" s="324">
        <f t="shared" ref="C21:V21" si="1">SUM(C7:C20)</f>
        <v>0</v>
      </c>
      <c r="D21" s="320">
        <f t="shared" si="1"/>
        <v>0</v>
      </c>
      <c r="E21" s="320">
        <f t="shared" si="1"/>
        <v>0</v>
      </c>
      <c r="F21" s="320">
        <f t="shared" si="1"/>
        <v>0</v>
      </c>
      <c r="G21" s="320">
        <f t="shared" si="1"/>
        <v>0</v>
      </c>
      <c r="H21" s="320">
        <f t="shared" si="1"/>
        <v>0</v>
      </c>
      <c r="I21" s="320">
        <f t="shared" si="1"/>
        <v>0</v>
      </c>
      <c r="J21" s="320">
        <f t="shared" si="1"/>
        <v>0</v>
      </c>
      <c r="K21" s="320">
        <f t="shared" si="1"/>
        <v>0</v>
      </c>
      <c r="L21" s="325">
        <f t="shared" si="1"/>
        <v>0</v>
      </c>
      <c r="M21" s="324">
        <f t="shared" si="1"/>
        <v>0</v>
      </c>
      <c r="N21" s="320">
        <f t="shared" si="1"/>
        <v>0</v>
      </c>
      <c r="O21" s="320">
        <f t="shared" si="1"/>
        <v>0</v>
      </c>
      <c r="P21" s="320">
        <f t="shared" si="1"/>
        <v>0</v>
      </c>
      <c r="Q21" s="320">
        <f t="shared" si="1"/>
        <v>0</v>
      </c>
      <c r="R21" s="320">
        <f t="shared" si="1"/>
        <v>0</v>
      </c>
      <c r="S21" s="325">
        <f t="shared" si="1"/>
        <v>0</v>
      </c>
      <c r="T21" s="325">
        <f t="shared" si="1"/>
        <v>0</v>
      </c>
      <c r="U21" s="325">
        <f t="shared" si="1"/>
        <v>0</v>
      </c>
      <c r="V21" s="326">
        <f t="shared" si="1"/>
        <v>0</v>
      </c>
    </row>
    <row r="24" spans="1:22">
      <c r="A24" s="18"/>
      <c r="B24" s="18"/>
      <c r="C24" s="81"/>
      <c r="D24" s="81"/>
      <c r="E24" s="81"/>
    </row>
    <row r="25" spans="1:22">
      <c r="A25" s="105"/>
      <c r="B25" s="105"/>
      <c r="C25" s="18"/>
      <c r="D25" s="81"/>
      <c r="E25" s="81"/>
    </row>
    <row r="26" spans="1:22">
      <c r="A26" s="105"/>
      <c r="B26" s="106"/>
      <c r="C26" s="18"/>
      <c r="D26" s="81"/>
      <c r="E26" s="81"/>
    </row>
    <row r="27" spans="1:22">
      <c r="A27" s="105"/>
      <c r="B27" s="105"/>
      <c r="C27" s="18"/>
      <c r="D27" s="81"/>
      <c r="E27" s="81"/>
    </row>
    <row r="28" spans="1:22">
      <c r="A28" s="105"/>
      <c r="B28" s="106"/>
      <c r="C28" s="18"/>
      <c r="D28" s="81"/>
      <c r="E28" s="8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zoomScaleNormal="100" workbookViewId="0">
      <pane xSplit="1" ySplit="7" topLeftCell="B8" activePane="bottomRight" state="frozen"/>
      <selection pane="topRight"/>
      <selection pane="bottomLeft"/>
      <selection pane="bottomRight" activeCell="C14" sqref="C14"/>
    </sheetView>
  </sheetViews>
  <sheetFormatPr defaultColWidth="9.140625" defaultRowHeight="12.75"/>
  <cols>
    <col min="1" max="1" width="10.5703125" style="2" bestFit="1" customWidth="1"/>
    <col min="2" max="2" width="101.85546875" style="2" customWidth="1"/>
    <col min="3" max="3" width="54" style="2" bestFit="1"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199</v>
      </c>
      <c r="B1" s="408" t="str">
        <f>'2. RC'!B1</f>
        <v>სს " პაშა ბანკი საქართველო"</v>
      </c>
    </row>
    <row r="2" spans="1:9">
      <c r="A2" s="2" t="s">
        <v>200</v>
      </c>
      <c r="B2" s="408" t="str">
        <f>'2. RC'!B2</f>
        <v>30.09.2017</v>
      </c>
    </row>
    <row r="4" spans="1:9" ht="13.5" thickBot="1">
      <c r="A4" s="2" t="s">
        <v>360</v>
      </c>
      <c r="B4" s="346" t="s">
        <v>385</v>
      </c>
    </row>
    <row r="5" spans="1:9">
      <c r="A5" s="110"/>
      <c r="B5" s="174"/>
      <c r="C5" s="180" t="s">
        <v>0</v>
      </c>
      <c r="D5" s="180" t="s">
        <v>1</v>
      </c>
      <c r="E5" s="180" t="s">
        <v>2</v>
      </c>
      <c r="F5" s="180" t="s">
        <v>3</v>
      </c>
      <c r="G5" s="342" t="s">
        <v>4</v>
      </c>
      <c r="H5" s="181" t="s">
        <v>6</v>
      </c>
      <c r="I5" s="24"/>
    </row>
    <row r="6" spans="1:9" ht="15" customHeight="1">
      <c r="A6" s="173"/>
      <c r="B6" s="22"/>
      <c r="C6" s="570" t="s">
        <v>377</v>
      </c>
      <c r="D6" s="572" t="s">
        <v>387</v>
      </c>
      <c r="E6" s="573"/>
      <c r="F6" s="570" t="s">
        <v>388</v>
      </c>
      <c r="G6" s="570" t="s">
        <v>389</v>
      </c>
      <c r="H6" s="555" t="s">
        <v>379</v>
      </c>
      <c r="I6" s="24"/>
    </row>
    <row r="7" spans="1:9" ht="76.5">
      <c r="A7" s="173"/>
      <c r="B7" s="22"/>
      <c r="C7" s="571"/>
      <c r="D7" s="345" t="s">
        <v>380</v>
      </c>
      <c r="E7" s="345" t="s">
        <v>378</v>
      </c>
      <c r="F7" s="571"/>
      <c r="G7" s="571"/>
      <c r="H7" s="556"/>
      <c r="I7" s="24"/>
    </row>
    <row r="8" spans="1:9">
      <c r="A8" s="101">
        <v>1</v>
      </c>
      <c r="B8" s="83" t="s">
        <v>228</v>
      </c>
      <c r="C8" s="424">
        <v>25419130.243299998</v>
      </c>
      <c r="D8" s="328"/>
      <c r="E8" s="327"/>
      <c r="F8" s="412">
        <v>22444335.493299998</v>
      </c>
      <c r="G8" s="412">
        <v>22444335.493299998</v>
      </c>
      <c r="H8" s="351">
        <f t="shared" ref="H8:H22" si="0">IFERROR(G8/(C8+E8),0)</f>
        <v>0.88297023849649225</v>
      </c>
    </row>
    <row r="9" spans="1:9" ht="15" customHeight="1">
      <c r="A9" s="101">
        <v>2</v>
      </c>
      <c r="B9" s="83" t="s">
        <v>229</v>
      </c>
      <c r="C9" s="412">
        <v>0</v>
      </c>
      <c r="D9" s="328"/>
      <c r="E9" s="327"/>
      <c r="F9" s="412">
        <v>0</v>
      </c>
      <c r="G9" s="412">
        <v>0</v>
      </c>
      <c r="H9" s="351">
        <f t="shared" si="0"/>
        <v>0</v>
      </c>
    </row>
    <row r="10" spans="1:9">
      <c r="A10" s="101">
        <v>3</v>
      </c>
      <c r="B10" s="83" t="s">
        <v>230</v>
      </c>
      <c r="C10" s="412">
        <v>0</v>
      </c>
      <c r="D10" s="328"/>
      <c r="E10" s="327"/>
      <c r="F10" s="412">
        <v>0</v>
      </c>
      <c r="G10" s="412">
        <v>0</v>
      </c>
      <c r="H10" s="351">
        <f t="shared" si="0"/>
        <v>0</v>
      </c>
    </row>
    <row r="11" spans="1:9">
      <c r="A11" s="101">
        <v>4</v>
      </c>
      <c r="B11" s="83" t="s">
        <v>231</v>
      </c>
      <c r="C11" s="412">
        <v>0</v>
      </c>
      <c r="D11" s="328"/>
      <c r="E11" s="327"/>
      <c r="F11" s="412">
        <v>0</v>
      </c>
      <c r="G11" s="412">
        <v>0</v>
      </c>
      <c r="H11" s="351">
        <f t="shared" si="0"/>
        <v>0</v>
      </c>
    </row>
    <row r="12" spans="1:9">
      <c r="A12" s="101">
        <v>5</v>
      </c>
      <c r="B12" s="83" t="s">
        <v>232</v>
      </c>
      <c r="C12" s="412">
        <v>0</v>
      </c>
      <c r="D12" s="328"/>
      <c r="E12" s="327"/>
      <c r="F12" s="412">
        <v>0</v>
      </c>
      <c r="G12" s="412">
        <v>0</v>
      </c>
      <c r="H12" s="351">
        <f t="shared" si="0"/>
        <v>0</v>
      </c>
    </row>
    <row r="13" spans="1:9">
      <c r="A13" s="101">
        <v>6</v>
      </c>
      <c r="B13" s="83" t="s">
        <v>233</v>
      </c>
      <c r="C13" s="412">
        <v>97070097.0572</v>
      </c>
      <c r="D13" s="328">
        <v>105000</v>
      </c>
      <c r="E13" s="327">
        <v>105000</v>
      </c>
      <c r="F13" s="412">
        <v>82609118.082560003</v>
      </c>
      <c r="G13" s="412">
        <v>82609118.082560003</v>
      </c>
      <c r="H13" s="351">
        <f t="shared" si="0"/>
        <v>0.85010584588285976</v>
      </c>
    </row>
    <row r="14" spans="1:9">
      <c r="A14" s="101">
        <v>7</v>
      </c>
      <c r="B14" s="83" t="s">
        <v>78</v>
      </c>
      <c r="C14" s="412">
        <v>125711874.0794</v>
      </c>
      <c r="D14" s="328">
        <v>18773226.194800001</v>
      </c>
      <c r="E14" s="327">
        <v>12242940.783600001</v>
      </c>
      <c r="F14" s="412">
        <v>174477177.40715</v>
      </c>
      <c r="G14" s="412">
        <v>174477177.40715</v>
      </c>
      <c r="H14" s="351">
        <f t="shared" si="0"/>
        <v>1.2647414849595469</v>
      </c>
    </row>
    <row r="15" spans="1:9">
      <c r="A15" s="101">
        <v>8</v>
      </c>
      <c r="B15" s="83" t="s">
        <v>79</v>
      </c>
      <c r="C15" s="412">
        <v>568010.97</v>
      </c>
      <c r="D15" s="328">
        <v>516244.09</v>
      </c>
      <c r="E15" s="327">
        <v>103248.818</v>
      </c>
      <c r="F15" s="412">
        <v>529257.04550000001</v>
      </c>
      <c r="G15" s="412">
        <v>529257.04550000001</v>
      </c>
      <c r="H15" s="351">
        <f t="shared" si="0"/>
        <v>0.78845337522288772</v>
      </c>
    </row>
    <row r="16" spans="1:9">
      <c r="A16" s="101">
        <v>9</v>
      </c>
      <c r="B16" s="83" t="s">
        <v>80</v>
      </c>
      <c r="C16" s="412">
        <v>0</v>
      </c>
      <c r="D16" s="328"/>
      <c r="E16" s="327"/>
      <c r="F16" s="412">
        <v>0</v>
      </c>
      <c r="G16" s="412">
        <v>0</v>
      </c>
      <c r="H16" s="351">
        <f t="shared" si="0"/>
        <v>0</v>
      </c>
    </row>
    <row r="17" spans="1:8">
      <c r="A17" s="101">
        <v>10</v>
      </c>
      <c r="B17" s="83" t="s">
        <v>72</v>
      </c>
      <c r="C17" s="412">
        <v>0</v>
      </c>
      <c r="D17" s="328"/>
      <c r="E17" s="327"/>
      <c r="F17" s="412">
        <v>0</v>
      </c>
      <c r="G17" s="412">
        <v>0</v>
      </c>
      <c r="H17" s="351">
        <f t="shared" si="0"/>
        <v>0</v>
      </c>
    </row>
    <row r="18" spans="1:8">
      <c r="A18" s="101">
        <v>11</v>
      </c>
      <c r="B18" s="83" t="s">
        <v>73</v>
      </c>
      <c r="C18" s="412">
        <v>0</v>
      </c>
      <c r="D18" s="328"/>
      <c r="E18" s="327"/>
      <c r="F18" s="412">
        <v>0</v>
      </c>
      <c r="G18" s="412">
        <v>0</v>
      </c>
      <c r="H18" s="351">
        <f t="shared" si="0"/>
        <v>0</v>
      </c>
    </row>
    <row r="19" spans="1:8">
      <c r="A19" s="101">
        <v>12</v>
      </c>
      <c r="B19" s="83" t="s">
        <v>74</v>
      </c>
      <c r="C19" s="412">
        <v>0</v>
      </c>
      <c r="D19" s="328"/>
      <c r="E19" s="327"/>
      <c r="F19" s="412">
        <v>0</v>
      </c>
      <c r="G19" s="412">
        <v>0</v>
      </c>
      <c r="H19" s="351">
        <f t="shared" si="0"/>
        <v>0</v>
      </c>
    </row>
    <row r="20" spans="1:8">
      <c r="A20" s="101">
        <v>13</v>
      </c>
      <c r="B20" s="83" t="s">
        <v>75</v>
      </c>
      <c r="C20" s="412">
        <v>0</v>
      </c>
      <c r="D20" s="328"/>
      <c r="E20" s="327"/>
      <c r="F20" s="412">
        <v>0</v>
      </c>
      <c r="G20" s="412">
        <v>0</v>
      </c>
      <c r="H20" s="351">
        <f t="shared" si="0"/>
        <v>0</v>
      </c>
    </row>
    <row r="21" spans="1:8">
      <c r="A21" s="101">
        <v>14</v>
      </c>
      <c r="B21" s="83" t="s">
        <v>263</v>
      </c>
      <c r="C21" s="412">
        <v>2521134.4874999998</v>
      </c>
      <c r="D21" s="328"/>
      <c r="E21" s="327"/>
      <c r="F21" s="412">
        <v>1917431.9909000001</v>
      </c>
      <c r="G21" s="412">
        <v>1917431.9909000001</v>
      </c>
      <c r="H21" s="351">
        <f t="shared" si="0"/>
        <v>0.76054331905211392</v>
      </c>
    </row>
    <row r="22" spans="1:8" ht="13.5" thickBot="1">
      <c r="A22" s="175"/>
      <c r="B22" s="182" t="s">
        <v>71</v>
      </c>
      <c r="C22" s="320">
        <f>SUM(C8:C21)</f>
        <v>251290246.83740002</v>
      </c>
      <c r="D22" s="320">
        <f>SUM(D8:D21)</f>
        <v>19394470.2848</v>
      </c>
      <c r="E22" s="320">
        <f>SUM(E8:E21)</f>
        <v>12451189.601600001</v>
      </c>
      <c r="F22" s="320">
        <f>SUM(F8:F21)</f>
        <v>281977320.01940995</v>
      </c>
      <c r="G22" s="320">
        <f>SUM(G8:G21)</f>
        <v>281977320.01940995</v>
      </c>
      <c r="H22" s="404">
        <f t="shared" si="0"/>
        <v>1.0691430357953164</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7"/>
  <sheetViews>
    <sheetView workbookViewId="0">
      <pane xSplit="1" ySplit="6" topLeftCell="B7" activePane="bottomRight" state="frozen"/>
      <selection pane="topRight"/>
      <selection pane="bottomLeft"/>
      <selection pane="bottomRight" activeCell="C7" sqref="C7"/>
    </sheetView>
  </sheetViews>
  <sheetFormatPr defaultColWidth="9.140625" defaultRowHeight="12.75"/>
  <cols>
    <col min="1" max="1" width="10.5703125" style="2" bestFit="1" customWidth="1"/>
    <col min="2" max="2" width="104.140625" style="2" customWidth="1"/>
    <col min="3" max="3" width="23.5703125" style="2" customWidth="1"/>
    <col min="4" max="4" width="24.28515625" style="2" customWidth="1"/>
    <col min="5" max="16384" width="9.140625" style="12"/>
  </cols>
  <sheetData>
    <row r="1" spans="1:4">
      <c r="A1" s="2" t="s">
        <v>199</v>
      </c>
      <c r="B1" s="408" t="str">
        <f>'2. RC'!B1</f>
        <v>სს " პაშა ბანკი საქართველო"</v>
      </c>
    </row>
    <row r="2" spans="1:4">
      <c r="A2" s="2" t="s">
        <v>200</v>
      </c>
      <c r="B2" s="408" t="str">
        <f>'2. RC'!B2</f>
        <v>30.09.2017</v>
      </c>
      <c r="C2" s="5"/>
      <c r="D2" s="5"/>
    </row>
    <row r="3" spans="1:4">
      <c r="B3" s="5"/>
      <c r="C3" s="5"/>
      <c r="D3" s="5"/>
    </row>
    <row r="4" spans="1:4" ht="13.5" thickBot="1">
      <c r="A4" s="2" t="s">
        <v>361</v>
      </c>
      <c r="B4" s="115" t="s">
        <v>77</v>
      </c>
      <c r="C4" s="115"/>
      <c r="D4" s="116"/>
    </row>
    <row r="5" spans="1:4">
      <c r="A5" s="183"/>
      <c r="B5" s="154"/>
      <c r="C5" s="356" t="s">
        <v>0</v>
      </c>
      <c r="D5" s="184" t="s">
        <v>1</v>
      </c>
    </row>
    <row r="6" spans="1:4" ht="66.75" customHeight="1">
      <c r="A6" s="185"/>
      <c r="B6" s="117" t="s">
        <v>76</v>
      </c>
      <c r="C6" s="394" t="s">
        <v>82</v>
      </c>
      <c r="D6" s="395" t="s">
        <v>77</v>
      </c>
    </row>
    <row r="7" spans="1:4" ht="15">
      <c r="A7" s="186">
        <v>1</v>
      </c>
      <c r="B7" s="83" t="s">
        <v>78</v>
      </c>
      <c r="C7" s="413">
        <v>48696483.392200001</v>
      </c>
      <c r="D7" s="330">
        <f t="shared" ref="D7:D14" si="0">C7*75%</f>
        <v>36522362.544150002</v>
      </c>
    </row>
    <row r="8" spans="1:4" ht="15">
      <c r="A8" s="186">
        <v>2</v>
      </c>
      <c r="B8" s="83" t="s">
        <v>79</v>
      </c>
      <c r="C8" s="413">
        <v>0</v>
      </c>
      <c r="D8" s="330">
        <f t="shared" si="0"/>
        <v>0</v>
      </c>
    </row>
    <row r="9" spans="1:4" ht="15">
      <c r="A9" s="186">
        <v>3</v>
      </c>
      <c r="B9" s="83" t="s">
        <v>80</v>
      </c>
      <c r="C9" s="413">
        <v>0</v>
      </c>
      <c r="D9" s="330">
        <f t="shared" si="0"/>
        <v>0</v>
      </c>
    </row>
    <row r="10" spans="1:4" ht="15">
      <c r="A10" s="186">
        <v>4</v>
      </c>
      <c r="B10" s="83" t="s">
        <v>72</v>
      </c>
      <c r="C10" s="413">
        <v>0</v>
      </c>
      <c r="D10" s="330">
        <f t="shared" si="0"/>
        <v>0</v>
      </c>
    </row>
    <row r="11" spans="1:4" ht="15">
      <c r="A11" s="186">
        <v>5</v>
      </c>
      <c r="B11" s="83" t="s">
        <v>73</v>
      </c>
      <c r="C11" s="413">
        <v>0</v>
      </c>
      <c r="D11" s="330">
        <f t="shared" si="0"/>
        <v>0</v>
      </c>
    </row>
    <row r="12" spans="1:4" ht="15">
      <c r="A12" s="186">
        <v>6</v>
      </c>
      <c r="B12" s="83" t="s">
        <v>74</v>
      </c>
      <c r="C12" s="413">
        <v>0</v>
      </c>
      <c r="D12" s="330">
        <f t="shared" si="0"/>
        <v>0</v>
      </c>
    </row>
    <row r="13" spans="1:4" ht="15">
      <c r="A13" s="186">
        <v>7</v>
      </c>
      <c r="B13" s="118" t="s">
        <v>75</v>
      </c>
      <c r="C13" s="413">
        <v>0</v>
      </c>
      <c r="D13" s="330">
        <f t="shared" si="0"/>
        <v>0</v>
      </c>
    </row>
    <row r="14" spans="1:4" ht="15">
      <c r="A14" s="186">
        <v>8</v>
      </c>
      <c r="B14" s="118" t="s">
        <v>81</v>
      </c>
      <c r="C14" s="413">
        <v>0</v>
      </c>
      <c r="D14" s="330">
        <f t="shared" si="0"/>
        <v>0</v>
      </c>
    </row>
    <row r="15" spans="1:4" ht="13.5" thickBot="1">
      <c r="A15" s="187">
        <v>9</v>
      </c>
      <c r="B15" s="179" t="s">
        <v>71</v>
      </c>
      <c r="C15" s="329">
        <f>SUM(C7:C14)</f>
        <v>48696483.392200001</v>
      </c>
      <c r="D15" s="331">
        <f>SUM(D7:D14)</f>
        <v>36522362.544150002</v>
      </c>
    </row>
    <row r="17" spans="2:2">
      <c r="B17" s="2" t="s">
        <v>5</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workbookViewId="0">
      <pane xSplit="1" ySplit="5" topLeftCell="B6" activePane="bottomRight" state="frozen"/>
      <selection pane="topRight"/>
      <selection pane="bottomLeft"/>
      <selection pane="bottomRight" activeCell="B29" sqref="B29"/>
    </sheetView>
  </sheetViews>
  <sheetFormatPr defaultColWidth="9.140625" defaultRowHeight="15"/>
  <cols>
    <col min="1" max="1" width="10.5703125" style="78" bestFit="1" customWidth="1"/>
    <col min="2" max="2" width="95" style="78" customWidth="1"/>
    <col min="3" max="3" width="12.5703125" style="78" bestFit="1" customWidth="1"/>
    <col min="4" max="4" width="10" style="78" bestFit="1" customWidth="1"/>
    <col min="5" max="5" width="18.28515625" style="78" bestFit="1" customWidth="1"/>
    <col min="6" max="13" width="8.140625" style="78" customWidth="1"/>
    <col min="14" max="14" width="31" style="78" bestFit="1" customWidth="1"/>
    <col min="15" max="16384" width="9.140625" style="12"/>
  </cols>
  <sheetData>
    <row r="1" spans="1:14">
      <c r="A1" s="5" t="s">
        <v>199</v>
      </c>
      <c r="B1" s="408" t="str">
        <f>'2. RC'!B1</f>
        <v>სს " პაშა ბანკი საქართველო"</v>
      </c>
    </row>
    <row r="2" spans="1:14" ht="14.25" customHeight="1">
      <c r="A2" s="78" t="s">
        <v>200</v>
      </c>
      <c r="B2" s="408" t="str">
        <f>'2. RC'!B2</f>
        <v>30.09.2017</v>
      </c>
    </row>
    <row r="3" spans="1:14" ht="14.25" customHeight="1"/>
    <row r="4" spans="1:14" ht="15.75" thickBot="1">
      <c r="A4" s="2" t="s">
        <v>362</v>
      </c>
      <c r="B4" s="103" t="s">
        <v>84</v>
      </c>
    </row>
    <row r="5" spans="1:14" s="25" customFormat="1" ht="12.75">
      <c r="A5" s="196"/>
      <c r="B5" s="197"/>
      <c r="C5" s="198" t="s">
        <v>0</v>
      </c>
      <c r="D5" s="198" t="s">
        <v>1</v>
      </c>
      <c r="E5" s="198" t="s">
        <v>2</v>
      </c>
      <c r="F5" s="198" t="s">
        <v>3</v>
      </c>
      <c r="G5" s="198" t="s">
        <v>4</v>
      </c>
      <c r="H5" s="198" t="s">
        <v>6</v>
      </c>
      <c r="I5" s="198" t="s">
        <v>251</v>
      </c>
      <c r="J5" s="198" t="s">
        <v>252</v>
      </c>
      <c r="K5" s="198" t="s">
        <v>253</v>
      </c>
      <c r="L5" s="198" t="s">
        <v>254</v>
      </c>
      <c r="M5" s="198" t="s">
        <v>255</v>
      </c>
      <c r="N5" s="199" t="s">
        <v>256</v>
      </c>
    </row>
    <row r="6" spans="1:14" ht="45">
      <c r="A6" s="188"/>
      <c r="B6" s="119"/>
      <c r="C6" s="120" t="s">
        <v>94</v>
      </c>
      <c r="D6" s="121" t="s">
        <v>83</v>
      </c>
      <c r="E6" s="122" t="s">
        <v>93</v>
      </c>
      <c r="F6" s="123">
        <v>0</v>
      </c>
      <c r="G6" s="123">
        <v>0.2</v>
      </c>
      <c r="H6" s="123">
        <v>0.35</v>
      </c>
      <c r="I6" s="123">
        <v>0.5</v>
      </c>
      <c r="J6" s="123">
        <v>0.75</v>
      </c>
      <c r="K6" s="123">
        <v>1</v>
      </c>
      <c r="L6" s="123">
        <v>1.5</v>
      </c>
      <c r="M6" s="123">
        <v>2.5</v>
      </c>
      <c r="N6" s="189" t="s">
        <v>84</v>
      </c>
    </row>
    <row r="7" spans="1:14">
      <c r="A7" s="190">
        <v>1</v>
      </c>
      <c r="B7" s="124" t="s">
        <v>85</v>
      </c>
      <c r="C7" s="332">
        <f>SUM(C8:C13)</f>
        <v>0</v>
      </c>
      <c r="D7" s="119"/>
      <c r="E7" s="335">
        <f>SUM(E8:E12)</f>
        <v>0</v>
      </c>
      <c r="F7" s="333"/>
      <c r="G7" s="333"/>
      <c r="H7" s="333"/>
      <c r="I7" s="333"/>
      <c r="J7" s="333"/>
      <c r="K7" s="333"/>
      <c r="L7" s="333"/>
      <c r="M7" s="333"/>
      <c r="N7" s="191"/>
    </row>
    <row r="8" spans="1:14" ht="15.75" customHeight="1">
      <c r="A8" s="190">
        <v>1.1000000000000001</v>
      </c>
      <c r="B8" s="125" t="s">
        <v>86</v>
      </c>
      <c r="C8" s="413">
        <f>'Risk Weighted Risk Exposures'!C79</f>
        <v>0</v>
      </c>
      <c r="D8" s="126">
        <v>0.02</v>
      </c>
      <c r="E8" s="335">
        <f>C8*D8</f>
        <v>0</v>
      </c>
      <c r="F8" s="333">
        <f>'Risk Weighted Risk Exposures'!F79</f>
        <v>0</v>
      </c>
      <c r="G8" s="333">
        <f>'Risk Weighted Risk Exposures'!G79</f>
        <v>0</v>
      </c>
      <c r="H8" s="333">
        <f>'Risk Weighted Risk Exposures'!H79</f>
        <v>0</v>
      </c>
      <c r="I8" s="333">
        <f>'Risk Weighted Risk Exposures'!I79</f>
        <v>0</v>
      </c>
      <c r="J8" s="333">
        <f>'Risk Weighted Risk Exposures'!J79</f>
        <v>0</v>
      </c>
      <c r="K8" s="333">
        <f>'Risk Weighted Risk Exposures'!K79</f>
        <v>0</v>
      </c>
      <c r="L8" s="333">
        <f>'Risk Weighted Risk Exposures'!L79</f>
        <v>0</v>
      </c>
      <c r="M8" s="333">
        <f>'Risk Weighted Risk Exposures'!M79</f>
        <v>0</v>
      </c>
      <c r="N8" s="191"/>
    </row>
    <row r="9" spans="1:14" ht="15.75" customHeight="1">
      <c r="A9" s="190">
        <v>1.2</v>
      </c>
      <c r="B9" s="125" t="s">
        <v>87</v>
      </c>
      <c r="C9" s="413">
        <f>'Risk Weighted Risk Exposures'!C80</f>
        <v>0</v>
      </c>
      <c r="D9" s="126">
        <v>0.05</v>
      </c>
      <c r="E9" s="335">
        <f>C9*D9</f>
        <v>0</v>
      </c>
      <c r="F9" s="333">
        <f>'Risk Weighted Risk Exposures'!F80</f>
        <v>0</v>
      </c>
      <c r="G9" s="333">
        <f>'Risk Weighted Risk Exposures'!G80</f>
        <v>0</v>
      </c>
      <c r="H9" s="333">
        <f>'Risk Weighted Risk Exposures'!H80</f>
        <v>0</v>
      </c>
      <c r="I9" s="333">
        <f>'Risk Weighted Risk Exposures'!I80</f>
        <v>0</v>
      </c>
      <c r="J9" s="333">
        <f>'Risk Weighted Risk Exposures'!J80</f>
        <v>0</v>
      </c>
      <c r="K9" s="333">
        <f>'Risk Weighted Risk Exposures'!K80</f>
        <v>0</v>
      </c>
      <c r="L9" s="333">
        <f>'Risk Weighted Risk Exposures'!L80</f>
        <v>0</v>
      </c>
      <c r="M9" s="333">
        <f>'Risk Weighted Risk Exposures'!M80</f>
        <v>0</v>
      </c>
      <c r="N9" s="191"/>
    </row>
    <row r="10" spans="1:14" ht="15.75" customHeight="1">
      <c r="A10" s="190">
        <v>1.3</v>
      </c>
      <c r="B10" s="125" t="s">
        <v>88</v>
      </c>
      <c r="C10" s="413">
        <f>'Risk Weighted Risk Exposures'!C81</f>
        <v>0</v>
      </c>
      <c r="D10" s="126">
        <v>0.08</v>
      </c>
      <c r="E10" s="335">
        <f>C10*D10</f>
        <v>0</v>
      </c>
      <c r="F10" s="333">
        <f>'Risk Weighted Risk Exposures'!F81</f>
        <v>0</v>
      </c>
      <c r="G10" s="333">
        <f>'Risk Weighted Risk Exposures'!G81</f>
        <v>0</v>
      </c>
      <c r="H10" s="333">
        <f>'Risk Weighted Risk Exposures'!H81</f>
        <v>0</v>
      </c>
      <c r="I10" s="333">
        <f>'Risk Weighted Risk Exposures'!I81</f>
        <v>0</v>
      </c>
      <c r="J10" s="333">
        <f>'Risk Weighted Risk Exposures'!J81</f>
        <v>0</v>
      </c>
      <c r="K10" s="333">
        <f>'Risk Weighted Risk Exposures'!K81</f>
        <v>0</v>
      </c>
      <c r="L10" s="333">
        <f>'Risk Weighted Risk Exposures'!L81</f>
        <v>0</v>
      </c>
      <c r="M10" s="333">
        <f>'Risk Weighted Risk Exposures'!M81</f>
        <v>0</v>
      </c>
      <c r="N10" s="191"/>
    </row>
    <row r="11" spans="1:14" ht="15.75" customHeight="1">
      <c r="A11" s="190">
        <v>1.4</v>
      </c>
      <c r="B11" s="125" t="s">
        <v>89</v>
      </c>
      <c r="C11" s="413">
        <f>'Risk Weighted Risk Exposures'!C82</f>
        <v>0</v>
      </c>
      <c r="D11" s="126">
        <v>0.11</v>
      </c>
      <c r="E11" s="335">
        <f>C11*D11</f>
        <v>0</v>
      </c>
      <c r="F11" s="333">
        <f>'Risk Weighted Risk Exposures'!F82</f>
        <v>0</v>
      </c>
      <c r="G11" s="333">
        <f>'Risk Weighted Risk Exposures'!G82</f>
        <v>0</v>
      </c>
      <c r="H11" s="333">
        <f>'Risk Weighted Risk Exposures'!H82</f>
        <v>0</v>
      </c>
      <c r="I11" s="333">
        <f>'Risk Weighted Risk Exposures'!I82</f>
        <v>0</v>
      </c>
      <c r="J11" s="333">
        <f>'Risk Weighted Risk Exposures'!J82</f>
        <v>0</v>
      </c>
      <c r="K11" s="333">
        <f>'Risk Weighted Risk Exposures'!K82</f>
        <v>0</v>
      </c>
      <c r="L11" s="333">
        <f>'Risk Weighted Risk Exposures'!L82</f>
        <v>0</v>
      </c>
      <c r="M11" s="333">
        <f>'Risk Weighted Risk Exposures'!M82</f>
        <v>0</v>
      </c>
      <c r="N11" s="191"/>
    </row>
    <row r="12" spans="1:14" ht="15.75" customHeight="1">
      <c r="A12" s="190">
        <v>1.5</v>
      </c>
      <c r="B12" s="125" t="s">
        <v>90</v>
      </c>
      <c r="C12" s="413">
        <f>'Risk Weighted Risk Exposures'!C83</f>
        <v>0</v>
      </c>
      <c r="D12" s="126">
        <v>0.14000000000000001</v>
      </c>
      <c r="E12" s="335">
        <f>C12*D12</f>
        <v>0</v>
      </c>
      <c r="F12" s="333">
        <f>'Risk Weighted Risk Exposures'!F83</f>
        <v>0</v>
      </c>
      <c r="G12" s="333">
        <f>'Risk Weighted Risk Exposures'!G83</f>
        <v>0</v>
      </c>
      <c r="H12" s="333">
        <f>'Risk Weighted Risk Exposures'!H83</f>
        <v>0</v>
      </c>
      <c r="I12" s="333">
        <f>'Risk Weighted Risk Exposures'!I83</f>
        <v>0</v>
      </c>
      <c r="J12" s="333">
        <f>'Risk Weighted Risk Exposures'!J83</f>
        <v>0</v>
      </c>
      <c r="K12" s="333">
        <f>'Risk Weighted Risk Exposures'!K83</f>
        <v>0</v>
      </c>
      <c r="L12" s="333">
        <f>'Risk Weighted Risk Exposures'!L83</f>
        <v>0</v>
      </c>
      <c r="M12" s="333">
        <f>'Risk Weighted Risk Exposures'!M83</f>
        <v>0</v>
      </c>
      <c r="N12" s="191"/>
    </row>
    <row r="13" spans="1:14" ht="15.75" customHeight="1">
      <c r="A13" s="190">
        <v>1.6</v>
      </c>
      <c r="B13" s="127" t="s">
        <v>91</v>
      </c>
      <c r="C13" s="413">
        <f>'Risk Weighted Risk Exposures'!C84</f>
        <v>0</v>
      </c>
      <c r="D13" s="128"/>
      <c r="E13" s="333"/>
      <c r="F13" s="333"/>
      <c r="G13" s="333"/>
      <c r="H13" s="333"/>
      <c r="I13" s="333"/>
      <c r="J13" s="333"/>
      <c r="K13" s="333"/>
      <c r="L13" s="333"/>
      <c r="M13" s="333"/>
      <c r="N13" s="191"/>
    </row>
    <row r="14" spans="1:14">
      <c r="A14" s="190">
        <v>2</v>
      </c>
      <c r="B14" s="129" t="s">
        <v>92</v>
      </c>
      <c r="C14" s="332">
        <f>SUM(C15:C20)</f>
        <v>0</v>
      </c>
      <c r="D14" s="119"/>
      <c r="E14" s="335">
        <f>SUM(E15:E19)</f>
        <v>0</v>
      </c>
      <c r="F14" s="333"/>
      <c r="G14" s="333"/>
      <c r="H14" s="333"/>
      <c r="I14" s="333"/>
      <c r="J14" s="333"/>
      <c r="K14" s="333"/>
      <c r="L14" s="333"/>
      <c r="M14" s="333"/>
      <c r="N14" s="191"/>
    </row>
    <row r="15" spans="1:14" ht="15" customHeight="1">
      <c r="A15" s="190">
        <v>2.1</v>
      </c>
      <c r="B15" s="127" t="s">
        <v>86</v>
      </c>
      <c r="C15" s="413">
        <f>'Risk Weighted Risk Exposures'!C86</f>
        <v>0</v>
      </c>
      <c r="D15" s="126">
        <v>5.0000000000000001E-3</v>
      </c>
      <c r="E15" s="335">
        <f>D15*C15</f>
        <v>0</v>
      </c>
      <c r="F15" s="333">
        <f>'Risk Weighted Risk Exposures'!F86</f>
        <v>0</v>
      </c>
      <c r="G15" s="333">
        <f>'Risk Weighted Risk Exposures'!G86</f>
        <v>0</v>
      </c>
      <c r="H15" s="333">
        <f>'Risk Weighted Risk Exposures'!H86</f>
        <v>0</v>
      </c>
      <c r="I15" s="333">
        <f>'Risk Weighted Risk Exposures'!I86</f>
        <v>0</v>
      </c>
      <c r="J15" s="333">
        <f>'Risk Weighted Risk Exposures'!J86</f>
        <v>0</v>
      </c>
      <c r="K15" s="333">
        <f>'Risk Weighted Risk Exposures'!K86</f>
        <v>0</v>
      </c>
      <c r="L15" s="333">
        <f>'Risk Weighted Risk Exposures'!L86</f>
        <v>0</v>
      </c>
      <c r="M15" s="333">
        <f>'Risk Weighted Risk Exposures'!M86</f>
        <v>0</v>
      </c>
      <c r="N15" s="191"/>
    </row>
    <row r="16" spans="1:14" ht="15" customHeight="1">
      <c r="A16" s="190">
        <v>2.2000000000000002</v>
      </c>
      <c r="B16" s="127" t="s">
        <v>87</v>
      </c>
      <c r="C16" s="413">
        <f>'Risk Weighted Risk Exposures'!C87</f>
        <v>0</v>
      </c>
      <c r="D16" s="126">
        <v>0.01</v>
      </c>
      <c r="E16" s="335">
        <f>D16*C16</f>
        <v>0</v>
      </c>
      <c r="F16" s="333">
        <f>'Risk Weighted Risk Exposures'!F87</f>
        <v>0</v>
      </c>
      <c r="G16" s="333">
        <f>'Risk Weighted Risk Exposures'!G87</f>
        <v>0</v>
      </c>
      <c r="H16" s="333">
        <f>'Risk Weighted Risk Exposures'!H87</f>
        <v>0</v>
      </c>
      <c r="I16" s="333">
        <f>'Risk Weighted Risk Exposures'!I87</f>
        <v>0</v>
      </c>
      <c r="J16" s="333">
        <f>'Risk Weighted Risk Exposures'!J87</f>
        <v>0</v>
      </c>
      <c r="K16" s="333">
        <f>'Risk Weighted Risk Exposures'!K87</f>
        <v>0</v>
      </c>
      <c r="L16" s="333">
        <f>'Risk Weighted Risk Exposures'!L87</f>
        <v>0</v>
      </c>
      <c r="M16" s="333">
        <f>'Risk Weighted Risk Exposures'!M87</f>
        <v>0</v>
      </c>
      <c r="N16" s="191"/>
    </row>
    <row r="17" spans="1:14" ht="15" customHeight="1">
      <c r="A17" s="190">
        <v>2.2999999999999998</v>
      </c>
      <c r="B17" s="127" t="s">
        <v>88</v>
      </c>
      <c r="C17" s="413">
        <f>'Risk Weighted Risk Exposures'!C88</f>
        <v>0</v>
      </c>
      <c r="D17" s="126">
        <v>0.02</v>
      </c>
      <c r="E17" s="335">
        <f>D17*C17</f>
        <v>0</v>
      </c>
      <c r="F17" s="333">
        <f>'Risk Weighted Risk Exposures'!F88</f>
        <v>0</v>
      </c>
      <c r="G17" s="333">
        <f>'Risk Weighted Risk Exposures'!G88</f>
        <v>0</v>
      </c>
      <c r="H17" s="333">
        <f>'Risk Weighted Risk Exposures'!H88</f>
        <v>0</v>
      </c>
      <c r="I17" s="333">
        <f>'Risk Weighted Risk Exposures'!I88</f>
        <v>0</v>
      </c>
      <c r="J17" s="333">
        <f>'Risk Weighted Risk Exposures'!J88</f>
        <v>0</v>
      </c>
      <c r="K17" s="333">
        <f>'Risk Weighted Risk Exposures'!K88</f>
        <v>0</v>
      </c>
      <c r="L17" s="333">
        <f>'Risk Weighted Risk Exposures'!L88</f>
        <v>0</v>
      </c>
      <c r="M17" s="333">
        <f>'Risk Weighted Risk Exposures'!M88</f>
        <v>0</v>
      </c>
      <c r="N17" s="191"/>
    </row>
    <row r="18" spans="1:14" ht="15" customHeight="1">
      <c r="A18" s="190">
        <v>2.4</v>
      </c>
      <c r="B18" s="127" t="s">
        <v>89</v>
      </c>
      <c r="C18" s="413">
        <f>'Risk Weighted Risk Exposures'!C89</f>
        <v>0</v>
      </c>
      <c r="D18" s="126">
        <v>0.03</v>
      </c>
      <c r="E18" s="335">
        <f>D18*C18</f>
        <v>0</v>
      </c>
      <c r="F18" s="333">
        <f>'Risk Weighted Risk Exposures'!F89</f>
        <v>0</v>
      </c>
      <c r="G18" s="333">
        <f>'Risk Weighted Risk Exposures'!G89</f>
        <v>0</v>
      </c>
      <c r="H18" s="333">
        <f>'Risk Weighted Risk Exposures'!H89</f>
        <v>0</v>
      </c>
      <c r="I18" s="333">
        <f>'Risk Weighted Risk Exposures'!I89</f>
        <v>0</v>
      </c>
      <c r="J18" s="333">
        <f>'Risk Weighted Risk Exposures'!J89</f>
        <v>0</v>
      </c>
      <c r="K18" s="333">
        <f>'Risk Weighted Risk Exposures'!K89</f>
        <v>0</v>
      </c>
      <c r="L18" s="333">
        <f>'Risk Weighted Risk Exposures'!L89</f>
        <v>0</v>
      </c>
      <c r="M18" s="333">
        <f>'Risk Weighted Risk Exposures'!M89</f>
        <v>0</v>
      </c>
      <c r="N18" s="191"/>
    </row>
    <row r="19" spans="1:14" ht="15" customHeight="1">
      <c r="A19" s="190">
        <v>2.5</v>
      </c>
      <c r="B19" s="127" t="s">
        <v>90</v>
      </c>
      <c r="C19" s="413">
        <f>'Risk Weighted Risk Exposures'!C90</f>
        <v>0</v>
      </c>
      <c r="D19" s="126">
        <v>0.04</v>
      </c>
      <c r="E19" s="335">
        <f>D19*C19</f>
        <v>0</v>
      </c>
      <c r="F19" s="333">
        <f>'Risk Weighted Risk Exposures'!F90</f>
        <v>0</v>
      </c>
      <c r="G19" s="333">
        <f>'Risk Weighted Risk Exposures'!G90</f>
        <v>0</v>
      </c>
      <c r="H19" s="333">
        <f>'Risk Weighted Risk Exposures'!H90</f>
        <v>0</v>
      </c>
      <c r="I19" s="333">
        <f>'Risk Weighted Risk Exposures'!I90</f>
        <v>0</v>
      </c>
      <c r="J19" s="333">
        <f>'Risk Weighted Risk Exposures'!J90</f>
        <v>0</v>
      </c>
      <c r="K19" s="333">
        <f>'Risk Weighted Risk Exposures'!K90</f>
        <v>0</v>
      </c>
      <c r="L19" s="333">
        <f>'Risk Weighted Risk Exposures'!L90</f>
        <v>0</v>
      </c>
      <c r="M19" s="333">
        <f>'Risk Weighted Risk Exposures'!M90</f>
        <v>0</v>
      </c>
      <c r="N19" s="191"/>
    </row>
    <row r="20" spans="1:14" ht="15" customHeight="1">
      <c r="A20" s="190">
        <v>2.6</v>
      </c>
      <c r="B20" s="127" t="s">
        <v>91</v>
      </c>
      <c r="C20" s="413">
        <f>'Risk Weighted Risk Exposures'!C91</f>
        <v>0</v>
      </c>
      <c r="D20" s="128"/>
      <c r="E20" s="336"/>
      <c r="F20" s="333">
        <f>'Risk Weighted Risk Exposures'!F91</f>
        <v>0</v>
      </c>
      <c r="G20" s="333">
        <f>'Risk Weighted Risk Exposures'!G91</f>
        <v>0</v>
      </c>
      <c r="H20" s="333">
        <f>'Risk Weighted Risk Exposures'!H91</f>
        <v>0</v>
      </c>
      <c r="I20" s="333">
        <f>'Risk Weighted Risk Exposures'!I91</f>
        <v>0</v>
      </c>
      <c r="J20" s="333">
        <f>'Risk Weighted Risk Exposures'!J91</f>
        <v>0</v>
      </c>
      <c r="K20" s="333">
        <f>'Risk Weighted Risk Exposures'!K91</f>
        <v>0</v>
      </c>
      <c r="L20" s="333">
        <f>'Risk Weighted Risk Exposures'!L91</f>
        <v>0</v>
      </c>
      <c r="M20" s="333">
        <f>'Risk Weighted Risk Exposures'!M91</f>
        <v>0</v>
      </c>
      <c r="N20" s="191"/>
    </row>
    <row r="21" spans="1:14" ht="15.75" thickBot="1">
      <c r="A21" s="192">
        <v>3</v>
      </c>
      <c r="B21" s="193" t="s">
        <v>71</v>
      </c>
      <c r="C21" s="334">
        <f>C7+C14</f>
        <v>0</v>
      </c>
      <c r="D21" s="194"/>
      <c r="E21" s="337">
        <f>SUM(E7+E14)</f>
        <v>0</v>
      </c>
      <c r="F21" s="338"/>
      <c r="G21" s="338"/>
      <c r="H21" s="338"/>
      <c r="I21" s="338"/>
      <c r="J21" s="338"/>
      <c r="K21" s="338"/>
      <c r="L21" s="338"/>
      <c r="M21" s="338"/>
      <c r="N21" s="195"/>
    </row>
    <row r="22" spans="1:14">
      <c r="E22" s="339"/>
      <c r="F22" s="339"/>
      <c r="G22" s="339"/>
      <c r="H22" s="339"/>
      <c r="I22" s="339"/>
      <c r="J22" s="339"/>
      <c r="K22" s="339"/>
      <c r="L22" s="339"/>
      <c r="M22" s="33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Formulas="1" topLeftCell="A37" zoomScale="70" zoomScaleNormal="70" workbookViewId="0">
      <selection activeCell="B54" sqref="B54"/>
    </sheetView>
  </sheetViews>
  <sheetFormatPr defaultColWidth="9.140625" defaultRowHeight="27" customHeight="1"/>
  <cols>
    <col min="1" max="1" width="10.28515625" style="440" customWidth="1"/>
    <col min="2" max="2" width="82.5703125" style="432" bestFit="1" customWidth="1"/>
    <col min="3" max="3" width="37.28515625" style="492" customWidth="1"/>
    <col min="4" max="4" width="39.42578125" style="432" customWidth="1"/>
    <col min="5" max="5" width="34.7109375" style="433" customWidth="1"/>
    <col min="6" max="6" width="25.140625" style="432" customWidth="1"/>
    <col min="7" max="7" width="34.140625" style="432" customWidth="1"/>
    <col min="8" max="13" width="15.7109375" style="432" customWidth="1"/>
    <col min="14" max="14" width="32.7109375" style="432" customWidth="1"/>
    <col min="15" max="15" width="17.140625" style="432" customWidth="1"/>
    <col min="16" max="16" width="40.140625" style="432" customWidth="1"/>
    <col min="17" max="17" width="12.5703125" style="432" bestFit="1" customWidth="1"/>
    <col min="18" max="18" width="18.42578125" style="432" bestFit="1" customWidth="1"/>
    <col min="19" max="16384" width="9.140625" style="432"/>
  </cols>
  <sheetData>
    <row r="1" spans="1:7" ht="27" customHeight="1">
      <c r="A1" s="429" t="s">
        <v>417</v>
      </c>
      <c r="B1" s="430" t="s">
        <v>473</v>
      </c>
      <c r="C1" s="431"/>
    </row>
    <row r="2" spans="1:7" ht="27" customHeight="1">
      <c r="A2" s="429" t="s">
        <v>418</v>
      </c>
      <c r="B2" s="434" t="s">
        <v>474</v>
      </c>
      <c r="C2" s="435"/>
    </row>
    <row r="3" spans="1:7" ht="27" customHeight="1">
      <c r="A3" s="436"/>
      <c r="B3" s="435"/>
      <c r="C3" s="435"/>
    </row>
    <row r="4" spans="1:7" ht="27" customHeight="1">
      <c r="A4" s="437" t="s">
        <v>196</v>
      </c>
      <c r="B4" s="438"/>
      <c r="C4" s="435"/>
      <c r="G4" s="439"/>
    </row>
    <row r="5" spans="1:7" ht="27" customHeight="1">
      <c r="B5" s="435"/>
      <c r="C5" s="435"/>
    </row>
    <row r="6" spans="1:7" ht="27" customHeight="1">
      <c r="A6" s="441"/>
      <c r="B6" s="442" t="s">
        <v>196</v>
      </c>
      <c r="C6" s="443" t="s">
        <v>419</v>
      </c>
      <c r="D6" s="443" t="s">
        <v>420</v>
      </c>
    </row>
    <row r="7" spans="1:7" ht="27" customHeight="1">
      <c r="A7" s="444">
        <v>1</v>
      </c>
      <c r="B7" s="445" t="s">
        <v>264</v>
      </c>
      <c r="C7" s="446">
        <f>SUM(C8:C11)</f>
        <v>281977320.01931</v>
      </c>
      <c r="D7" s="446">
        <f>SUM(D8:D11)</f>
        <v>281977320.01931</v>
      </c>
    </row>
    <row r="8" spans="1:7" ht="27" customHeight="1">
      <c r="A8" s="444">
        <v>1.1000000000000001</v>
      </c>
      <c r="B8" s="447" t="s">
        <v>23</v>
      </c>
      <c r="C8" s="448">
        <f>N44</f>
        <v>233003767.87366</v>
      </c>
      <c r="D8" s="448">
        <f>P44</f>
        <v>233003767.87366</v>
      </c>
    </row>
    <row r="9" spans="1:7" ht="27" customHeight="1">
      <c r="A9" s="444">
        <v>1.2</v>
      </c>
      <c r="B9" s="447" t="s">
        <v>24</v>
      </c>
      <c r="C9" s="448">
        <f>N73</f>
        <v>12451189.601500001</v>
      </c>
      <c r="D9" s="448">
        <f>P73</f>
        <v>12451189.601500001</v>
      </c>
    </row>
    <row r="10" spans="1:7" ht="27" customHeight="1">
      <c r="A10" s="444">
        <v>1.3</v>
      </c>
      <c r="B10" s="447" t="s">
        <v>421</v>
      </c>
      <c r="C10" s="448">
        <f>N92</f>
        <v>0</v>
      </c>
      <c r="D10" s="448">
        <f>N92</f>
        <v>0</v>
      </c>
    </row>
    <row r="11" spans="1:7" ht="27" customHeight="1">
      <c r="A11" s="444">
        <v>1.4</v>
      </c>
      <c r="B11" s="447" t="s">
        <v>25</v>
      </c>
      <c r="C11" s="448">
        <f>G105</f>
        <v>36522362.544150002</v>
      </c>
      <c r="D11" s="448">
        <f>G105</f>
        <v>36522362.544150002</v>
      </c>
    </row>
    <row r="12" spans="1:7" s="454" customFormat="1" ht="27" customHeight="1">
      <c r="A12" s="449">
        <v>2</v>
      </c>
      <c r="B12" s="450" t="s">
        <v>422</v>
      </c>
      <c r="C12" s="451">
        <v>7765438.3602</v>
      </c>
      <c r="D12" s="451">
        <v>7765438.3602</v>
      </c>
      <c r="E12" s="452"/>
      <c r="F12" s="453"/>
    </row>
    <row r="13" spans="1:7" s="454" customFormat="1" ht="27" customHeight="1">
      <c r="A13" s="449">
        <v>3</v>
      </c>
      <c r="B13" s="450" t="s">
        <v>203</v>
      </c>
      <c r="C13" s="455">
        <v>18680103.9333</v>
      </c>
      <c r="D13" s="451">
        <v>18680103.9333</v>
      </c>
      <c r="E13" s="452"/>
      <c r="F13" s="453"/>
      <c r="G13" s="453"/>
    </row>
    <row r="14" spans="1:7" ht="27" customHeight="1">
      <c r="A14" s="444">
        <v>4</v>
      </c>
      <c r="B14" s="456" t="s">
        <v>269</v>
      </c>
      <c r="C14" s="446">
        <f>C7+C12+C13</f>
        <v>308422862.31281</v>
      </c>
      <c r="D14" s="446">
        <f>D7+D12+D13</f>
        <v>308422862.31281</v>
      </c>
      <c r="F14" s="457"/>
      <c r="G14" s="458"/>
    </row>
    <row r="15" spans="1:7" ht="27" customHeight="1">
      <c r="A15" s="444">
        <v>5</v>
      </c>
      <c r="B15" s="459" t="s">
        <v>423</v>
      </c>
      <c r="C15" s="446">
        <f>C8+C9+C12+C13</f>
        <v>271900499.76866001</v>
      </c>
      <c r="D15" s="446">
        <f>D8+D9+D12+D13</f>
        <v>271900499.76866001</v>
      </c>
      <c r="E15" s="460"/>
      <c r="F15" s="461"/>
      <c r="G15" s="461"/>
    </row>
    <row r="16" spans="1:7" ht="27" customHeight="1">
      <c r="A16" s="462"/>
      <c r="B16" s="463"/>
      <c r="C16" s="463"/>
      <c r="F16" s="464"/>
    </row>
    <row r="17" spans="1:16" ht="27" customHeight="1">
      <c r="A17" s="465"/>
      <c r="C17" s="466"/>
    </row>
    <row r="18" spans="1:16" ht="27" customHeight="1">
      <c r="A18" s="467" t="s">
        <v>424</v>
      </c>
      <c r="B18" s="467"/>
      <c r="C18" s="466"/>
    </row>
    <row r="19" spans="1:16" ht="27" customHeight="1">
      <c r="A19" s="468"/>
      <c r="C19" s="469"/>
    </row>
    <row r="20" spans="1:16" ht="27" customHeight="1">
      <c r="A20" s="470" t="s">
        <v>425</v>
      </c>
      <c r="B20" s="469"/>
      <c r="C20" s="469"/>
    </row>
    <row r="21" spans="1:16" ht="27" customHeight="1">
      <c r="A21" s="441"/>
      <c r="B21" s="471"/>
      <c r="C21" s="443" t="s">
        <v>426</v>
      </c>
      <c r="D21" s="443" t="s">
        <v>427</v>
      </c>
      <c r="E21" s="472" t="s">
        <v>428</v>
      </c>
      <c r="F21" s="473">
        <v>0</v>
      </c>
      <c r="G21" s="473">
        <v>0.2</v>
      </c>
      <c r="H21" s="473">
        <v>0.35</v>
      </c>
      <c r="I21" s="473">
        <v>0.5</v>
      </c>
      <c r="J21" s="473">
        <v>0.75</v>
      </c>
      <c r="K21" s="473">
        <v>1</v>
      </c>
      <c r="L21" s="473">
        <v>1.5</v>
      </c>
      <c r="M21" s="473">
        <v>2.5</v>
      </c>
      <c r="N21" s="443" t="s">
        <v>265</v>
      </c>
      <c r="O21" s="443" t="s">
        <v>261</v>
      </c>
      <c r="P21" s="443" t="s">
        <v>429</v>
      </c>
    </row>
    <row r="22" spans="1:16" ht="27" customHeight="1">
      <c r="A22" s="474">
        <v>1</v>
      </c>
      <c r="B22" s="425" t="s">
        <v>228</v>
      </c>
      <c r="C22" s="475">
        <v>25419130.243299998</v>
      </c>
      <c r="D22" s="476"/>
      <c r="E22" s="477">
        <f t="shared" ref="E22:E34" si="0">SUM(F22:M22)</f>
        <v>25419130.243299998</v>
      </c>
      <c r="F22" s="475">
        <v>2974794.75</v>
      </c>
      <c r="G22" s="478"/>
      <c r="H22" s="478"/>
      <c r="I22" s="478"/>
      <c r="J22" s="478"/>
      <c r="K22" s="475">
        <v>22444335.493299998</v>
      </c>
      <c r="L22" s="478"/>
      <c r="M22" s="478"/>
      <c r="N22" s="448">
        <f t="shared" ref="N22:N34" si="1">SUMPRODUCT($F$21:$M$21,F22:M22)</f>
        <v>22444335.493299998</v>
      </c>
      <c r="O22" s="448"/>
      <c r="P22" s="448">
        <f t="shared" ref="P22:P34" si="2">N22-O22</f>
        <v>22444335.493299998</v>
      </c>
    </row>
    <row r="23" spans="1:16" ht="27" customHeight="1">
      <c r="A23" s="474">
        <f t="shared" ref="A23:A35" si="3">A22+1</f>
        <v>2</v>
      </c>
      <c r="B23" s="425" t="s">
        <v>229</v>
      </c>
      <c r="C23" s="478"/>
      <c r="D23" s="476"/>
      <c r="E23" s="477">
        <f t="shared" si="0"/>
        <v>0</v>
      </c>
      <c r="F23" s="478"/>
      <c r="G23" s="478"/>
      <c r="H23" s="478"/>
      <c r="I23" s="478"/>
      <c r="J23" s="478"/>
      <c r="K23" s="478"/>
      <c r="L23" s="478"/>
      <c r="M23" s="478"/>
      <c r="N23" s="448">
        <f t="shared" si="1"/>
        <v>0</v>
      </c>
      <c r="O23" s="448"/>
      <c r="P23" s="448">
        <f t="shared" si="2"/>
        <v>0</v>
      </c>
    </row>
    <row r="24" spans="1:16" ht="27" customHeight="1">
      <c r="A24" s="474">
        <f t="shared" si="3"/>
        <v>3</v>
      </c>
      <c r="B24" s="425" t="s">
        <v>230</v>
      </c>
      <c r="C24" s="478"/>
      <c r="D24" s="476"/>
      <c r="E24" s="477">
        <f t="shared" si="0"/>
        <v>0</v>
      </c>
      <c r="F24" s="478"/>
      <c r="G24" s="478"/>
      <c r="H24" s="478"/>
      <c r="I24" s="478"/>
      <c r="J24" s="478"/>
      <c r="K24" s="478"/>
      <c r="L24" s="478"/>
      <c r="M24" s="478"/>
      <c r="N24" s="448">
        <f t="shared" si="1"/>
        <v>0</v>
      </c>
      <c r="O24" s="448"/>
      <c r="P24" s="448">
        <f t="shared" si="2"/>
        <v>0</v>
      </c>
    </row>
    <row r="25" spans="1:16" ht="27" customHeight="1">
      <c r="A25" s="474">
        <f t="shared" si="3"/>
        <v>4</v>
      </c>
      <c r="B25" s="425" t="s">
        <v>231</v>
      </c>
      <c r="C25" s="478"/>
      <c r="D25" s="476"/>
      <c r="E25" s="477">
        <f t="shared" si="0"/>
        <v>0</v>
      </c>
      <c r="F25" s="478"/>
      <c r="G25" s="478"/>
      <c r="H25" s="478"/>
      <c r="I25" s="478"/>
      <c r="J25" s="478"/>
      <c r="K25" s="478"/>
      <c r="L25" s="478"/>
      <c r="M25" s="478"/>
      <c r="N25" s="448">
        <f t="shared" si="1"/>
        <v>0</v>
      </c>
      <c r="O25" s="448"/>
      <c r="P25" s="448">
        <f t="shared" si="2"/>
        <v>0</v>
      </c>
    </row>
    <row r="26" spans="1:16" ht="27" customHeight="1">
      <c r="A26" s="474">
        <f t="shared" si="3"/>
        <v>5</v>
      </c>
      <c r="B26" s="425" t="s">
        <v>232</v>
      </c>
      <c r="C26" s="478"/>
      <c r="D26" s="476"/>
      <c r="E26" s="477">
        <f t="shared" si="0"/>
        <v>0</v>
      </c>
      <c r="F26" s="478"/>
      <c r="G26" s="478"/>
      <c r="H26" s="478"/>
      <c r="I26" s="478"/>
      <c r="J26" s="478"/>
      <c r="K26" s="478"/>
      <c r="L26" s="478"/>
      <c r="M26" s="478"/>
      <c r="N26" s="448">
        <f t="shared" si="1"/>
        <v>0</v>
      </c>
      <c r="O26" s="448"/>
      <c r="P26" s="448">
        <f t="shared" si="2"/>
        <v>0</v>
      </c>
    </row>
    <row r="27" spans="1:16" ht="27" customHeight="1">
      <c r="A27" s="474">
        <f t="shared" si="3"/>
        <v>6</v>
      </c>
      <c r="B27" s="425" t="s">
        <v>233</v>
      </c>
      <c r="C27" s="475">
        <v>97070097.0572</v>
      </c>
      <c r="D27" s="476"/>
      <c r="E27" s="477">
        <f t="shared" si="0"/>
        <v>97070097.0572</v>
      </c>
      <c r="F27" s="478"/>
      <c r="G27" s="478">
        <v>822519.93729999999</v>
      </c>
      <c r="H27" s="478"/>
      <c r="I27" s="478">
        <v>27815926.049600001</v>
      </c>
      <c r="J27" s="478"/>
      <c r="K27" s="475">
        <v>68431651.070299998</v>
      </c>
      <c r="L27" s="478"/>
      <c r="M27" s="478"/>
      <c r="N27" s="448">
        <f t="shared" si="1"/>
        <v>82504118.082560003</v>
      </c>
      <c r="O27" s="448"/>
      <c r="P27" s="448">
        <f t="shared" si="2"/>
        <v>82504118.082560003</v>
      </c>
    </row>
    <row r="28" spans="1:16" ht="27" customHeight="1">
      <c r="A28" s="474">
        <f t="shared" si="3"/>
        <v>7</v>
      </c>
      <c r="B28" s="425" t="s">
        <v>78</v>
      </c>
      <c r="C28" s="476">
        <v>125711874.0794</v>
      </c>
      <c r="D28" s="476"/>
      <c r="E28" s="477">
        <f t="shared" si="0"/>
        <v>125711874.0794</v>
      </c>
      <c r="F28" s="478"/>
      <c r="G28" s="478"/>
      <c r="H28" s="478"/>
      <c r="I28" s="478"/>
      <c r="J28" s="478"/>
      <c r="K28" s="478">
        <v>125711874.0794</v>
      </c>
      <c r="L28" s="478"/>
      <c r="M28" s="478"/>
      <c r="N28" s="448">
        <f t="shared" si="1"/>
        <v>125711874.0794</v>
      </c>
      <c r="O28" s="448"/>
      <c r="P28" s="448">
        <f t="shared" si="2"/>
        <v>125711874.0794</v>
      </c>
    </row>
    <row r="29" spans="1:16" ht="27" customHeight="1">
      <c r="A29" s="474">
        <f t="shared" si="3"/>
        <v>8</v>
      </c>
      <c r="B29" s="425" t="s">
        <v>79</v>
      </c>
      <c r="C29" s="475">
        <v>568010.97</v>
      </c>
      <c r="D29" s="476"/>
      <c r="E29" s="477">
        <f t="shared" si="0"/>
        <v>568010.97</v>
      </c>
      <c r="F29" s="478"/>
      <c r="G29" s="478"/>
      <c r="H29" s="478"/>
      <c r="I29" s="478"/>
      <c r="J29" s="478">
        <v>568010.97</v>
      </c>
      <c r="K29" s="475"/>
      <c r="L29" s="478"/>
      <c r="M29" s="478"/>
      <c r="N29" s="448">
        <f t="shared" si="1"/>
        <v>426008.22749999998</v>
      </c>
      <c r="O29" s="448"/>
      <c r="P29" s="448">
        <f t="shared" si="2"/>
        <v>426008.22749999998</v>
      </c>
    </row>
    <row r="30" spans="1:16" ht="27" customHeight="1">
      <c r="A30" s="474">
        <f t="shared" si="3"/>
        <v>9</v>
      </c>
      <c r="B30" s="425" t="s">
        <v>80</v>
      </c>
      <c r="C30" s="479"/>
      <c r="D30" s="476"/>
      <c r="E30" s="477">
        <f t="shared" si="0"/>
        <v>0</v>
      </c>
      <c r="F30" s="479"/>
      <c r="G30" s="479"/>
      <c r="H30" s="479"/>
      <c r="I30" s="479"/>
      <c r="J30" s="479"/>
      <c r="K30" s="479"/>
      <c r="L30" s="478"/>
      <c r="M30" s="478"/>
      <c r="N30" s="448">
        <f t="shared" si="1"/>
        <v>0</v>
      </c>
      <c r="O30" s="448"/>
      <c r="P30" s="448">
        <f t="shared" si="2"/>
        <v>0</v>
      </c>
    </row>
    <row r="31" spans="1:16" ht="27" customHeight="1">
      <c r="A31" s="474">
        <f t="shared" si="3"/>
        <v>10</v>
      </c>
      <c r="B31" s="425" t="s">
        <v>72</v>
      </c>
      <c r="C31" s="478"/>
      <c r="D31" s="476"/>
      <c r="E31" s="477">
        <f t="shared" si="0"/>
        <v>0</v>
      </c>
      <c r="F31" s="478"/>
      <c r="G31" s="478"/>
      <c r="H31" s="478"/>
      <c r="I31" s="478"/>
      <c r="J31" s="478"/>
      <c r="K31" s="478"/>
      <c r="L31" s="478"/>
      <c r="M31" s="478"/>
      <c r="N31" s="448">
        <f t="shared" si="1"/>
        <v>0</v>
      </c>
      <c r="O31" s="448"/>
      <c r="P31" s="448">
        <f t="shared" si="2"/>
        <v>0</v>
      </c>
    </row>
    <row r="32" spans="1:16" ht="27" customHeight="1">
      <c r="A32" s="474">
        <f t="shared" si="3"/>
        <v>11</v>
      </c>
      <c r="B32" s="425" t="s">
        <v>73</v>
      </c>
      <c r="C32" s="478"/>
      <c r="D32" s="476"/>
      <c r="E32" s="477">
        <f t="shared" si="0"/>
        <v>0</v>
      </c>
      <c r="F32" s="478"/>
      <c r="G32" s="478"/>
      <c r="H32" s="478"/>
      <c r="I32" s="478"/>
      <c r="J32" s="478"/>
      <c r="K32" s="478"/>
      <c r="L32" s="478"/>
      <c r="M32" s="478"/>
      <c r="N32" s="448">
        <f t="shared" si="1"/>
        <v>0</v>
      </c>
      <c r="O32" s="448"/>
      <c r="P32" s="448">
        <f t="shared" si="2"/>
        <v>0</v>
      </c>
    </row>
    <row r="33" spans="1:16" ht="27" customHeight="1">
      <c r="A33" s="474">
        <f t="shared" si="3"/>
        <v>12</v>
      </c>
      <c r="B33" s="425" t="s">
        <v>74</v>
      </c>
      <c r="C33" s="479"/>
      <c r="D33" s="476"/>
      <c r="E33" s="477">
        <f t="shared" si="0"/>
        <v>0</v>
      </c>
      <c r="F33" s="479"/>
      <c r="G33" s="479"/>
      <c r="H33" s="479"/>
      <c r="I33" s="479"/>
      <c r="J33" s="479"/>
      <c r="K33" s="479"/>
      <c r="L33" s="478"/>
      <c r="M33" s="478"/>
      <c r="N33" s="448">
        <f t="shared" si="1"/>
        <v>0</v>
      </c>
      <c r="O33" s="448"/>
      <c r="P33" s="448">
        <f t="shared" si="2"/>
        <v>0</v>
      </c>
    </row>
    <row r="34" spans="1:16" s="483" customFormat="1" ht="27" customHeight="1">
      <c r="A34" s="480">
        <f t="shared" si="3"/>
        <v>13</v>
      </c>
      <c r="B34" s="426" t="s">
        <v>75</v>
      </c>
      <c r="C34" s="481"/>
      <c r="D34" s="482"/>
      <c r="E34" s="477">
        <f t="shared" si="0"/>
        <v>0</v>
      </c>
      <c r="F34" s="481"/>
      <c r="G34" s="481"/>
      <c r="H34" s="481"/>
      <c r="I34" s="481"/>
      <c r="J34" s="481"/>
      <c r="K34" s="481"/>
      <c r="L34" s="481"/>
      <c r="M34" s="481"/>
      <c r="N34" s="481">
        <f t="shared" si="1"/>
        <v>0</v>
      </c>
      <c r="O34" s="481"/>
      <c r="P34" s="481">
        <f t="shared" si="2"/>
        <v>0</v>
      </c>
    </row>
    <row r="35" spans="1:16" ht="27" customHeight="1">
      <c r="A35" s="474">
        <f t="shared" si="3"/>
        <v>14</v>
      </c>
      <c r="B35" s="425" t="s">
        <v>430</v>
      </c>
      <c r="C35" s="448">
        <f t="shared" ref="C35:N35" si="4">SUM(C36:C43)</f>
        <v>4607090.6074999999</v>
      </c>
      <c r="D35" s="448">
        <f t="shared" si="4"/>
        <v>2085956.12</v>
      </c>
      <c r="E35" s="477">
        <f t="shared" si="4"/>
        <v>2521134.4874999998</v>
      </c>
      <c r="F35" s="448">
        <f t="shared" si="4"/>
        <v>603702.49659999995</v>
      </c>
      <c r="G35" s="448">
        <f t="shared" si="4"/>
        <v>0</v>
      </c>
      <c r="H35" s="448">
        <f t="shared" si="4"/>
        <v>0</v>
      </c>
      <c r="I35" s="448">
        <f t="shared" si="4"/>
        <v>0</v>
      </c>
      <c r="J35" s="448">
        <f t="shared" si="4"/>
        <v>0</v>
      </c>
      <c r="K35" s="448">
        <f t="shared" si="4"/>
        <v>1917431.9909000001</v>
      </c>
      <c r="L35" s="448">
        <f t="shared" si="4"/>
        <v>0</v>
      </c>
      <c r="M35" s="448">
        <f t="shared" si="4"/>
        <v>0</v>
      </c>
      <c r="N35" s="477">
        <f t="shared" si="4"/>
        <v>1917431.9909000001</v>
      </c>
      <c r="O35" s="448"/>
      <c r="P35" s="477">
        <f>SUM(P36:P43)</f>
        <v>1917431.9909000001</v>
      </c>
    </row>
    <row r="36" spans="1:16" ht="27" customHeight="1">
      <c r="A36" s="474">
        <v>14.1</v>
      </c>
      <c r="B36" s="484" t="s">
        <v>431</v>
      </c>
      <c r="C36" s="478">
        <v>3074486.09</v>
      </c>
      <c r="D36" s="485">
        <v>2085956.12</v>
      </c>
      <c r="E36" s="477">
        <f t="shared" ref="E36:E43" si="5">SUM(F36:M36)</f>
        <v>988529.97</v>
      </c>
      <c r="F36" s="478"/>
      <c r="G36" s="478"/>
      <c r="H36" s="478"/>
      <c r="I36" s="478"/>
      <c r="J36" s="478"/>
      <c r="K36" s="478">
        <v>988529.97</v>
      </c>
      <c r="L36" s="478"/>
      <c r="M36" s="478"/>
      <c r="N36" s="448">
        <f t="shared" ref="N36:N43" si="6">SUMPRODUCT($F$21:$M$21,F36:M36)</f>
        <v>988529.97</v>
      </c>
      <c r="O36" s="448"/>
      <c r="P36" s="448">
        <f t="shared" ref="P36:P43" si="7">N36-O36</f>
        <v>988529.97</v>
      </c>
    </row>
    <row r="37" spans="1:16" ht="27" customHeight="1">
      <c r="A37" s="474">
        <v>14.2</v>
      </c>
      <c r="B37" s="484" t="s">
        <v>432</v>
      </c>
      <c r="C37" s="478">
        <v>603702.49659999995</v>
      </c>
      <c r="D37" s="476"/>
      <c r="E37" s="477">
        <f t="shared" si="5"/>
        <v>603702.49659999995</v>
      </c>
      <c r="F37" s="478">
        <v>603702.49659999995</v>
      </c>
      <c r="G37" s="478"/>
      <c r="H37" s="478"/>
      <c r="I37" s="478"/>
      <c r="J37" s="478"/>
      <c r="K37" s="478"/>
      <c r="L37" s="478"/>
      <c r="M37" s="478"/>
      <c r="N37" s="448">
        <f t="shared" si="6"/>
        <v>0</v>
      </c>
      <c r="O37" s="448"/>
      <c r="P37" s="448">
        <f t="shared" si="7"/>
        <v>0</v>
      </c>
    </row>
    <row r="38" spans="1:16" ht="27" customHeight="1">
      <c r="A38" s="474">
        <v>14.3</v>
      </c>
      <c r="B38" s="484" t="s">
        <v>433</v>
      </c>
      <c r="C38" s="478"/>
      <c r="D38" s="476"/>
      <c r="E38" s="477">
        <f t="shared" si="5"/>
        <v>0</v>
      </c>
      <c r="F38" s="478"/>
      <c r="G38" s="478"/>
      <c r="H38" s="478"/>
      <c r="I38" s="478"/>
      <c r="J38" s="478"/>
      <c r="K38" s="478"/>
      <c r="L38" s="478"/>
      <c r="M38" s="478"/>
      <c r="N38" s="448">
        <f t="shared" si="6"/>
        <v>0</v>
      </c>
      <c r="O38" s="448"/>
      <c r="P38" s="448">
        <f t="shared" si="7"/>
        <v>0</v>
      </c>
    </row>
    <row r="39" spans="1:16" ht="27" customHeight="1">
      <c r="A39" s="474">
        <v>14.4</v>
      </c>
      <c r="B39" s="484" t="s">
        <v>434</v>
      </c>
      <c r="C39" s="478"/>
      <c r="D39" s="476"/>
      <c r="E39" s="477">
        <f t="shared" si="5"/>
        <v>0</v>
      </c>
      <c r="F39" s="478"/>
      <c r="G39" s="478"/>
      <c r="H39" s="478"/>
      <c r="I39" s="478"/>
      <c r="J39" s="478"/>
      <c r="K39" s="478"/>
      <c r="L39" s="478"/>
      <c r="M39" s="478"/>
      <c r="N39" s="448">
        <f t="shared" si="6"/>
        <v>0</v>
      </c>
      <c r="O39" s="448"/>
      <c r="P39" s="448">
        <f t="shared" si="7"/>
        <v>0</v>
      </c>
    </row>
    <row r="40" spans="1:16" s="483" customFormat="1" ht="27" customHeight="1">
      <c r="A40" s="480">
        <v>14.5</v>
      </c>
      <c r="B40" s="486" t="s">
        <v>435</v>
      </c>
      <c r="C40" s="481"/>
      <c r="D40" s="482"/>
      <c r="E40" s="477">
        <f t="shared" si="5"/>
        <v>0</v>
      </c>
      <c r="F40" s="481"/>
      <c r="G40" s="481"/>
      <c r="H40" s="481"/>
      <c r="I40" s="481"/>
      <c r="J40" s="481"/>
      <c r="K40" s="481"/>
      <c r="L40" s="481"/>
      <c r="M40" s="481"/>
      <c r="N40" s="481">
        <f t="shared" si="6"/>
        <v>0</v>
      </c>
      <c r="O40" s="481"/>
      <c r="P40" s="481">
        <f t="shared" si="7"/>
        <v>0</v>
      </c>
    </row>
    <row r="41" spans="1:16" ht="27" customHeight="1">
      <c r="A41" s="474">
        <v>14.6</v>
      </c>
      <c r="B41" s="484" t="s">
        <v>436</v>
      </c>
      <c r="C41" s="478"/>
      <c r="D41" s="476"/>
      <c r="E41" s="477">
        <f t="shared" si="5"/>
        <v>0</v>
      </c>
      <c r="F41" s="478"/>
      <c r="G41" s="478"/>
      <c r="H41" s="478"/>
      <c r="I41" s="478"/>
      <c r="J41" s="478"/>
      <c r="K41" s="478"/>
      <c r="L41" s="478"/>
      <c r="M41" s="478"/>
      <c r="N41" s="448">
        <f t="shared" si="6"/>
        <v>0</v>
      </c>
      <c r="O41" s="448"/>
      <c r="P41" s="448">
        <f t="shared" si="7"/>
        <v>0</v>
      </c>
    </row>
    <row r="42" spans="1:16" ht="27" customHeight="1">
      <c r="A42" s="474">
        <v>14.7</v>
      </c>
      <c r="B42" s="484" t="s">
        <v>437</v>
      </c>
      <c r="C42" s="478"/>
      <c r="D42" s="476"/>
      <c r="E42" s="477">
        <f t="shared" si="5"/>
        <v>0</v>
      </c>
      <c r="F42" s="478"/>
      <c r="G42" s="478"/>
      <c r="H42" s="478"/>
      <c r="I42" s="478"/>
      <c r="J42" s="478"/>
      <c r="K42" s="478"/>
      <c r="L42" s="478"/>
      <c r="M42" s="478"/>
      <c r="N42" s="448">
        <f t="shared" si="6"/>
        <v>0</v>
      </c>
      <c r="O42" s="448"/>
      <c r="P42" s="448">
        <f t="shared" si="7"/>
        <v>0</v>
      </c>
    </row>
    <row r="43" spans="1:16" ht="27" customHeight="1">
      <c r="A43" s="474">
        <v>14.8</v>
      </c>
      <c r="B43" s="484" t="s">
        <v>173</v>
      </c>
      <c r="C43" s="487">
        <v>928902.0209</v>
      </c>
      <c r="D43" s="476"/>
      <c r="E43" s="477">
        <f t="shared" si="5"/>
        <v>928902.0209</v>
      </c>
      <c r="F43" s="478"/>
      <c r="G43" s="478"/>
      <c r="H43" s="478"/>
      <c r="I43" s="478"/>
      <c r="J43" s="478"/>
      <c r="K43" s="487">
        <v>928902.0209</v>
      </c>
      <c r="L43" s="478"/>
      <c r="M43" s="478"/>
      <c r="N43" s="448">
        <f t="shared" si="6"/>
        <v>928902.0209</v>
      </c>
      <c r="O43" s="448"/>
      <c r="P43" s="448">
        <f t="shared" si="7"/>
        <v>928902.0209</v>
      </c>
    </row>
    <row r="44" spans="1:16" ht="27" customHeight="1">
      <c r="A44" s="428"/>
      <c r="B44" s="488" t="s">
        <v>71</v>
      </c>
      <c r="C44" s="489">
        <f t="shared" ref="C44:P44" si="8">SUM(C22:C35)</f>
        <v>253376202.95739999</v>
      </c>
      <c r="D44" s="489">
        <f t="shared" si="8"/>
        <v>2085956.12</v>
      </c>
      <c r="E44" s="490">
        <f t="shared" si="8"/>
        <v>251290246.83740002</v>
      </c>
      <c r="F44" s="489">
        <f t="shared" si="8"/>
        <v>3578497.2466000002</v>
      </c>
      <c r="G44" s="489">
        <f t="shared" si="8"/>
        <v>822519.93729999999</v>
      </c>
      <c r="H44" s="489">
        <f t="shared" si="8"/>
        <v>0</v>
      </c>
      <c r="I44" s="489">
        <f t="shared" si="8"/>
        <v>27815926.049600001</v>
      </c>
      <c r="J44" s="489">
        <f t="shared" si="8"/>
        <v>568010.97</v>
      </c>
      <c r="K44" s="489">
        <f t="shared" si="8"/>
        <v>218505292.63390002</v>
      </c>
      <c r="L44" s="489">
        <f t="shared" si="8"/>
        <v>0</v>
      </c>
      <c r="M44" s="489">
        <f t="shared" si="8"/>
        <v>0</v>
      </c>
      <c r="N44" s="490">
        <f t="shared" si="8"/>
        <v>233003767.87366</v>
      </c>
      <c r="O44" s="490">
        <f t="shared" si="8"/>
        <v>0</v>
      </c>
      <c r="P44" s="490">
        <f t="shared" si="8"/>
        <v>233003767.87366</v>
      </c>
    </row>
    <row r="45" spans="1:16" ht="27" customHeight="1">
      <c r="B45" s="491"/>
    </row>
    <row r="46" spans="1:16" ht="27" customHeight="1">
      <c r="C46" s="469"/>
    </row>
    <row r="47" spans="1:16" ht="27" customHeight="1">
      <c r="A47" s="493" t="s">
        <v>438</v>
      </c>
      <c r="B47" s="494"/>
      <c r="C47" s="469"/>
    </row>
    <row r="48" spans="1:16" ht="27" customHeight="1">
      <c r="A48" s="441"/>
      <c r="B48" s="471"/>
      <c r="C48" s="443" t="s">
        <v>439</v>
      </c>
      <c r="D48" s="443" t="s">
        <v>83</v>
      </c>
      <c r="E48" s="472" t="s">
        <v>428</v>
      </c>
      <c r="F48" s="473">
        <v>0</v>
      </c>
      <c r="G48" s="473">
        <v>0.2</v>
      </c>
      <c r="H48" s="473">
        <v>0.35</v>
      </c>
      <c r="I48" s="473">
        <v>0.5</v>
      </c>
      <c r="J48" s="473">
        <v>0.75</v>
      </c>
      <c r="K48" s="473">
        <v>1</v>
      </c>
      <c r="L48" s="473">
        <v>1.5</v>
      </c>
      <c r="M48" s="473">
        <v>2.5</v>
      </c>
      <c r="N48" s="443" t="s">
        <v>440</v>
      </c>
      <c r="O48" s="443" t="s">
        <v>261</v>
      </c>
      <c r="P48" s="443" t="s">
        <v>441</v>
      </c>
    </row>
    <row r="49" spans="1:16" ht="27" customHeight="1">
      <c r="A49" s="444">
        <v>1</v>
      </c>
      <c r="B49" s="495" t="s">
        <v>442</v>
      </c>
      <c r="C49" s="471"/>
      <c r="D49" s="471"/>
      <c r="E49" s="496"/>
      <c r="F49" s="471"/>
      <c r="G49" s="471"/>
      <c r="H49" s="471"/>
      <c r="I49" s="471"/>
      <c r="J49" s="471"/>
      <c r="K49" s="471"/>
      <c r="L49" s="471"/>
      <c r="M49" s="471"/>
      <c r="N49" s="471"/>
      <c r="O49" s="471"/>
      <c r="P49" s="471"/>
    </row>
    <row r="50" spans="1:16" ht="27" customHeight="1">
      <c r="A50" s="444">
        <v>1.1000000000000001</v>
      </c>
      <c r="B50" s="425" t="s">
        <v>443</v>
      </c>
      <c r="C50" s="478">
        <v>8430092.5723000001</v>
      </c>
      <c r="D50" s="497">
        <v>1</v>
      </c>
      <c r="E50" s="477">
        <f t="shared" ref="E50:E59" si="9">SUM(F50:M50)</f>
        <v>8430092.5723000001</v>
      </c>
      <c r="F50" s="478"/>
      <c r="G50" s="478"/>
      <c r="H50" s="478"/>
      <c r="I50" s="478"/>
      <c r="J50" s="478"/>
      <c r="K50" s="478">
        <v>8430092.5723000001</v>
      </c>
      <c r="L50" s="478"/>
      <c r="M50" s="478"/>
      <c r="N50" s="448">
        <f t="shared" ref="N50:N59" si="10">SUMPRODUCT($F$48:$M$48,F50:M50)</f>
        <v>8430092.5723000001</v>
      </c>
      <c r="O50" s="448"/>
      <c r="P50" s="448">
        <f t="shared" ref="P50:P59" si="11">N50-O50</f>
        <v>8430092.5723000001</v>
      </c>
    </row>
    <row r="51" spans="1:16" ht="27" customHeight="1">
      <c r="A51" s="444">
        <v>1.2</v>
      </c>
      <c r="B51" s="425" t="s">
        <v>444</v>
      </c>
      <c r="C51" s="478"/>
      <c r="D51" s="497">
        <v>1</v>
      </c>
      <c r="E51" s="477">
        <f t="shared" si="9"/>
        <v>0</v>
      </c>
      <c r="F51" s="478"/>
      <c r="G51" s="478"/>
      <c r="H51" s="478"/>
      <c r="I51" s="478"/>
      <c r="J51" s="478"/>
      <c r="K51" s="478"/>
      <c r="L51" s="478"/>
      <c r="M51" s="478"/>
      <c r="N51" s="448">
        <f t="shared" si="10"/>
        <v>0</v>
      </c>
      <c r="O51" s="448"/>
      <c r="P51" s="448">
        <f t="shared" si="11"/>
        <v>0</v>
      </c>
    </row>
    <row r="52" spans="1:16" ht="27" customHeight="1">
      <c r="A52" s="444">
        <v>1.3</v>
      </c>
      <c r="B52" s="425" t="s">
        <v>445</v>
      </c>
      <c r="C52" s="478"/>
      <c r="D52" s="497">
        <v>1</v>
      </c>
      <c r="E52" s="477">
        <f t="shared" si="9"/>
        <v>0</v>
      </c>
      <c r="F52" s="478"/>
      <c r="G52" s="478"/>
      <c r="H52" s="478"/>
      <c r="I52" s="478"/>
      <c r="J52" s="478"/>
      <c r="K52" s="478"/>
      <c r="L52" s="478"/>
      <c r="M52" s="478"/>
      <c r="N52" s="448">
        <f t="shared" si="10"/>
        <v>0</v>
      </c>
      <c r="O52" s="448"/>
      <c r="P52" s="448">
        <f t="shared" si="11"/>
        <v>0</v>
      </c>
    </row>
    <row r="53" spans="1:16" ht="27" customHeight="1">
      <c r="A53" s="444">
        <v>1.4</v>
      </c>
      <c r="B53" s="425" t="s">
        <v>446</v>
      </c>
      <c r="C53" s="478"/>
      <c r="D53" s="497">
        <v>1</v>
      </c>
      <c r="E53" s="477">
        <f t="shared" si="9"/>
        <v>0</v>
      </c>
      <c r="F53" s="478"/>
      <c r="G53" s="478"/>
      <c r="H53" s="478"/>
      <c r="I53" s="478"/>
      <c r="J53" s="478"/>
      <c r="K53" s="478"/>
      <c r="L53" s="478"/>
      <c r="M53" s="478"/>
      <c r="N53" s="448">
        <f t="shared" si="10"/>
        <v>0</v>
      </c>
      <c r="O53" s="448"/>
      <c r="P53" s="448">
        <f t="shared" si="11"/>
        <v>0</v>
      </c>
    </row>
    <row r="54" spans="1:16" ht="27" customHeight="1">
      <c r="A54" s="444">
        <v>1.5</v>
      </c>
      <c r="B54" s="425" t="s">
        <v>447</v>
      </c>
      <c r="C54" s="478"/>
      <c r="D54" s="497">
        <v>1</v>
      </c>
      <c r="E54" s="477">
        <f t="shared" si="9"/>
        <v>0</v>
      </c>
      <c r="F54" s="478"/>
      <c r="G54" s="478"/>
      <c r="H54" s="478"/>
      <c r="I54" s="478"/>
      <c r="J54" s="478"/>
      <c r="K54" s="478"/>
      <c r="L54" s="478"/>
      <c r="M54" s="478"/>
      <c r="N54" s="448">
        <f t="shared" si="10"/>
        <v>0</v>
      </c>
      <c r="O54" s="448"/>
      <c r="P54" s="448">
        <f t="shared" si="11"/>
        <v>0</v>
      </c>
    </row>
    <row r="55" spans="1:16" ht="27" customHeight="1">
      <c r="A55" s="444">
        <v>1.6</v>
      </c>
      <c r="B55" s="425" t="s">
        <v>448</v>
      </c>
      <c r="C55" s="478"/>
      <c r="D55" s="497">
        <v>1</v>
      </c>
      <c r="E55" s="477">
        <f t="shared" si="9"/>
        <v>0</v>
      </c>
      <c r="F55" s="478"/>
      <c r="G55" s="478"/>
      <c r="H55" s="478"/>
      <c r="I55" s="478"/>
      <c r="J55" s="478"/>
      <c r="K55" s="478"/>
      <c r="L55" s="478"/>
      <c r="M55" s="478"/>
      <c r="N55" s="448">
        <f t="shared" si="10"/>
        <v>0</v>
      </c>
      <c r="O55" s="448"/>
      <c r="P55" s="448">
        <f t="shared" si="11"/>
        <v>0</v>
      </c>
    </row>
    <row r="56" spans="1:16" ht="27" customHeight="1">
      <c r="A56" s="444">
        <v>1.7</v>
      </c>
      <c r="B56" s="425" t="s">
        <v>449</v>
      </c>
      <c r="C56" s="478"/>
      <c r="D56" s="497">
        <v>1</v>
      </c>
      <c r="E56" s="477">
        <f t="shared" si="9"/>
        <v>0</v>
      </c>
      <c r="F56" s="478"/>
      <c r="G56" s="478"/>
      <c r="H56" s="478"/>
      <c r="I56" s="478"/>
      <c r="J56" s="478"/>
      <c r="K56" s="478"/>
      <c r="L56" s="478"/>
      <c r="M56" s="478"/>
      <c r="N56" s="448">
        <f t="shared" si="10"/>
        <v>0</v>
      </c>
      <c r="O56" s="448"/>
      <c r="P56" s="448">
        <f t="shared" si="11"/>
        <v>0</v>
      </c>
    </row>
    <row r="57" spans="1:16" ht="27" customHeight="1">
      <c r="A57" s="444">
        <v>1.8</v>
      </c>
      <c r="B57" s="425" t="s">
        <v>450</v>
      </c>
      <c r="C57" s="478"/>
      <c r="D57" s="497">
        <v>1</v>
      </c>
      <c r="E57" s="477">
        <f t="shared" si="9"/>
        <v>0</v>
      </c>
      <c r="F57" s="478"/>
      <c r="G57" s="478"/>
      <c r="H57" s="478"/>
      <c r="I57" s="478"/>
      <c r="J57" s="478"/>
      <c r="K57" s="478"/>
      <c r="L57" s="478"/>
      <c r="M57" s="478"/>
      <c r="N57" s="448">
        <f t="shared" si="10"/>
        <v>0</v>
      </c>
      <c r="O57" s="448"/>
      <c r="P57" s="448">
        <f t="shared" si="11"/>
        <v>0</v>
      </c>
    </row>
    <row r="58" spans="1:16" ht="27" customHeight="1">
      <c r="A58" s="444">
        <v>1.9</v>
      </c>
      <c r="B58" s="425" t="s">
        <v>451</v>
      </c>
      <c r="C58" s="478"/>
      <c r="D58" s="497">
        <v>1</v>
      </c>
      <c r="E58" s="477">
        <f t="shared" si="9"/>
        <v>0</v>
      </c>
      <c r="F58" s="478"/>
      <c r="G58" s="478"/>
      <c r="H58" s="478"/>
      <c r="I58" s="478"/>
      <c r="J58" s="478"/>
      <c r="K58" s="478"/>
      <c r="L58" s="478"/>
      <c r="M58" s="478"/>
      <c r="N58" s="448">
        <f t="shared" si="10"/>
        <v>0</v>
      </c>
      <c r="O58" s="448"/>
      <c r="P58" s="448">
        <f t="shared" si="11"/>
        <v>0</v>
      </c>
    </row>
    <row r="59" spans="1:16" ht="27" customHeight="1">
      <c r="A59" s="498">
        <v>1.1000000000000001</v>
      </c>
      <c r="B59" s="425" t="s">
        <v>452</v>
      </c>
      <c r="C59" s="478"/>
      <c r="D59" s="497">
        <v>1</v>
      </c>
      <c r="E59" s="477">
        <f t="shared" si="9"/>
        <v>0</v>
      </c>
      <c r="F59" s="478"/>
      <c r="G59" s="478"/>
      <c r="H59" s="478"/>
      <c r="I59" s="478"/>
      <c r="J59" s="478"/>
      <c r="K59" s="478"/>
      <c r="L59" s="478"/>
      <c r="M59" s="478"/>
      <c r="N59" s="448">
        <f t="shared" si="10"/>
        <v>0</v>
      </c>
      <c r="O59" s="448"/>
      <c r="P59" s="448">
        <f t="shared" si="11"/>
        <v>0</v>
      </c>
    </row>
    <row r="60" spans="1:16" ht="27" customHeight="1">
      <c r="A60" s="444">
        <v>2</v>
      </c>
      <c r="B60" s="499" t="s">
        <v>453</v>
      </c>
      <c r="C60" s="478"/>
      <c r="D60" s="471"/>
      <c r="E60" s="496"/>
      <c r="F60" s="478"/>
      <c r="G60" s="478"/>
      <c r="H60" s="478"/>
      <c r="I60" s="478"/>
      <c r="J60" s="478"/>
      <c r="K60" s="478"/>
      <c r="L60" s="478"/>
      <c r="M60" s="478"/>
      <c r="N60" s="481"/>
      <c r="O60" s="478"/>
      <c r="P60" s="481"/>
    </row>
    <row r="61" spans="1:16" ht="27" customHeight="1">
      <c r="A61" s="444">
        <v>2.1</v>
      </c>
      <c r="B61" s="425" t="s">
        <v>454</v>
      </c>
      <c r="C61" s="478"/>
      <c r="D61" s="497">
        <v>0.5</v>
      </c>
      <c r="E61" s="477">
        <f>SUM(F61:M61)</f>
        <v>0</v>
      </c>
      <c r="F61" s="478"/>
      <c r="G61" s="478"/>
      <c r="H61" s="478"/>
      <c r="I61" s="478"/>
      <c r="J61" s="478"/>
      <c r="K61" s="478"/>
      <c r="L61" s="478"/>
      <c r="M61" s="478"/>
      <c r="N61" s="448">
        <f>SUMPRODUCT($F$48:$M$48,F61:M61)</f>
        <v>0</v>
      </c>
      <c r="O61" s="448"/>
      <c r="P61" s="448">
        <f>N61-O61</f>
        <v>0</v>
      </c>
    </row>
    <row r="62" spans="1:16" ht="27" customHeight="1">
      <c r="A62" s="444">
        <v>2.2000000000000002</v>
      </c>
      <c r="B62" s="425" t="s">
        <v>455</v>
      </c>
      <c r="C62" s="478">
        <v>6406276.6224999996</v>
      </c>
      <c r="D62" s="497">
        <v>0.5</v>
      </c>
      <c r="E62" s="477">
        <f>SUM(F62:M62)</f>
        <v>3203138.3111999999</v>
      </c>
      <c r="F62" s="478"/>
      <c r="G62" s="478"/>
      <c r="H62" s="478"/>
      <c r="I62" s="478"/>
      <c r="J62" s="478"/>
      <c r="K62" s="478">
        <v>3203138.3111999999</v>
      </c>
      <c r="L62" s="478"/>
      <c r="M62" s="478"/>
      <c r="N62" s="448">
        <f>SUMPRODUCT($F$48:$M$48,F62:M62)</f>
        <v>3203138.3111999999</v>
      </c>
      <c r="O62" s="448"/>
      <c r="P62" s="448">
        <f>N62-O62</f>
        <v>3203138.3111999999</v>
      </c>
    </row>
    <row r="63" spans="1:16" ht="27" customHeight="1">
      <c r="A63" s="444">
        <v>2.2999999999999998</v>
      </c>
      <c r="B63" s="425" t="s">
        <v>456</v>
      </c>
      <c r="C63" s="478">
        <v>1411719</v>
      </c>
      <c r="D63" s="497">
        <v>0.5</v>
      </c>
      <c r="E63" s="477">
        <f>SUM(F63:M63)</f>
        <v>705859.5</v>
      </c>
      <c r="F63" s="478"/>
      <c r="G63" s="478"/>
      <c r="H63" s="478"/>
      <c r="I63" s="478"/>
      <c r="J63" s="478"/>
      <c r="K63" s="478">
        <v>705859.5</v>
      </c>
      <c r="L63" s="478"/>
      <c r="M63" s="478"/>
      <c r="N63" s="448">
        <f>SUMPRODUCT($F$48:$M$48,F63:M63)</f>
        <v>705859.5</v>
      </c>
      <c r="O63" s="448"/>
      <c r="P63" s="448">
        <f>N63-O63</f>
        <v>705859.5</v>
      </c>
    </row>
    <row r="64" spans="1:16" ht="27" customHeight="1">
      <c r="A64" s="444">
        <v>2.4</v>
      </c>
      <c r="B64" s="425" t="s">
        <v>457</v>
      </c>
      <c r="C64" s="500"/>
      <c r="D64" s="497">
        <v>0.5</v>
      </c>
      <c r="E64" s="477">
        <f>SUM(F64:M64)</f>
        <v>0</v>
      </c>
      <c r="F64" s="478"/>
      <c r="G64" s="478"/>
      <c r="H64" s="478"/>
      <c r="I64" s="501"/>
      <c r="J64" s="478"/>
      <c r="K64" s="478"/>
      <c r="L64" s="478"/>
      <c r="M64" s="478"/>
      <c r="N64" s="448">
        <f>SUMPRODUCT($F$48:$M$48,F64:M64)</f>
        <v>0</v>
      </c>
      <c r="O64" s="448"/>
      <c r="P64" s="448">
        <f>N64-O64</f>
        <v>0</v>
      </c>
    </row>
    <row r="65" spans="1:16" ht="27" customHeight="1">
      <c r="A65" s="444">
        <v>2.5</v>
      </c>
      <c r="B65" s="425" t="s">
        <v>458</v>
      </c>
      <c r="C65" s="478"/>
      <c r="D65" s="497">
        <v>0.5</v>
      </c>
      <c r="E65" s="477">
        <f>SUM(F65:M65)</f>
        <v>0</v>
      </c>
      <c r="F65" s="478"/>
      <c r="G65" s="478"/>
      <c r="H65" s="478"/>
      <c r="I65" s="478"/>
      <c r="J65" s="478"/>
      <c r="K65" s="478"/>
      <c r="L65" s="478"/>
      <c r="M65" s="478"/>
      <c r="N65" s="448">
        <f>SUMPRODUCT($F$48:$M$48,F65:M65)</f>
        <v>0</v>
      </c>
      <c r="O65" s="448"/>
      <c r="P65" s="448">
        <f>N65-O65</f>
        <v>0</v>
      </c>
    </row>
    <row r="66" spans="1:16" ht="27" customHeight="1">
      <c r="A66" s="444">
        <v>3</v>
      </c>
      <c r="B66" s="499" t="s">
        <v>459</v>
      </c>
      <c r="C66" s="478"/>
      <c r="D66" s="471"/>
      <c r="E66" s="502"/>
      <c r="F66" s="478"/>
      <c r="G66" s="478"/>
      <c r="H66" s="478"/>
      <c r="I66" s="478"/>
      <c r="J66" s="478"/>
      <c r="K66" s="478"/>
      <c r="L66" s="478"/>
      <c r="M66" s="478"/>
      <c r="N66" s="481"/>
      <c r="O66" s="478"/>
      <c r="P66" s="481"/>
    </row>
    <row r="67" spans="1:16" ht="27" customHeight="1">
      <c r="A67" s="444">
        <v>3.1</v>
      </c>
      <c r="B67" s="425" t="s">
        <v>460</v>
      </c>
      <c r="C67" s="478"/>
      <c r="D67" s="497">
        <v>0.2</v>
      </c>
      <c r="E67" s="477">
        <f>SUM(F67:M67)</f>
        <v>0</v>
      </c>
      <c r="F67" s="478"/>
      <c r="G67" s="478"/>
      <c r="H67" s="478"/>
      <c r="I67" s="478"/>
      <c r="J67" s="478"/>
      <c r="K67" s="478"/>
      <c r="L67" s="478"/>
      <c r="M67" s="478"/>
      <c r="N67" s="448">
        <f>SUMPRODUCT($F$48:$M$48,F67:M67)</f>
        <v>0</v>
      </c>
      <c r="O67" s="448"/>
      <c r="P67" s="448">
        <f>N67-O67</f>
        <v>0</v>
      </c>
    </row>
    <row r="68" spans="1:16" ht="27" customHeight="1">
      <c r="A68" s="444">
        <v>3.2</v>
      </c>
      <c r="B68" s="425" t="s">
        <v>461</v>
      </c>
      <c r="C68" s="503">
        <v>560496.09</v>
      </c>
      <c r="D68" s="497">
        <v>0.2</v>
      </c>
      <c r="E68" s="477">
        <f>SUM(F68:M68)</f>
        <v>112099.21799999999</v>
      </c>
      <c r="F68" s="478"/>
      <c r="G68" s="478"/>
      <c r="H68" s="478"/>
      <c r="I68" s="478"/>
      <c r="J68" s="478"/>
      <c r="K68" s="478">
        <v>112099.21799999999</v>
      </c>
      <c r="L68" s="478"/>
      <c r="M68" s="478"/>
      <c r="N68" s="448">
        <f>SUMPRODUCT($F$48:$M$48,F68:M68)</f>
        <v>112099.21799999999</v>
      </c>
      <c r="O68" s="448"/>
      <c r="P68" s="448">
        <f>N68-O68</f>
        <v>112099.21799999999</v>
      </c>
    </row>
    <row r="69" spans="1:16" ht="27" customHeight="1">
      <c r="A69" s="444">
        <v>3.3</v>
      </c>
      <c r="B69" s="425" t="s">
        <v>462</v>
      </c>
      <c r="C69" s="478"/>
      <c r="D69" s="497">
        <v>0.2</v>
      </c>
      <c r="E69" s="477">
        <f>SUM(F69:M69)</f>
        <v>0</v>
      </c>
      <c r="F69" s="478"/>
      <c r="G69" s="478"/>
      <c r="H69" s="478"/>
      <c r="I69" s="478"/>
      <c r="J69" s="478"/>
      <c r="K69" s="478"/>
      <c r="L69" s="478"/>
      <c r="M69" s="478"/>
      <c r="N69" s="448">
        <f>SUMPRODUCT($F$48:$M$48,F69:M69)</f>
        <v>0</v>
      </c>
      <c r="O69" s="448"/>
      <c r="P69" s="448">
        <f>N69-O69</f>
        <v>0</v>
      </c>
    </row>
    <row r="70" spans="1:16" ht="27" customHeight="1">
      <c r="A70" s="444">
        <v>4</v>
      </c>
      <c r="B70" s="499" t="s">
        <v>463</v>
      </c>
      <c r="C70" s="478"/>
      <c r="D70" s="471"/>
      <c r="E70" s="496"/>
      <c r="F70" s="471"/>
      <c r="G70" s="471"/>
      <c r="H70" s="471"/>
      <c r="I70" s="471"/>
      <c r="J70" s="471"/>
      <c r="K70" s="471"/>
      <c r="L70" s="471"/>
      <c r="M70" s="471"/>
      <c r="N70" s="504"/>
      <c r="O70" s="471"/>
      <c r="P70" s="504"/>
    </row>
    <row r="71" spans="1:16" ht="27" customHeight="1">
      <c r="A71" s="444">
        <v>4.0999999999999996</v>
      </c>
      <c r="B71" s="425" t="s">
        <v>464</v>
      </c>
      <c r="C71" s="478"/>
      <c r="D71" s="497">
        <v>0</v>
      </c>
      <c r="E71" s="477">
        <f>SUM(F71:M71)</f>
        <v>0</v>
      </c>
      <c r="F71" s="471"/>
      <c r="G71" s="471"/>
      <c r="H71" s="471"/>
      <c r="I71" s="471"/>
      <c r="J71" s="471"/>
      <c r="K71" s="471"/>
      <c r="L71" s="471"/>
      <c r="M71" s="471"/>
      <c r="N71" s="448">
        <f>SUMPRODUCT($F$48:$M$48,F71:M71)</f>
        <v>0</v>
      </c>
      <c r="O71" s="448"/>
      <c r="P71" s="448">
        <f>N71-O71</f>
        <v>0</v>
      </c>
    </row>
    <row r="72" spans="1:16" ht="27" customHeight="1">
      <c r="A72" s="444">
        <v>4.2</v>
      </c>
      <c r="B72" s="425" t="s">
        <v>465</v>
      </c>
      <c r="C72" s="471">
        <v>2585886</v>
      </c>
      <c r="D72" s="497">
        <v>0</v>
      </c>
      <c r="E72" s="477">
        <f>SUM(F72:M72)</f>
        <v>0</v>
      </c>
      <c r="F72" s="471"/>
      <c r="G72" s="471"/>
      <c r="H72" s="471"/>
      <c r="I72" s="471"/>
      <c r="J72" s="471"/>
      <c r="K72" s="471"/>
      <c r="L72" s="471"/>
      <c r="M72" s="471"/>
      <c r="N72" s="448">
        <f>SUMPRODUCT($F$48:$M$48,F72:M72)</f>
        <v>0</v>
      </c>
      <c r="O72" s="448"/>
      <c r="P72" s="448">
        <f>N72-O72</f>
        <v>0</v>
      </c>
    </row>
    <row r="73" spans="1:16" ht="27" customHeight="1">
      <c r="A73" s="428"/>
      <c r="B73" s="488" t="s">
        <v>71</v>
      </c>
      <c r="C73" s="490">
        <f>SUM(C50:C59)+SUM(C61:C65)+SUM(C67:C69)+SUM(C71:C72)</f>
        <v>19394470.2848</v>
      </c>
      <c r="D73" s="490"/>
      <c r="E73" s="490">
        <f t="shared" ref="E73:P73" si="12">SUM(E50:E59)+SUM(E61:E65)+SUM(E67:E69)+SUM(E71:E72)</f>
        <v>12451189.601500001</v>
      </c>
      <c r="F73" s="490">
        <f t="shared" si="12"/>
        <v>0</v>
      </c>
      <c r="G73" s="490">
        <f t="shared" si="12"/>
        <v>0</v>
      </c>
      <c r="H73" s="490">
        <f t="shared" si="12"/>
        <v>0</v>
      </c>
      <c r="I73" s="490">
        <f t="shared" si="12"/>
        <v>0</v>
      </c>
      <c r="J73" s="490">
        <f t="shared" si="12"/>
        <v>0</v>
      </c>
      <c r="K73" s="490">
        <f t="shared" si="12"/>
        <v>12451189.601500001</v>
      </c>
      <c r="L73" s="490">
        <f t="shared" si="12"/>
        <v>0</v>
      </c>
      <c r="M73" s="490">
        <f t="shared" si="12"/>
        <v>0</v>
      </c>
      <c r="N73" s="490">
        <f t="shared" si="12"/>
        <v>12451189.601500001</v>
      </c>
      <c r="O73" s="490">
        <f t="shared" si="12"/>
        <v>0</v>
      </c>
      <c r="P73" s="490">
        <f t="shared" si="12"/>
        <v>12451189.601500001</v>
      </c>
    </row>
    <row r="74" spans="1:16" ht="27" customHeight="1">
      <c r="B74" s="491"/>
      <c r="C74" s="432"/>
    </row>
    <row r="75" spans="1:16" ht="27" customHeight="1">
      <c r="C75" s="432"/>
    </row>
    <row r="76" spans="1:16" ht="27" customHeight="1">
      <c r="A76" s="470" t="s">
        <v>466</v>
      </c>
      <c r="B76" s="505"/>
      <c r="C76" s="432"/>
    </row>
    <row r="77" spans="1:16" ht="27" customHeight="1">
      <c r="A77" s="441"/>
      <c r="B77" s="471"/>
      <c r="C77" s="506" t="s">
        <v>467</v>
      </c>
      <c r="D77" s="443" t="s">
        <v>83</v>
      </c>
      <c r="E77" s="472" t="s">
        <v>428</v>
      </c>
      <c r="F77" s="473">
        <v>0</v>
      </c>
      <c r="G77" s="473">
        <v>0.2</v>
      </c>
      <c r="H77" s="473">
        <v>0.35</v>
      </c>
      <c r="I77" s="473">
        <v>0.5</v>
      </c>
      <c r="J77" s="473">
        <v>0.75</v>
      </c>
      <c r="K77" s="473">
        <v>1</v>
      </c>
      <c r="L77" s="473">
        <v>1.5</v>
      </c>
      <c r="M77" s="473">
        <v>2.5</v>
      </c>
      <c r="N77" s="443" t="s">
        <v>84</v>
      </c>
    </row>
    <row r="78" spans="1:16" ht="27" customHeight="1">
      <c r="A78" s="441">
        <v>1</v>
      </c>
      <c r="B78" s="427" t="s">
        <v>85</v>
      </c>
      <c r="C78" s="507">
        <f>SUM(C79:C84)</f>
        <v>0</v>
      </c>
      <c r="D78" s="471"/>
      <c r="E78" s="508">
        <f t="shared" ref="E78:N78" si="13">SUM(E79:E84)</f>
        <v>0</v>
      </c>
      <c r="F78" s="471">
        <f t="shared" si="13"/>
        <v>0</v>
      </c>
      <c r="G78" s="471">
        <f t="shared" si="13"/>
        <v>0</v>
      </c>
      <c r="H78" s="471">
        <f t="shared" si="13"/>
        <v>0</v>
      </c>
      <c r="I78" s="471">
        <f t="shared" si="13"/>
        <v>0</v>
      </c>
      <c r="J78" s="471">
        <f t="shared" si="13"/>
        <v>0</v>
      </c>
      <c r="K78" s="471">
        <f t="shared" si="13"/>
        <v>0</v>
      </c>
      <c r="L78" s="471">
        <f t="shared" si="13"/>
        <v>0</v>
      </c>
      <c r="M78" s="471">
        <f t="shared" si="13"/>
        <v>0</v>
      </c>
      <c r="N78" s="507">
        <f t="shared" si="13"/>
        <v>0</v>
      </c>
    </row>
    <row r="79" spans="1:16" ht="27" customHeight="1">
      <c r="A79" s="441">
        <v>1.1000000000000001</v>
      </c>
      <c r="B79" s="425" t="s">
        <v>86</v>
      </c>
      <c r="C79" s="478"/>
      <c r="D79" s="497">
        <v>0.02</v>
      </c>
      <c r="E79" s="508">
        <f>C79*D79</f>
        <v>0</v>
      </c>
      <c r="F79" s="471"/>
      <c r="G79" s="471"/>
      <c r="H79" s="471"/>
      <c r="I79" s="471"/>
      <c r="J79" s="471"/>
      <c r="K79" s="471"/>
      <c r="L79" s="471"/>
      <c r="M79" s="471"/>
      <c r="N79" s="507">
        <f t="shared" ref="N79:N84" si="14">SUMPRODUCT($F$48:$M$48,F79:M79)</f>
        <v>0</v>
      </c>
    </row>
    <row r="80" spans="1:16" ht="27" customHeight="1">
      <c r="A80" s="441">
        <v>1.2</v>
      </c>
      <c r="B80" s="425" t="s">
        <v>87</v>
      </c>
      <c r="C80" s="478"/>
      <c r="D80" s="497">
        <v>0.05</v>
      </c>
      <c r="E80" s="508">
        <f>C80*D80</f>
        <v>0</v>
      </c>
      <c r="F80" s="471"/>
      <c r="G80" s="471"/>
      <c r="H80" s="471"/>
      <c r="I80" s="471"/>
      <c r="J80" s="471"/>
      <c r="K80" s="471"/>
      <c r="L80" s="471"/>
      <c r="M80" s="471"/>
      <c r="N80" s="507">
        <f t="shared" si="14"/>
        <v>0</v>
      </c>
    </row>
    <row r="81" spans="1:14" ht="27" customHeight="1">
      <c r="A81" s="441">
        <v>1.3</v>
      </c>
      <c r="B81" s="425" t="s">
        <v>88</v>
      </c>
      <c r="C81" s="478"/>
      <c r="D81" s="497">
        <v>0.08</v>
      </c>
      <c r="E81" s="508">
        <f>C81*D81</f>
        <v>0</v>
      </c>
      <c r="F81" s="471"/>
      <c r="G81" s="471"/>
      <c r="H81" s="471"/>
      <c r="I81" s="471"/>
      <c r="J81" s="471"/>
      <c r="K81" s="471"/>
      <c r="L81" s="471"/>
      <c r="M81" s="471"/>
      <c r="N81" s="507">
        <f t="shared" si="14"/>
        <v>0</v>
      </c>
    </row>
    <row r="82" spans="1:14" ht="27" customHeight="1">
      <c r="A82" s="441">
        <v>1.4</v>
      </c>
      <c r="B82" s="425" t="s">
        <v>89</v>
      </c>
      <c r="C82" s="478"/>
      <c r="D82" s="497">
        <v>0.11</v>
      </c>
      <c r="E82" s="508">
        <f>C82*D82</f>
        <v>0</v>
      </c>
      <c r="F82" s="471"/>
      <c r="G82" s="471"/>
      <c r="H82" s="471"/>
      <c r="I82" s="471"/>
      <c r="J82" s="471"/>
      <c r="K82" s="471"/>
      <c r="L82" s="471"/>
      <c r="M82" s="471"/>
      <c r="N82" s="507">
        <f t="shared" si="14"/>
        <v>0</v>
      </c>
    </row>
    <row r="83" spans="1:14" ht="27" customHeight="1">
      <c r="A83" s="441">
        <v>1.5</v>
      </c>
      <c r="B83" s="425" t="s">
        <v>90</v>
      </c>
      <c r="C83" s="478"/>
      <c r="D83" s="497">
        <v>0.14000000000000001</v>
      </c>
      <c r="E83" s="508">
        <f>C83*D83</f>
        <v>0</v>
      </c>
      <c r="F83" s="471"/>
      <c r="G83" s="471"/>
      <c r="H83" s="471"/>
      <c r="I83" s="471"/>
      <c r="J83" s="471"/>
      <c r="K83" s="471"/>
      <c r="L83" s="471"/>
      <c r="M83" s="471"/>
      <c r="N83" s="507">
        <f t="shared" si="14"/>
        <v>0</v>
      </c>
    </row>
    <row r="84" spans="1:14" ht="27" customHeight="1">
      <c r="A84" s="441">
        <v>1.6</v>
      </c>
      <c r="B84" s="426" t="s">
        <v>91</v>
      </c>
      <c r="C84" s="478"/>
      <c r="D84" s="509"/>
      <c r="E84" s="510"/>
      <c r="F84" s="471"/>
      <c r="G84" s="471"/>
      <c r="H84" s="471"/>
      <c r="I84" s="471"/>
      <c r="J84" s="471"/>
      <c r="K84" s="471"/>
      <c r="L84" s="471"/>
      <c r="M84" s="471"/>
      <c r="N84" s="507">
        <f t="shared" si="14"/>
        <v>0</v>
      </c>
    </row>
    <row r="85" spans="1:14" ht="27" customHeight="1">
      <c r="A85" s="441">
        <v>2</v>
      </c>
      <c r="B85" s="511" t="s">
        <v>92</v>
      </c>
      <c r="C85" s="507">
        <f>SUM(C86:C91)</f>
        <v>0</v>
      </c>
      <c r="D85" s="471"/>
      <c r="E85" s="508">
        <f t="shared" ref="E85:N85" si="15">SUM(E86:E91)</f>
        <v>0</v>
      </c>
      <c r="F85" s="471">
        <f t="shared" si="15"/>
        <v>0</v>
      </c>
      <c r="G85" s="471">
        <f t="shared" si="15"/>
        <v>0</v>
      </c>
      <c r="H85" s="471">
        <f t="shared" si="15"/>
        <v>0</v>
      </c>
      <c r="I85" s="471">
        <f t="shared" si="15"/>
        <v>0</v>
      </c>
      <c r="J85" s="471">
        <f t="shared" si="15"/>
        <v>0</v>
      </c>
      <c r="K85" s="471">
        <f t="shared" si="15"/>
        <v>0</v>
      </c>
      <c r="L85" s="471">
        <f t="shared" si="15"/>
        <v>0</v>
      </c>
      <c r="M85" s="471">
        <f t="shared" si="15"/>
        <v>0</v>
      </c>
      <c r="N85" s="507">
        <f t="shared" si="15"/>
        <v>0</v>
      </c>
    </row>
    <row r="86" spans="1:14" ht="27" customHeight="1">
      <c r="A86" s="441">
        <v>2.1</v>
      </c>
      <c r="B86" s="426" t="s">
        <v>86</v>
      </c>
      <c r="C86" s="478"/>
      <c r="D86" s="497">
        <v>5.0000000000000001E-3</v>
      </c>
      <c r="E86" s="508">
        <f>C86*D86</f>
        <v>0</v>
      </c>
      <c r="F86" s="471"/>
      <c r="G86" s="471"/>
      <c r="H86" s="471"/>
      <c r="I86" s="471"/>
      <c r="J86" s="471"/>
      <c r="K86" s="471"/>
      <c r="L86" s="471"/>
      <c r="M86" s="471"/>
      <c r="N86" s="507">
        <f t="shared" ref="N86:N91" si="16">SUMPRODUCT($F$48:$M$48,F86:M86)</f>
        <v>0</v>
      </c>
    </row>
    <row r="87" spans="1:14" ht="27" customHeight="1">
      <c r="A87" s="441">
        <v>2.2000000000000002</v>
      </c>
      <c r="B87" s="426" t="s">
        <v>87</v>
      </c>
      <c r="C87" s="478"/>
      <c r="D87" s="497">
        <v>0.01</v>
      </c>
      <c r="E87" s="508">
        <f>C87*D87</f>
        <v>0</v>
      </c>
      <c r="F87" s="471"/>
      <c r="G87" s="471"/>
      <c r="H87" s="471"/>
      <c r="I87" s="471"/>
      <c r="J87" s="471"/>
      <c r="K87" s="471"/>
      <c r="L87" s="471"/>
      <c r="M87" s="471"/>
      <c r="N87" s="507">
        <f t="shared" si="16"/>
        <v>0</v>
      </c>
    </row>
    <row r="88" spans="1:14" ht="27" customHeight="1">
      <c r="A88" s="441">
        <v>2.2999999999999998</v>
      </c>
      <c r="B88" s="426" t="s">
        <v>88</v>
      </c>
      <c r="C88" s="478"/>
      <c r="D88" s="497">
        <v>0.02</v>
      </c>
      <c r="E88" s="508">
        <f>C88*D88</f>
        <v>0</v>
      </c>
      <c r="F88" s="471"/>
      <c r="G88" s="471"/>
      <c r="H88" s="471"/>
      <c r="I88" s="471"/>
      <c r="J88" s="471"/>
      <c r="K88" s="471"/>
      <c r="L88" s="471"/>
      <c r="M88" s="471"/>
      <c r="N88" s="507">
        <f t="shared" si="16"/>
        <v>0</v>
      </c>
    </row>
    <row r="89" spans="1:14" ht="27" customHeight="1">
      <c r="A89" s="441">
        <v>2.4</v>
      </c>
      <c r="B89" s="426" t="s">
        <v>89</v>
      </c>
      <c r="C89" s="478"/>
      <c r="D89" s="497">
        <v>0.03</v>
      </c>
      <c r="E89" s="508">
        <f>C89*D89</f>
        <v>0</v>
      </c>
      <c r="F89" s="471"/>
      <c r="G89" s="471"/>
      <c r="H89" s="471"/>
      <c r="I89" s="471"/>
      <c r="J89" s="471"/>
      <c r="K89" s="471"/>
      <c r="L89" s="471"/>
      <c r="M89" s="471"/>
      <c r="N89" s="507">
        <f t="shared" si="16"/>
        <v>0</v>
      </c>
    </row>
    <row r="90" spans="1:14" ht="27" customHeight="1">
      <c r="A90" s="441">
        <v>2.5</v>
      </c>
      <c r="B90" s="426" t="s">
        <v>90</v>
      </c>
      <c r="C90" s="478"/>
      <c r="D90" s="497">
        <v>0.04</v>
      </c>
      <c r="E90" s="508">
        <f>C90*D90</f>
        <v>0</v>
      </c>
      <c r="F90" s="471"/>
      <c r="G90" s="471"/>
      <c r="H90" s="471"/>
      <c r="I90" s="471"/>
      <c r="J90" s="471"/>
      <c r="K90" s="471"/>
      <c r="L90" s="471"/>
      <c r="M90" s="471"/>
      <c r="N90" s="507">
        <f t="shared" si="16"/>
        <v>0</v>
      </c>
    </row>
    <row r="91" spans="1:14" ht="27" customHeight="1">
      <c r="A91" s="441">
        <v>2.6</v>
      </c>
      <c r="B91" s="426" t="s">
        <v>91</v>
      </c>
      <c r="C91" s="478"/>
      <c r="D91" s="509"/>
      <c r="E91" s="510"/>
      <c r="F91" s="471"/>
      <c r="G91" s="471"/>
      <c r="H91" s="471"/>
      <c r="I91" s="471"/>
      <c r="J91" s="471"/>
      <c r="K91" s="471"/>
      <c r="L91" s="471"/>
      <c r="M91" s="471"/>
      <c r="N91" s="507">
        <f t="shared" si="16"/>
        <v>0</v>
      </c>
    </row>
    <row r="92" spans="1:14" ht="27" customHeight="1">
      <c r="A92" s="428"/>
      <c r="B92" s="488" t="s">
        <v>71</v>
      </c>
      <c r="C92" s="489">
        <f>C85+C78</f>
        <v>0</v>
      </c>
      <c r="D92" s="489"/>
      <c r="E92" s="512">
        <f>E85+E78</f>
        <v>0</v>
      </c>
      <c r="F92" s="471"/>
      <c r="G92" s="471"/>
      <c r="H92" s="471"/>
      <c r="I92" s="471"/>
      <c r="J92" s="471"/>
      <c r="K92" s="471"/>
      <c r="L92" s="471"/>
      <c r="M92" s="471"/>
      <c r="N92" s="512">
        <f>N85+N78</f>
        <v>0</v>
      </c>
    </row>
    <row r="95" spans="1:14" ht="27" customHeight="1">
      <c r="A95" s="513" t="s">
        <v>468</v>
      </c>
      <c r="B95" s="513"/>
      <c r="C95" s="513"/>
    </row>
    <row r="96" spans="1:14" ht="27" customHeight="1">
      <c r="A96" s="514"/>
      <c r="B96" s="515" t="s">
        <v>76</v>
      </c>
      <c r="C96" s="516" t="s">
        <v>469</v>
      </c>
      <c r="D96" s="517" t="s">
        <v>470</v>
      </c>
      <c r="E96" s="518" t="s">
        <v>471</v>
      </c>
      <c r="F96" s="517" t="s">
        <v>472</v>
      </c>
      <c r="G96" s="518" t="s">
        <v>77</v>
      </c>
    </row>
    <row r="97" spans="1:7" s="520" customFormat="1" ht="27" customHeight="1">
      <c r="A97" s="428">
        <v>1</v>
      </c>
      <c r="B97" s="425" t="s">
        <v>78</v>
      </c>
      <c r="C97" s="482">
        <v>48696483.392200001</v>
      </c>
      <c r="D97" s="482">
        <v>48696483.392200001</v>
      </c>
      <c r="E97" s="482">
        <v>48696483.392200001</v>
      </c>
      <c r="F97" s="519">
        <v>0.75</v>
      </c>
      <c r="G97" s="508">
        <f t="shared" ref="G97:G104" si="17">E97*F97</f>
        <v>36522362.544150002</v>
      </c>
    </row>
    <row r="98" spans="1:7" s="520" customFormat="1" ht="27" customHeight="1">
      <c r="A98" s="428">
        <v>2</v>
      </c>
      <c r="B98" s="425" t="s">
        <v>79</v>
      </c>
      <c r="C98" s="482"/>
      <c r="D98" s="482"/>
      <c r="E98" s="481"/>
      <c r="F98" s="519">
        <v>0.75</v>
      </c>
      <c r="G98" s="508">
        <f t="shared" si="17"/>
        <v>0</v>
      </c>
    </row>
    <row r="99" spans="1:7" s="520" customFormat="1" ht="27" customHeight="1">
      <c r="A99" s="428">
        <v>3</v>
      </c>
      <c r="B99" s="425" t="s">
        <v>80</v>
      </c>
      <c r="C99" s="482"/>
      <c r="D99" s="482"/>
      <c r="E99" s="504"/>
      <c r="F99" s="519">
        <v>0.75</v>
      </c>
      <c r="G99" s="508">
        <f t="shared" si="17"/>
        <v>0</v>
      </c>
    </row>
    <row r="100" spans="1:7" ht="27" customHeight="1">
      <c r="A100" s="428">
        <v>4</v>
      </c>
      <c r="B100" s="425" t="s">
        <v>72</v>
      </c>
      <c r="C100" s="482"/>
      <c r="D100" s="482"/>
      <c r="E100" s="481"/>
      <c r="F100" s="519">
        <v>0.75</v>
      </c>
      <c r="G100" s="508">
        <f t="shared" si="17"/>
        <v>0</v>
      </c>
    </row>
    <row r="101" spans="1:7" ht="27" customHeight="1">
      <c r="A101" s="428">
        <v>5</v>
      </c>
      <c r="B101" s="425" t="s">
        <v>73</v>
      </c>
      <c r="C101" s="483"/>
      <c r="D101" s="482"/>
      <c r="E101" s="504"/>
      <c r="F101" s="519">
        <v>0.75</v>
      </c>
      <c r="G101" s="508">
        <f t="shared" si="17"/>
        <v>0</v>
      </c>
    </row>
    <row r="102" spans="1:7" ht="27" customHeight="1">
      <c r="A102" s="428">
        <v>6</v>
      </c>
      <c r="B102" s="425" t="s">
        <v>74</v>
      </c>
      <c r="C102" s="482"/>
      <c r="D102" s="482"/>
      <c r="E102" s="504"/>
      <c r="F102" s="519">
        <v>0.75</v>
      </c>
      <c r="G102" s="508">
        <f t="shared" si="17"/>
        <v>0</v>
      </c>
    </row>
    <row r="103" spans="1:7" ht="27" customHeight="1">
      <c r="A103" s="428">
        <v>7</v>
      </c>
      <c r="B103" s="521" t="s">
        <v>75</v>
      </c>
      <c r="C103" s="482"/>
      <c r="D103" s="482"/>
      <c r="E103" s="504"/>
      <c r="F103" s="519">
        <v>0.75</v>
      </c>
      <c r="G103" s="508">
        <f t="shared" si="17"/>
        <v>0</v>
      </c>
    </row>
    <row r="104" spans="1:7" s="520" customFormat="1" ht="27" customHeight="1">
      <c r="A104" s="428">
        <v>8</v>
      </c>
      <c r="B104" s="521" t="s">
        <v>81</v>
      </c>
      <c r="C104" s="522"/>
      <c r="D104" s="482"/>
      <c r="E104" s="522"/>
      <c r="F104" s="519">
        <v>0.75</v>
      </c>
      <c r="G104" s="508">
        <f t="shared" si="17"/>
        <v>0</v>
      </c>
    </row>
    <row r="105" spans="1:7" ht="27" customHeight="1">
      <c r="A105" s="428"/>
      <c r="B105" s="488" t="s">
        <v>71</v>
      </c>
      <c r="C105" s="489">
        <f>SUM(C97:C104)</f>
        <v>48696483.392200001</v>
      </c>
      <c r="D105" s="489">
        <f>SUM(D97:D104)</f>
        <v>48696483.392200001</v>
      </c>
      <c r="E105" s="489">
        <f>SUM(E97:E104)</f>
        <v>48696483.392200001</v>
      </c>
      <c r="F105" s="489"/>
      <c r="G105" s="512">
        <f>SUM(G97:G104)</f>
        <v>36522362.544150002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topLeftCell="C1" zoomScale="70" zoomScaleNormal="70" workbookViewId="0">
      <selection activeCell="K73" sqref="K73"/>
    </sheetView>
  </sheetViews>
  <sheetFormatPr defaultColWidth="9.140625" defaultRowHeight="15"/>
  <cols>
    <col min="1" max="1" width="10.28515625" style="440" customWidth="1"/>
    <col min="2" max="2" width="82.5703125" style="432" bestFit="1" customWidth="1"/>
    <col min="3" max="3" width="37.28515625" style="492" customWidth="1"/>
    <col min="4" max="4" width="39.42578125" style="432" customWidth="1"/>
    <col min="5" max="5" width="34.7109375" style="433" customWidth="1"/>
    <col min="6" max="6" width="25.140625" style="432" customWidth="1"/>
    <col min="7" max="7" width="34.140625" style="432" customWidth="1"/>
    <col min="8" max="13" width="15.7109375" style="432" customWidth="1"/>
    <col min="14" max="14" width="32.7109375" style="432" customWidth="1"/>
    <col min="15" max="15" width="17.140625" style="432" customWidth="1"/>
    <col min="16" max="16" width="40.140625" style="432" customWidth="1"/>
    <col min="17" max="17" width="12.5703125" style="432" bestFit="1" customWidth="1"/>
    <col min="18" max="18" width="18.42578125" style="432" bestFit="1" customWidth="1"/>
    <col min="19" max="16384" width="9.140625" style="432"/>
  </cols>
  <sheetData>
    <row r="1" spans="1:7">
      <c r="A1" s="429" t="s">
        <v>417</v>
      </c>
      <c r="B1" s="430" t="s">
        <v>473</v>
      </c>
      <c r="C1" s="431"/>
    </row>
    <row r="2" spans="1:7">
      <c r="A2" s="429" t="s">
        <v>418</v>
      </c>
      <c r="B2" s="434" t="s">
        <v>474</v>
      </c>
      <c r="C2" s="435"/>
    </row>
    <row r="3" spans="1:7">
      <c r="A3" s="436"/>
      <c r="B3" s="435"/>
      <c r="C3" s="435"/>
    </row>
    <row r="4" spans="1:7">
      <c r="A4" s="437" t="s">
        <v>196</v>
      </c>
      <c r="B4" s="438"/>
      <c r="C4" s="435"/>
      <c r="G4" s="439"/>
    </row>
    <row r="5" spans="1:7">
      <c r="B5" s="435"/>
      <c r="C5" s="435"/>
    </row>
    <row r="6" spans="1:7" ht="60">
      <c r="A6" s="441"/>
      <c r="B6" s="442" t="s">
        <v>196</v>
      </c>
      <c r="C6" s="443" t="s">
        <v>419</v>
      </c>
      <c r="D6" s="443" t="s">
        <v>420</v>
      </c>
    </row>
    <row r="7" spans="1:7">
      <c r="A7" s="444">
        <v>1</v>
      </c>
      <c r="B7" s="445" t="s">
        <v>264</v>
      </c>
      <c r="C7" s="446">
        <f>SUM(C8:C11)</f>
        <v>274325761.18069994</v>
      </c>
      <c r="D7" s="446">
        <f>SUM(D8:D11)</f>
        <v>274325761.18069994</v>
      </c>
    </row>
    <row r="8" spans="1:7">
      <c r="A8" s="444">
        <v>1.1000000000000001</v>
      </c>
      <c r="B8" s="447" t="s">
        <v>23</v>
      </c>
      <c r="C8" s="448">
        <f>N44</f>
        <v>226447432.34024999</v>
      </c>
      <c r="D8" s="448">
        <f>P44</f>
        <v>226447432.34024999</v>
      </c>
    </row>
    <row r="9" spans="1:7">
      <c r="A9" s="444">
        <v>1.2</v>
      </c>
      <c r="B9" s="447" t="s">
        <v>24</v>
      </c>
      <c r="C9" s="448">
        <f>N73</f>
        <v>14158622.590999998</v>
      </c>
      <c r="D9" s="448">
        <f>P73</f>
        <v>14158622.590999998</v>
      </c>
    </row>
    <row r="10" spans="1:7">
      <c r="A10" s="444">
        <v>1.3</v>
      </c>
      <c r="B10" s="447" t="s">
        <v>421</v>
      </c>
      <c r="C10" s="448">
        <f>N92</f>
        <v>0</v>
      </c>
      <c r="D10" s="448">
        <f>N92</f>
        <v>0</v>
      </c>
    </row>
    <row r="11" spans="1:7">
      <c r="A11" s="444">
        <v>1.4</v>
      </c>
      <c r="B11" s="447" t="s">
        <v>25</v>
      </c>
      <c r="C11" s="448">
        <f>G105</f>
        <v>33719706.249449998</v>
      </c>
      <c r="D11" s="448">
        <f>G105</f>
        <v>33719706.249449998</v>
      </c>
    </row>
    <row r="12" spans="1:7" s="454" customFormat="1">
      <c r="A12" s="449">
        <v>2</v>
      </c>
      <c r="B12" s="450" t="s">
        <v>422</v>
      </c>
      <c r="C12" s="451">
        <v>5025.1354000000001</v>
      </c>
      <c r="D12" s="451">
        <v>5025.1354000000001</v>
      </c>
      <c r="E12" s="452"/>
      <c r="F12" s="453"/>
    </row>
    <row r="13" spans="1:7" s="454" customFormat="1">
      <c r="A13" s="449">
        <v>3</v>
      </c>
      <c r="B13" s="450" t="s">
        <v>203</v>
      </c>
      <c r="C13" s="455">
        <v>18680103.9333</v>
      </c>
      <c r="D13" s="451">
        <v>18680103.9333</v>
      </c>
      <c r="E13" s="452"/>
      <c r="F13" s="453"/>
      <c r="G13" s="453"/>
    </row>
    <row r="14" spans="1:7">
      <c r="A14" s="444">
        <v>4</v>
      </c>
      <c r="B14" s="456" t="s">
        <v>269</v>
      </c>
      <c r="C14" s="446">
        <f>C7+C12+C13</f>
        <v>293010890.24939996</v>
      </c>
      <c r="D14" s="446">
        <f>D7+D12+D13</f>
        <v>293010890.24939996</v>
      </c>
      <c r="F14" s="457"/>
      <c r="G14" s="458"/>
    </row>
    <row r="15" spans="1:7" ht="45">
      <c r="A15" s="444">
        <v>5</v>
      </c>
      <c r="B15" s="459" t="s">
        <v>423</v>
      </c>
      <c r="C15" s="446">
        <f>C8+C9+C12+C13</f>
        <v>259291183.99994996</v>
      </c>
      <c r="D15" s="446">
        <f>D8+D9+D12+D13</f>
        <v>259291183.99994996</v>
      </c>
      <c r="E15" s="460"/>
      <c r="F15" s="461"/>
      <c r="G15" s="461"/>
    </row>
    <row r="16" spans="1:7">
      <c r="A16" s="462"/>
      <c r="B16" s="463"/>
      <c r="C16" s="463"/>
      <c r="F16" s="464"/>
    </row>
    <row r="17" spans="1:16">
      <c r="A17" s="465"/>
      <c r="C17" s="466"/>
    </row>
    <row r="18" spans="1:16">
      <c r="A18" s="467" t="s">
        <v>424</v>
      </c>
      <c r="B18" s="467"/>
      <c r="C18" s="466"/>
    </row>
    <row r="19" spans="1:16">
      <c r="A19" s="468"/>
      <c r="C19" s="469"/>
    </row>
    <row r="20" spans="1:16">
      <c r="A20" s="470" t="s">
        <v>425</v>
      </c>
      <c r="B20" s="469"/>
      <c r="C20" s="469"/>
    </row>
    <row r="21" spans="1:16" ht="60">
      <c r="A21" s="441"/>
      <c r="B21" s="471"/>
      <c r="C21" s="443" t="s">
        <v>426</v>
      </c>
      <c r="D21" s="443" t="s">
        <v>427</v>
      </c>
      <c r="E21" s="472" t="s">
        <v>428</v>
      </c>
      <c r="F21" s="473">
        <v>0</v>
      </c>
      <c r="G21" s="473">
        <v>0.2</v>
      </c>
      <c r="H21" s="473">
        <v>0.35</v>
      </c>
      <c r="I21" s="473">
        <v>0.5</v>
      </c>
      <c r="J21" s="473">
        <v>0.75</v>
      </c>
      <c r="K21" s="473">
        <v>1</v>
      </c>
      <c r="L21" s="473">
        <v>1.5</v>
      </c>
      <c r="M21" s="473">
        <v>2.5</v>
      </c>
      <c r="N21" s="443" t="s">
        <v>265</v>
      </c>
      <c r="O21" s="443" t="s">
        <v>261</v>
      </c>
      <c r="P21" s="443" t="s">
        <v>429</v>
      </c>
    </row>
    <row r="22" spans="1:16" ht="30">
      <c r="A22" s="474">
        <v>1</v>
      </c>
      <c r="B22" s="425" t="s">
        <v>228</v>
      </c>
      <c r="C22" s="475">
        <v>24302341.649</v>
      </c>
      <c r="D22" s="476"/>
      <c r="E22" s="477">
        <f t="shared" ref="E22:E34" si="0">SUM(F22:M22)</f>
        <v>24302341.649</v>
      </c>
      <c r="F22" s="475">
        <v>7534390.7400000002</v>
      </c>
      <c r="G22" s="478"/>
      <c r="H22" s="478"/>
      <c r="I22" s="478"/>
      <c r="J22" s="478"/>
      <c r="K22" s="475">
        <v>16767950.909</v>
      </c>
      <c r="L22" s="478"/>
      <c r="M22" s="478"/>
      <c r="N22" s="448">
        <f t="shared" ref="N22:N34" si="1">SUMPRODUCT($F$21:$M$21,F22:M22)</f>
        <v>16767950.909</v>
      </c>
      <c r="O22" s="448"/>
      <c r="P22" s="448">
        <f t="shared" ref="P22:P34" si="2">N22-O22</f>
        <v>16767950.909</v>
      </c>
    </row>
    <row r="23" spans="1:16" ht="30">
      <c r="A23" s="474">
        <f t="shared" ref="A23:A35" si="3">A22+1</f>
        <v>2</v>
      </c>
      <c r="B23" s="425" t="s">
        <v>229</v>
      </c>
      <c r="C23" s="478"/>
      <c r="D23" s="476"/>
      <c r="E23" s="477">
        <f t="shared" si="0"/>
        <v>0</v>
      </c>
      <c r="F23" s="478"/>
      <c r="G23" s="478"/>
      <c r="H23" s="478"/>
      <c r="I23" s="478"/>
      <c r="J23" s="478"/>
      <c r="K23" s="478"/>
      <c r="L23" s="478"/>
      <c r="M23" s="478"/>
      <c r="N23" s="448">
        <f t="shared" si="1"/>
        <v>0</v>
      </c>
      <c r="O23" s="448"/>
      <c r="P23" s="448">
        <f t="shared" si="2"/>
        <v>0</v>
      </c>
    </row>
    <row r="24" spans="1:16">
      <c r="A24" s="474">
        <f t="shared" si="3"/>
        <v>3</v>
      </c>
      <c r="B24" s="425" t="s">
        <v>230</v>
      </c>
      <c r="C24" s="478"/>
      <c r="D24" s="476"/>
      <c r="E24" s="477">
        <f t="shared" si="0"/>
        <v>0</v>
      </c>
      <c r="F24" s="478"/>
      <c r="G24" s="478"/>
      <c r="H24" s="478"/>
      <c r="I24" s="478"/>
      <c r="J24" s="478"/>
      <c r="K24" s="478"/>
      <c r="L24" s="478"/>
      <c r="M24" s="478"/>
      <c r="N24" s="448">
        <f t="shared" si="1"/>
        <v>0</v>
      </c>
      <c r="O24" s="448"/>
      <c r="P24" s="448">
        <f t="shared" si="2"/>
        <v>0</v>
      </c>
    </row>
    <row r="25" spans="1:16" ht="30">
      <c r="A25" s="474">
        <f t="shared" si="3"/>
        <v>4</v>
      </c>
      <c r="B25" s="425" t="s">
        <v>231</v>
      </c>
      <c r="C25" s="478"/>
      <c r="D25" s="476"/>
      <c r="E25" s="477">
        <f t="shared" si="0"/>
        <v>0</v>
      </c>
      <c r="F25" s="478"/>
      <c r="G25" s="478"/>
      <c r="H25" s="478"/>
      <c r="I25" s="478"/>
      <c r="J25" s="478"/>
      <c r="K25" s="478"/>
      <c r="L25" s="478"/>
      <c r="M25" s="478"/>
      <c r="N25" s="448">
        <f t="shared" si="1"/>
        <v>0</v>
      </c>
      <c r="O25" s="448"/>
      <c r="P25" s="448">
        <f t="shared" si="2"/>
        <v>0</v>
      </c>
    </row>
    <row r="26" spans="1:16">
      <c r="A26" s="474">
        <f t="shared" si="3"/>
        <v>5</v>
      </c>
      <c r="B26" s="425" t="s">
        <v>232</v>
      </c>
      <c r="C26" s="478"/>
      <c r="D26" s="476"/>
      <c r="E26" s="477">
        <f t="shared" si="0"/>
        <v>0</v>
      </c>
      <c r="F26" s="478"/>
      <c r="G26" s="478"/>
      <c r="H26" s="478"/>
      <c r="I26" s="478"/>
      <c r="J26" s="478"/>
      <c r="K26" s="478"/>
      <c r="L26" s="478"/>
      <c r="M26" s="478"/>
      <c r="N26" s="448">
        <f t="shared" si="1"/>
        <v>0</v>
      </c>
      <c r="O26" s="448"/>
      <c r="P26" s="448">
        <f t="shared" si="2"/>
        <v>0</v>
      </c>
    </row>
    <row r="27" spans="1:16">
      <c r="A27" s="474">
        <f t="shared" si="3"/>
        <v>6</v>
      </c>
      <c r="B27" s="425" t="s">
        <v>233</v>
      </c>
      <c r="C27" s="475">
        <v>92262275.430399999</v>
      </c>
      <c r="D27" s="476"/>
      <c r="E27" s="477">
        <f t="shared" si="0"/>
        <v>92262275.430399999</v>
      </c>
      <c r="F27" s="478"/>
      <c r="G27" s="478"/>
      <c r="H27" s="478"/>
      <c r="I27" s="478">
        <v>23249925.479899999</v>
      </c>
      <c r="J27" s="478"/>
      <c r="K27" s="475">
        <v>69012349.950499997</v>
      </c>
      <c r="L27" s="478"/>
      <c r="M27" s="478"/>
      <c r="N27" s="448">
        <f t="shared" si="1"/>
        <v>80637312.690449998</v>
      </c>
      <c r="O27" s="448"/>
      <c r="P27" s="448">
        <f t="shared" si="2"/>
        <v>80637312.690449998</v>
      </c>
    </row>
    <row r="28" spans="1:16">
      <c r="A28" s="474">
        <f t="shared" si="3"/>
        <v>7</v>
      </c>
      <c r="B28" s="425" t="s">
        <v>78</v>
      </c>
      <c r="C28" s="476">
        <v>126381604.56640001</v>
      </c>
      <c r="D28" s="476"/>
      <c r="E28" s="477">
        <f t="shared" si="0"/>
        <v>126381604.56640001</v>
      </c>
      <c r="F28" s="478"/>
      <c r="G28" s="478"/>
      <c r="H28" s="478"/>
      <c r="I28" s="478"/>
      <c r="J28" s="478"/>
      <c r="K28" s="478">
        <v>126381604.56640001</v>
      </c>
      <c r="L28" s="478"/>
      <c r="M28" s="478"/>
      <c r="N28" s="448">
        <f t="shared" si="1"/>
        <v>126381604.56640001</v>
      </c>
      <c r="O28" s="448"/>
      <c r="P28" s="448">
        <f t="shared" si="2"/>
        <v>126381604.56640001</v>
      </c>
    </row>
    <row r="29" spans="1:16">
      <c r="A29" s="474">
        <f t="shared" si="3"/>
        <v>8</v>
      </c>
      <c r="B29" s="425" t="s">
        <v>79</v>
      </c>
      <c r="C29" s="475">
        <v>537951.94999999995</v>
      </c>
      <c r="D29" s="476"/>
      <c r="E29" s="477">
        <f t="shared" si="0"/>
        <v>537951.94999999995</v>
      </c>
      <c r="F29" s="478"/>
      <c r="G29" s="478"/>
      <c r="H29" s="478"/>
      <c r="I29" s="478"/>
      <c r="J29" s="478">
        <v>537951.94999999995</v>
      </c>
      <c r="K29" s="475"/>
      <c r="L29" s="478"/>
      <c r="M29" s="478"/>
      <c r="N29" s="448">
        <f t="shared" si="1"/>
        <v>403463.96249999997</v>
      </c>
      <c r="O29" s="448"/>
      <c r="P29" s="448">
        <f t="shared" si="2"/>
        <v>403463.96249999997</v>
      </c>
    </row>
    <row r="30" spans="1:16" ht="30">
      <c r="A30" s="474">
        <f t="shared" si="3"/>
        <v>9</v>
      </c>
      <c r="B30" s="425" t="s">
        <v>80</v>
      </c>
      <c r="C30" s="479"/>
      <c r="D30" s="476"/>
      <c r="E30" s="477">
        <f t="shared" si="0"/>
        <v>0</v>
      </c>
      <c r="F30" s="479"/>
      <c r="G30" s="479"/>
      <c r="H30" s="479"/>
      <c r="I30" s="479"/>
      <c r="J30" s="479"/>
      <c r="K30" s="479"/>
      <c r="L30" s="478"/>
      <c r="M30" s="478"/>
      <c r="N30" s="448">
        <f t="shared" si="1"/>
        <v>0</v>
      </c>
      <c r="O30" s="448"/>
      <c r="P30" s="448">
        <f t="shared" si="2"/>
        <v>0</v>
      </c>
    </row>
    <row r="31" spans="1:16">
      <c r="A31" s="474">
        <f t="shared" si="3"/>
        <v>10</v>
      </c>
      <c r="B31" s="425" t="s">
        <v>72</v>
      </c>
      <c r="C31" s="478"/>
      <c r="D31" s="476"/>
      <c r="E31" s="477">
        <f t="shared" si="0"/>
        <v>0</v>
      </c>
      <c r="F31" s="478"/>
      <c r="G31" s="478"/>
      <c r="H31" s="478"/>
      <c r="I31" s="478"/>
      <c r="J31" s="478"/>
      <c r="K31" s="478"/>
      <c r="L31" s="478"/>
      <c r="M31" s="478"/>
      <c r="N31" s="448">
        <f t="shared" si="1"/>
        <v>0</v>
      </c>
      <c r="O31" s="448"/>
      <c r="P31" s="448">
        <f t="shared" si="2"/>
        <v>0</v>
      </c>
    </row>
    <row r="32" spans="1:16">
      <c r="A32" s="474">
        <f t="shared" si="3"/>
        <v>11</v>
      </c>
      <c r="B32" s="425" t="s">
        <v>73</v>
      </c>
      <c r="C32" s="478"/>
      <c r="D32" s="476"/>
      <c r="E32" s="477">
        <f t="shared" si="0"/>
        <v>0</v>
      </c>
      <c r="F32" s="478"/>
      <c r="G32" s="478"/>
      <c r="H32" s="478"/>
      <c r="I32" s="478"/>
      <c r="J32" s="478"/>
      <c r="K32" s="478"/>
      <c r="L32" s="478"/>
      <c r="M32" s="478"/>
      <c r="N32" s="448">
        <f t="shared" si="1"/>
        <v>0</v>
      </c>
      <c r="O32" s="448"/>
      <c r="P32" s="448">
        <f t="shared" si="2"/>
        <v>0</v>
      </c>
    </row>
    <row r="33" spans="1:16">
      <c r="A33" s="474">
        <f t="shared" si="3"/>
        <v>12</v>
      </c>
      <c r="B33" s="425" t="s">
        <v>74</v>
      </c>
      <c r="C33" s="479"/>
      <c r="D33" s="476"/>
      <c r="E33" s="477">
        <f t="shared" si="0"/>
        <v>0</v>
      </c>
      <c r="F33" s="479"/>
      <c r="G33" s="479"/>
      <c r="H33" s="479"/>
      <c r="I33" s="479"/>
      <c r="J33" s="479"/>
      <c r="K33" s="479"/>
      <c r="L33" s="478"/>
      <c r="M33" s="478"/>
      <c r="N33" s="448">
        <f t="shared" si="1"/>
        <v>0</v>
      </c>
      <c r="O33" s="448"/>
      <c r="P33" s="448">
        <f t="shared" si="2"/>
        <v>0</v>
      </c>
    </row>
    <row r="34" spans="1:16" s="483" customFormat="1">
      <c r="A34" s="480">
        <f t="shared" si="3"/>
        <v>13</v>
      </c>
      <c r="B34" s="426" t="s">
        <v>75</v>
      </c>
      <c r="C34" s="481"/>
      <c r="D34" s="482"/>
      <c r="E34" s="477">
        <f t="shared" si="0"/>
        <v>0</v>
      </c>
      <c r="F34" s="481"/>
      <c r="G34" s="481"/>
      <c r="H34" s="481"/>
      <c r="I34" s="481"/>
      <c r="J34" s="481"/>
      <c r="K34" s="481"/>
      <c r="L34" s="481"/>
      <c r="M34" s="481"/>
      <c r="N34" s="481">
        <f t="shared" si="1"/>
        <v>0</v>
      </c>
      <c r="O34" s="481"/>
      <c r="P34" s="481">
        <f t="shared" si="2"/>
        <v>0</v>
      </c>
    </row>
    <row r="35" spans="1:16">
      <c r="A35" s="474">
        <f t="shared" si="3"/>
        <v>14</v>
      </c>
      <c r="B35" s="425" t="s">
        <v>430</v>
      </c>
      <c r="C35" s="448">
        <f t="shared" ref="C35:N35" si="4">SUM(C36:C43)</f>
        <v>4981438.0695000002</v>
      </c>
      <c r="D35" s="448">
        <f t="shared" si="4"/>
        <v>2092398.32</v>
      </c>
      <c r="E35" s="477">
        <f t="shared" si="4"/>
        <v>2889039.7494999999</v>
      </c>
      <c r="F35" s="448">
        <f t="shared" si="4"/>
        <v>631939.53760000004</v>
      </c>
      <c r="G35" s="448">
        <f t="shared" si="4"/>
        <v>0</v>
      </c>
      <c r="H35" s="448">
        <f t="shared" si="4"/>
        <v>0</v>
      </c>
      <c r="I35" s="448">
        <f t="shared" si="4"/>
        <v>0</v>
      </c>
      <c r="J35" s="448">
        <f t="shared" si="4"/>
        <v>0</v>
      </c>
      <c r="K35" s="448">
        <f t="shared" si="4"/>
        <v>2257100.2119</v>
      </c>
      <c r="L35" s="448">
        <f t="shared" si="4"/>
        <v>0</v>
      </c>
      <c r="M35" s="448">
        <f t="shared" si="4"/>
        <v>0</v>
      </c>
      <c r="N35" s="477">
        <f t="shared" si="4"/>
        <v>2257100.2119</v>
      </c>
      <c r="O35" s="448"/>
      <c r="P35" s="477">
        <f>SUM(P36:P43)</f>
        <v>2257100.2119</v>
      </c>
    </row>
    <row r="36" spans="1:16">
      <c r="A36" s="474">
        <v>14.1</v>
      </c>
      <c r="B36" s="484" t="s">
        <v>431</v>
      </c>
      <c r="C36" s="478">
        <v>3057874.19</v>
      </c>
      <c r="D36" s="485">
        <v>2092398.32</v>
      </c>
      <c r="E36" s="477">
        <f t="shared" ref="E36:E43" si="5">SUM(F36:M36)</f>
        <v>965475.87</v>
      </c>
      <c r="F36" s="478"/>
      <c r="G36" s="478"/>
      <c r="H36" s="478"/>
      <c r="I36" s="478"/>
      <c r="J36" s="478"/>
      <c r="K36" s="478">
        <v>965475.87</v>
      </c>
      <c r="L36" s="478"/>
      <c r="M36" s="478"/>
      <c r="N36" s="448">
        <f t="shared" ref="N36:N43" si="6">SUMPRODUCT($F$21:$M$21,F36:M36)</f>
        <v>965475.87</v>
      </c>
      <c r="O36" s="448"/>
      <c r="P36" s="448">
        <f t="shared" ref="P36:P43" si="7">N36-O36</f>
        <v>965475.87</v>
      </c>
    </row>
    <row r="37" spans="1:16">
      <c r="A37" s="474">
        <v>14.2</v>
      </c>
      <c r="B37" s="484" t="s">
        <v>432</v>
      </c>
      <c r="C37" s="478">
        <v>631939.53760000004</v>
      </c>
      <c r="D37" s="476"/>
      <c r="E37" s="477">
        <f t="shared" si="5"/>
        <v>631939.53760000004</v>
      </c>
      <c r="F37" s="478">
        <v>631939.53760000004</v>
      </c>
      <c r="G37" s="478"/>
      <c r="H37" s="478"/>
      <c r="I37" s="478"/>
      <c r="J37" s="478"/>
      <c r="K37" s="478"/>
      <c r="L37" s="478"/>
      <c r="M37" s="478"/>
      <c r="N37" s="448">
        <f t="shared" si="6"/>
        <v>0</v>
      </c>
      <c r="O37" s="448"/>
      <c r="P37" s="448">
        <f t="shared" si="7"/>
        <v>0</v>
      </c>
    </row>
    <row r="38" spans="1:16">
      <c r="A38" s="474">
        <v>14.3</v>
      </c>
      <c r="B38" s="484" t="s">
        <v>433</v>
      </c>
      <c r="C38" s="478"/>
      <c r="D38" s="476"/>
      <c r="E38" s="477">
        <f t="shared" si="5"/>
        <v>0</v>
      </c>
      <c r="F38" s="478"/>
      <c r="G38" s="478"/>
      <c r="H38" s="478"/>
      <c r="I38" s="478"/>
      <c r="J38" s="478"/>
      <c r="K38" s="478"/>
      <c r="L38" s="478"/>
      <c r="M38" s="478"/>
      <c r="N38" s="448">
        <f t="shared" si="6"/>
        <v>0</v>
      </c>
      <c r="O38" s="448"/>
      <c r="P38" s="448">
        <f t="shared" si="7"/>
        <v>0</v>
      </c>
    </row>
    <row r="39" spans="1:16" ht="60">
      <c r="A39" s="474">
        <v>14.4</v>
      </c>
      <c r="B39" s="484" t="s">
        <v>434</v>
      </c>
      <c r="C39" s="478"/>
      <c r="D39" s="476"/>
      <c r="E39" s="477">
        <f t="shared" si="5"/>
        <v>0</v>
      </c>
      <c r="F39" s="478"/>
      <c r="G39" s="478"/>
      <c r="H39" s="478"/>
      <c r="I39" s="478"/>
      <c r="J39" s="478"/>
      <c r="K39" s="478"/>
      <c r="L39" s="478"/>
      <c r="M39" s="478"/>
      <c r="N39" s="448">
        <f t="shared" si="6"/>
        <v>0</v>
      </c>
      <c r="O39" s="448"/>
      <c r="P39" s="448">
        <f t="shared" si="7"/>
        <v>0</v>
      </c>
    </row>
    <row r="40" spans="1:16" s="483" customFormat="1" ht="75">
      <c r="A40" s="480">
        <v>14.5</v>
      </c>
      <c r="B40" s="486" t="s">
        <v>435</v>
      </c>
      <c r="C40" s="481"/>
      <c r="D40" s="482"/>
      <c r="E40" s="477">
        <f t="shared" si="5"/>
        <v>0</v>
      </c>
      <c r="F40" s="481"/>
      <c r="G40" s="481"/>
      <c r="H40" s="481"/>
      <c r="I40" s="481"/>
      <c r="J40" s="481"/>
      <c r="K40" s="481"/>
      <c r="L40" s="481"/>
      <c r="M40" s="481"/>
      <c r="N40" s="481">
        <f t="shared" si="6"/>
        <v>0</v>
      </c>
      <c r="O40" s="481"/>
      <c r="P40" s="481">
        <f t="shared" si="7"/>
        <v>0</v>
      </c>
    </row>
    <row r="41" spans="1:16" ht="45">
      <c r="A41" s="474">
        <v>14.6</v>
      </c>
      <c r="B41" s="484" t="s">
        <v>436</v>
      </c>
      <c r="C41" s="478"/>
      <c r="D41" s="476"/>
      <c r="E41" s="477">
        <f t="shared" si="5"/>
        <v>0</v>
      </c>
      <c r="F41" s="478"/>
      <c r="G41" s="478"/>
      <c r="H41" s="478"/>
      <c r="I41" s="478"/>
      <c r="J41" s="478"/>
      <c r="K41" s="478"/>
      <c r="L41" s="478"/>
      <c r="M41" s="478"/>
      <c r="N41" s="448">
        <f t="shared" si="6"/>
        <v>0</v>
      </c>
      <c r="O41" s="448"/>
      <c r="P41" s="448">
        <f t="shared" si="7"/>
        <v>0</v>
      </c>
    </row>
    <row r="42" spans="1:16">
      <c r="A42" s="474">
        <v>14.7</v>
      </c>
      <c r="B42" s="484" t="s">
        <v>437</v>
      </c>
      <c r="C42" s="478"/>
      <c r="D42" s="476"/>
      <c r="E42" s="477">
        <f t="shared" si="5"/>
        <v>0</v>
      </c>
      <c r="F42" s="478"/>
      <c r="G42" s="478"/>
      <c r="H42" s="478"/>
      <c r="I42" s="478"/>
      <c r="J42" s="478"/>
      <c r="K42" s="478"/>
      <c r="L42" s="478"/>
      <c r="M42" s="478"/>
      <c r="N42" s="448">
        <f t="shared" si="6"/>
        <v>0</v>
      </c>
      <c r="O42" s="448"/>
      <c r="P42" s="448">
        <f t="shared" si="7"/>
        <v>0</v>
      </c>
    </row>
    <row r="43" spans="1:16">
      <c r="A43" s="474">
        <v>14.8</v>
      </c>
      <c r="B43" s="484" t="s">
        <v>173</v>
      </c>
      <c r="C43" s="487">
        <v>1291624.3419000001</v>
      </c>
      <c r="D43" s="476"/>
      <c r="E43" s="477">
        <f t="shared" si="5"/>
        <v>1291624.3419000001</v>
      </c>
      <c r="F43" s="478"/>
      <c r="G43" s="478"/>
      <c r="H43" s="478"/>
      <c r="I43" s="478"/>
      <c r="J43" s="478"/>
      <c r="K43" s="487">
        <v>1291624.3419000001</v>
      </c>
      <c r="L43" s="478"/>
      <c r="M43" s="478"/>
      <c r="N43" s="448">
        <f t="shared" si="6"/>
        <v>1291624.3419000001</v>
      </c>
      <c r="O43" s="448"/>
      <c r="P43" s="448">
        <f t="shared" si="7"/>
        <v>1291624.3419000001</v>
      </c>
    </row>
    <row r="44" spans="1:16">
      <c r="A44" s="428"/>
      <c r="B44" s="488" t="s">
        <v>71</v>
      </c>
      <c r="C44" s="489">
        <f t="shared" ref="C44:P44" si="8">SUM(C22:C35)</f>
        <v>248465611.66529998</v>
      </c>
      <c r="D44" s="489">
        <f t="shared" si="8"/>
        <v>2092398.32</v>
      </c>
      <c r="E44" s="490">
        <f t="shared" si="8"/>
        <v>246373213.34529999</v>
      </c>
      <c r="F44" s="489">
        <f t="shared" si="8"/>
        <v>8166330.2776000006</v>
      </c>
      <c r="G44" s="489">
        <f t="shared" si="8"/>
        <v>0</v>
      </c>
      <c r="H44" s="489">
        <f t="shared" si="8"/>
        <v>0</v>
      </c>
      <c r="I44" s="489">
        <f t="shared" si="8"/>
        <v>23249925.479899999</v>
      </c>
      <c r="J44" s="489">
        <f t="shared" si="8"/>
        <v>537951.94999999995</v>
      </c>
      <c r="K44" s="489">
        <f t="shared" si="8"/>
        <v>214419005.63779998</v>
      </c>
      <c r="L44" s="489">
        <f t="shared" si="8"/>
        <v>0</v>
      </c>
      <c r="M44" s="489">
        <f t="shared" si="8"/>
        <v>0</v>
      </c>
      <c r="N44" s="490">
        <f t="shared" si="8"/>
        <v>226447432.34024999</v>
      </c>
      <c r="O44" s="490">
        <f t="shared" si="8"/>
        <v>0</v>
      </c>
      <c r="P44" s="490">
        <f t="shared" si="8"/>
        <v>226447432.34024999</v>
      </c>
    </row>
    <row r="45" spans="1:16">
      <c r="B45" s="491"/>
    </row>
    <row r="46" spans="1:16">
      <c r="C46" s="469"/>
    </row>
    <row r="47" spans="1:16">
      <c r="A47" s="493" t="s">
        <v>438</v>
      </c>
      <c r="B47" s="494"/>
      <c r="C47" s="469"/>
    </row>
    <row r="48" spans="1:16" ht="75">
      <c r="A48" s="441"/>
      <c r="B48" s="471"/>
      <c r="C48" s="443" t="s">
        <v>439</v>
      </c>
      <c r="D48" s="443" t="s">
        <v>83</v>
      </c>
      <c r="E48" s="472" t="s">
        <v>428</v>
      </c>
      <c r="F48" s="473">
        <v>0</v>
      </c>
      <c r="G48" s="473">
        <v>0.2</v>
      </c>
      <c r="H48" s="473">
        <v>0.35</v>
      </c>
      <c r="I48" s="473">
        <v>0.5</v>
      </c>
      <c r="J48" s="473">
        <v>0.75</v>
      </c>
      <c r="K48" s="473">
        <v>1</v>
      </c>
      <c r="L48" s="473">
        <v>1.5</v>
      </c>
      <c r="M48" s="473">
        <v>2.5</v>
      </c>
      <c r="N48" s="443" t="s">
        <v>440</v>
      </c>
      <c r="O48" s="443" t="s">
        <v>261</v>
      </c>
      <c r="P48" s="443" t="s">
        <v>441</v>
      </c>
    </row>
    <row r="49" spans="1:16">
      <c r="A49" s="444">
        <v>1</v>
      </c>
      <c r="B49" s="495" t="s">
        <v>442</v>
      </c>
      <c r="C49" s="471"/>
      <c r="D49" s="471"/>
      <c r="E49" s="496"/>
      <c r="F49" s="471"/>
      <c r="G49" s="471"/>
      <c r="H49" s="471"/>
      <c r="I49" s="471"/>
      <c r="J49" s="471"/>
      <c r="K49" s="471"/>
      <c r="L49" s="471"/>
      <c r="M49" s="471"/>
      <c r="N49" s="471"/>
      <c r="O49" s="471"/>
      <c r="P49" s="471"/>
    </row>
    <row r="50" spans="1:16">
      <c r="A50" s="444">
        <v>1.1000000000000001</v>
      </c>
      <c r="B50" s="425" t="s">
        <v>443</v>
      </c>
      <c r="C50" s="478">
        <v>11737944.83</v>
      </c>
      <c r="D50" s="497">
        <v>1</v>
      </c>
      <c r="E50" s="477">
        <f t="shared" ref="E50:E59" si="9">SUM(F50:M50)</f>
        <v>11737944.83</v>
      </c>
      <c r="F50" s="478"/>
      <c r="G50" s="478"/>
      <c r="H50" s="478"/>
      <c r="I50" s="478"/>
      <c r="J50" s="478"/>
      <c r="K50" s="478">
        <v>11737944.83</v>
      </c>
      <c r="L50" s="478"/>
      <c r="M50" s="478"/>
      <c r="N50" s="448">
        <f t="shared" ref="N50:N59" si="10">SUMPRODUCT($F$48:$M$48,F50:M50)</f>
        <v>11737944.83</v>
      </c>
      <c r="O50" s="448"/>
      <c r="P50" s="448">
        <f t="shared" ref="P50:P59" si="11">N50-O50</f>
        <v>11737944.83</v>
      </c>
    </row>
    <row r="51" spans="1:16">
      <c r="A51" s="444">
        <v>1.2</v>
      </c>
      <c r="B51" s="425" t="s">
        <v>444</v>
      </c>
      <c r="C51" s="478"/>
      <c r="D51" s="497">
        <v>1</v>
      </c>
      <c r="E51" s="477">
        <f t="shared" si="9"/>
        <v>0</v>
      </c>
      <c r="F51" s="478"/>
      <c r="G51" s="478"/>
      <c r="H51" s="478"/>
      <c r="I51" s="478"/>
      <c r="J51" s="478"/>
      <c r="K51" s="478"/>
      <c r="L51" s="478"/>
      <c r="M51" s="478"/>
      <c r="N51" s="448">
        <f t="shared" si="10"/>
        <v>0</v>
      </c>
      <c r="O51" s="448"/>
      <c r="P51" s="448">
        <f t="shared" si="11"/>
        <v>0</v>
      </c>
    </row>
    <row r="52" spans="1:16">
      <c r="A52" s="444">
        <v>1.3</v>
      </c>
      <c r="B52" s="425" t="s">
        <v>445</v>
      </c>
      <c r="C52" s="478"/>
      <c r="D52" s="497">
        <v>1</v>
      </c>
      <c r="E52" s="477">
        <f t="shared" si="9"/>
        <v>0</v>
      </c>
      <c r="F52" s="478"/>
      <c r="G52" s="478"/>
      <c r="H52" s="478"/>
      <c r="I52" s="478"/>
      <c r="J52" s="478"/>
      <c r="K52" s="478"/>
      <c r="L52" s="478"/>
      <c r="M52" s="478"/>
      <c r="N52" s="448">
        <f t="shared" si="10"/>
        <v>0</v>
      </c>
      <c r="O52" s="448"/>
      <c r="P52" s="448">
        <f t="shared" si="11"/>
        <v>0</v>
      </c>
    </row>
    <row r="53" spans="1:16" ht="30">
      <c r="A53" s="444">
        <v>1.4</v>
      </c>
      <c r="B53" s="425" t="s">
        <v>446</v>
      </c>
      <c r="C53" s="478"/>
      <c r="D53" s="497">
        <v>1</v>
      </c>
      <c r="E53" s="477">
        <f t="shared" si="9"/>
        <v>0</v>
      </c>
      <c r="F53" s="478"/>
      <c r="G53" s="478"/>
      <c r="H53" s="478"/>
      <c r="I53" s="478"/>
      <c r="J53" s="478"/>
      <c r="K53" s="478"/>
      <c r="L53" s="478"/>
      <c r="M53" s="478"/>
      <c r="N53" s="448">
        <f t="shared" si="10"/>
        <v>0</v>
      </c>
      <c r="O53" s="448"/>
      <c r="P53" s="448">
        <f t="shared" si="11"/>
        <v>0</v>
      </c>
    </row>
    <row r="54" spans="1:16">
      <c r="A54" s="444">
        <v>1.5</v>
      </c>
      <c r="B54" s="425" t="s">
        <v>447</v>
      </c>
      <c r="C54" s="478"/>
      <c r="D54" s="497">
        <v>1</v>
      </c>
      <c r="E54" s="477">
        <f t="shared" si="9"/>
        <v>0</v>
      </c>
      <c r="F54" s="478"/>
      <c r="G54" s="478"/>
      <c r="H54" s="478"/>
      <c r="I54" s="478"/>
      <c r="J54" s="478"/>
      <c r="K54" s="478"/>
      <c r="L54" s="478"/>
      <c r="M54" s="478"/>
      <c r="N54" s="448">
        <f t="shared" si="10"/>
        <v>0</v>
      </c>
      <c r="O54" s="448"/>
      <c r="P54" s="448">
        <f t="shared" si="11"/>
        <v>0</v>
      </c>
    </row>
    <row r="55" spans="1:16">
      <c r="A55" s="444">
        <v>1.6</v>
      </c>
      <c r="B55" s="425" t="s">
        <v>448</v>
      </c>
      <c r="C55" s="478"/>
      <c r="D55" s="497">
        <v>1</v>
      </c>
      <c r="E55" s="477">
        <f t="shared" si="9"/>
        <v>0</v>
      </c>
      <c r="F55" s="478"/>
      <c r="G55" s="478"/>
      <c r="H55" s="478"/>
      <c r="I55" s="478"/>
      <c r="J55" s="478"/>
      <c r="K55" s="478"/>
      <c r="L55" s="478"/>
      <c r="M55" s="478"/>
      <c r="N55" s="448">
        <f t="shared" si="10"/>
        <v>0</v>
      </c>
      <c r="O55" s="448"/>
      <c r="P55" s="448">
        <f t="shared" si="11"/>
        <v>0</v>
      </c>
    </row>
    <row r="56" spans="1:16">
      <c r="A56" s="444">
        <v>1.7</v>
      </c>
      <c r="B56" s="425" t="s">
        <v>449</v>
      </c>
      <c r="C56" s="478"/>
      <c r="D56" s="497">
        <v>1</v>
      </c>
      <c r="E56" s="477">
        <f t="shared" si="9"/>
        <v>0</v>
      </c>
      <c r="F56" s="478"/>
      <c r="G56" s="478"/>
      <c r="H56" s="478"/>
      <c r="I56" s="478"/>
      <c r="J56" s="478"/>
      <c r="K56" s="478"/>
      <c r="L56" s="478"/>
      <c r="M56" s="478"/>
      <c r="N56" s="448">
        <f t="shared" si="10"/>
        <v>0</v>
      </c>
      <c r="O56" s="448"/>
      <c r="P56" s="448">
        <f t="shared" si="11"/>
        <v>0</v>
      </c>
    </row>
    <row r="57" spans="1:16" ht="30">
      <c r="A57" s="444">
        <v>1.8</v>
      </c>
      <c r="B57" s="425" t="s">
        <v>450</v>
      </c>
      <c r="C57" s="478"/>
      <c r="D57" s="497">
        <v>1</v>
      </c>
      <c r="E57" s="477">
        <f t="shared" si="9"/>
        <v>0</v>
      </c>
      <c r="F57" s="478"/>
      <c r="G57" s="478"/>
      <c r="H57" s="478"/>
      <c r="I57" s="478"/>
      <c r="J57" s="478"/>
      <c r="K57" s="478"/>
      <c r="L57" s="478"/>
      <c r="M57" s="478"/>
      <c r="N57" s="448">
        <f t="shared" si="10"/>
        <v>0</v>
      </c>
      <c r="O57" s="448"/>
      <c r="P57" s="448">
        <f t="shared" si="11"/>
        <v>0</v>
      </c>
    </row>
    <row r="58" spans="1:16">
      <c r="A58" s="444">
        <v>1.9</v>
      </c>
      <c r="B58" s="425" t="s">
        <v>451</v>
      </c>
      <c r="C58" s="478"/>
      <c r="D58" s="497">
        <v>1</v>
      </c>
      <c r="E58" s="477">
        <f t="shared" si="9"/>
        <v>0</v>
      </c>
      <c r="F58" s="478"/>
      <c r="G58" s="478"/>
      <c r="H58" s="478"/>
      <c r="I58" s="478"/>
      <c r="J58" s="478"/>
      <c r="K58" s="478"/>
      <c r="L58" s="478"/>
      <c r="M58" s="478"/>
      <c r="N58" s="448">
        <f t="shared" si="10"/>
        <v>0</v>
      </c>
      <c r="O58" s="448"/>
      <c r="P58" s="448">
        <f t="shared" si="11"/>
        <v>0</v>
      </c>
    </row>
    <row r="59" spans="1:16" ht="30">
      <c r="A59" s="498">
        <v>1.1000000000000001</v>
      </c>
      <c r="B59" s="425" t="s">
        <v>452</v>
      </c>
      <c r="C59" s="478"/>
      <c r="D59" s="497">
        <v>1</v>
      </c>
      <c r="E59" s="477">
        <f t="shared" si="9"/>
        <v>0</v>
      </c>
      <c r="F59" s="478"/>
      <c r="G59" s="478"/>
      <c r="H59" s="478"/>
      <c r="I59" s="478"/>
      <c r="J59" s="478"/>
      <c r="K59" s="478"/>
      <c r="L59" s="478"/>
      <c r="M59" s="478"/>
      <c r="N59" s="448">
        <f t="shared" si="10"/>
        <v>0</v>
      </c>
      <c r="O59" s="448"/>
      <c r="P59" s="448">
        <f t="shared" si="11"/>
        <v>0</v>
      </c>
    </row>
    <row r="60" spans="1:16">
      <c r="A60" s="444">
        <v>2</v>
      </c>
      <c r="B60" s="499" t="s">
        <v>453</v>
      </c>
      <c r="C60" s="478"/>
      <c r="D60" s="471"/>
      <c r="E60" s="496"/>
      <c r="F60" s="478"/>
      <c r="G60" s="478"/>
      <c r="H60" s="478"/>
      <c r="I60" s="478"/>
      <c r="J60" s="478"/>
      <c r="K60" s="478"/>
      <c r="L60" s="478"/>
      <c r="M60" s="478"/>
      <c r="N60" s="481"/>
      <c r="O60" s="478"/>
      <c r="P60" s="481"/>
    </row>
    <row r="61" spans="1:16">
      <c r="A61" s="444">
        <v>2.1</v>
      </c>
      <c r="B61" s="425" t="s">
        <v>454</v>
      </c>
      <c r="C61" s="478"/>
      <c r="D61" s="497">
        <v>0.5</v>
      </c>
      <c r="E61" s="477">
        <f>SUM(F61:M61)</f>
        <v>0</v>
      </c>
      <c r="F61" s="478"/>
      <c r="G61" s="478"/>
      <c r="H61" s="478"/>
      <c r="I61" s="478"/>
      <c r="J61" s="478"/>
      <c r="K61" s="478"/>
      <c r="L61" s="478"/>
      <c r="M61" s="478"/>
      <c r="N61" s="448">
        <f>SUMPRODUCT($F$48:$M$48,F61:M61)</f>
        <v>0</v>
      </c>
      <c r="O61" s="448"/>
      <c r="P61" s="448">
        <f>N61-O61</f>
        <v>0</v>
      </c>
    </row>
    <row r="62" spans="1:16" ht="45">
      <c r="A62" s="444">
        <v>2.2000000000000002</v>
      </c>
      <c r="B62" s="425" t="s">
        <v>455</v>
      </c>
      <c r="C62" s="478">
        <v>3095155.03</v>
      </c>
      <c r="D62" s="497">
        <v>0.5</v>
      </c>
      <c r="E62" s="477">
        <f>SUM(F62:M62)</f>
        <v>1547577.5149999999</v>
      </c>
      <c r="F62" s="478"/>
      <c r="G62" s="478"/>
      <c r="H62" s="478"/>
      <c r="I62" s="478"/>
      <c r="J62" s="478"/>
      <c r="K62" s="478">
        <v>1547577.5149999999</v>
      </c>
      <c r="L62" s="478"/>
      <c r="M62" s="478"/>
      <c r="N62" s="448">
        <f>SUMPRODUCT($F$48:$M$48,F62:M62)</f>
        <v>1547577.5149999999</v>
      </c>
      <c r="O62" s="448"/>
      <c r="P62" s="448">
        <f>N62-O62</f>
        <v>1547577.5149999999</v>
      </c>
    </row>
    <row r="63" spans="1:16" ht="30">
      <c r="A63" s="444">
        <v>2.2999999999999998</v>
      </c>
      <c r="B63" s="425" t="s">
        <v>456</v>
      </c>
      <c r="C63" s="478">
        <v>1372104</v>
      </c>
      <c r="D63" s="497">
        <v>0.5</v>
      </c>
      <c r="E63" s="477">
        <f>SUM(F63:M63)</f>
        <v>686052</v>
      </c>
      <c r="F63" s="478"/>
      <c r="G63" s="478"/>
      <c r="H63" s="478"/>
      <c r="I63" s="478"/>
      <c r="J63" s="478"/>
      <c r="K63" s="478">
        <v>686052</v>
      </c>
      <c r="L63" s="478"/>
      <c r="M63" s="478"/>
      <c r="N63" s="448">
        <f>SUMPRODUCT($F$48:$M$48,F63:M63)</f>
        <v>686052</v>
      </c>
      <c r="O63" s="448"/>
      <c r="P63" s="448">
        <f>N63-O63</f>
        <v>686052</v>
      </c>
    </row>
    <row r="64" spans="1:16" ht="45">
      <c r="A64" s="444">
        <v>2.4</v>
      </c>
      <c r="B64" s="425" t="s">
        <v>457</v>
      </c>
      <c r="C64" s="500"/>
      <c r="D64" s="497">
        <v>0.5</v>
      </c>
      <c r="E64" s="477">
        <f>SUM(F64:M64)</f>
        <v>0</v>
      </c>
      <c r="F64" s="478"/>
      <c r="G64" s="478"/>
      <c r="H64" s="478"/>
      <c r="I64" s="501"/>
      <c r="J64" s="478"/>
      <c r="K64" s="478"/>
      <c r="L64" s="478"/>
      <c r="M64" s="478"/>
      <c r="N64" s="448">
        <f>SUMPRODUCT($F$48:$M$48,F64:M64)</f>
        <v>0</v>
      </c>
      <c r="O64" s="448"/>
      <c r="P64" s="448">
        <f>N64-O64</f>
        <v>0</v>
      </c>
    </row>
    <row r="65" spans="1:16" ht="30">
      <c r="A65" s="444">
        <v>2.5</v>
      </c>
      <c r="B65" s="425" t="s">
        <v>458</v>
      </c>
      <c r="C65" s="478"/>
      <c r="D65" s="497">
        <v>0.5</v>
      </c>
      <c r="E65" s="477">
        <f>SUM(F65:M65)</f>
        <v>0</v>
      </c>
      <c r="F65" s="478"/>
      <c r="G65" s="478"/>
      <c r="H65" s="478"/>
      <c r="I65" s="478"/>
      <c r="J65" s="478"/>
      <c r="K65" s="478"/>
      <c r="L65" s="478"/>
      <c r="M65" s="478"/>
      <c r="N65" s="448">
        <f>SUMPRODUCT($F$48:$M$48,F65:M65)</f>
        <v>0</v>
      </c>
      <c r="O65" s="448"/>
      <c r="P65" s="448">
        <f>N65-O65</f>
        <v>0</v>
      </c>
    </row>
    <row r="66" spans="1:16">
      <c r="A66" s="444">
        <v>3</v>
      </c>
      <c r="B66" s="499" t="s">
        <v>459</v>
      </c>
      <c r="C66" s="478"/>
      <c r="D66" s="471"/>
      <c r="E66" s="502"/>
      <c r="F66" s="478"/>
      <c r="G66" s="478"/>
      <c r="H66" s="478"/>
      <c r="I66" s="478"/>
      <c r="J66" s="478"/>
      <c r="K66" s="478"/>
      <c r="L66" s="478"/>
      <c r="M66" s="478"/>
      <c r="N66" s="481"/>
      <c r="O66" s="478"/>
      <c r="P66" s="481"/>
    </row>
    <row r="67" spans="1:16" ht="30">
      <c r="A67" s="444">
        <v>3.1</v>
      </c>
      <c r="B67" s="425" t="s">
        <v>460</v>
      </c>
      <c r="C67" s="478"/>
      <c r="D67" s="497">
        <v>0.2</v>
      </c>
      <c r="E67" s="477">
        <f>SUM(F67:M67)</f>
        <v>0</v>
      </c>
      <c r="F67" s="478"/>
      <c r="G67" s="478"/>
      <c r="H67" s="478"/>
      <c r="I67" s="478"/>
      <c r="J67" s="478"/>
      <c r="K67" s="478"/>
      <c r="L67" s="478"/>
      <c r="M67" s="478"/>
      <c r="N67" s="448">
        <f>SUMPRODUCT($F$48:$M$48,F67:M67)</f>
        <v>0</v>
      </c>
      <c r="O67" s="448"/>
      <c r="P67" s="448">
        <f>N67-O67</f>
        <v>0</v>
      </c>
    </row>
    <row r="68" spans="1:16" ht="90">
      <c r="A68" s="444">
        <v>3.2</v>
      </c>
      <c r="B68" s="425" t="s">
        <v>461</v>
      </c>
      <c r="C68" s="503">
        <v>935241.23</v>
      </c>
      <c r="D68" s="497">
        <v>0.2</v>
      </c>
      <c r="E68" s="477">
        <f>SUM(F68:M68)</f>
        <v>187048.24600000001</v>
      </c>
      <c r="F68" s="478"/>
      <c r="G68" s="478"/>
      <c r="H68" s="478"/>
      <c r="I68" s="478"/>
      <c r="J68" s="478"/>
      <c r="K68" s="478">
        <v>187048.24600000001</v>
      </c>
      <c r="L68" s="478"/>
      <c r="M68" s="478"/>
      <c r="N68" s="448">
        <f>SUMPRODUCT($F$48:$M$48,F68:M68)</f>
        <v>187048.24600000001</v>
      </c>
      <c r="O68" s="448"/>
      <c r="P68" s="448">
        <f>N68-O68</f>
        <v>187048.24600000001</v>
      </c>
    </row>
    <row r="69" spans="1:16" ht="30">
      <c r="A69" s="444">
        <v>3.3</v>
      </c>
      <c r="B69" s="425" t="s">
        <v>462</v>
      </c>
      <c r="C69" s="478"/>
      <c r="D69" s="497">
        <v>0.2</v>
      </c>
      <c r="E69" s="477">
        <f>SUM(F69:M69)</f>
        <v>0</v>
      </c>
      <c r="F69" s="478"/>
      <c r="G69" s="478"/>
      <c r="H69" s="478"/>
      <c r="I69" s="478"/>
      <c r="J69" s="478"/>
      <c r="K69" s="478"/>
      <c r="L69" s="478"/>
      <c r="M69" s="478"/>
      <c r="N69" s="448">
        <f>SUMPRODUCT($F$48:$M$48,F69:M69)</f>
        <v>0</v>
      </c>
      <c r="O69" s="448"/>
      <c r="P69" s="448">
        <f>N69-O69</f>
        <v>0</v>
      </c>
    </row>
    <row r="70" spans="1:16">
      <c r="A70" s="444">
        <v>4</v>
      </c>
      <c r="B70" s="499" t="s">
        <v>463</v>
      </c>
      <c r="C70" s="478"/>
      <c r="D70" s="471"/>
      <c r="E70" s="496"/>
      <c r="F70" s="471"/>
      <c r="G70" s="471"/>
      <c r="H70" s="471"/>
      <c r="I70" s="471"/>
      <c r="J70" s="471"/>
      <c r="K70" s="471"/>
      <c r="L70" s="471"/>
      <c r="M70" s="471"/>
      <c r="N70" s="504"/>
      <c r="O70" s="471"/>
      <c r="P70" s="504"/>
    </row>
    <row r="71" spans="1:16" ht="135">
      <c r="A71" s="444">
        <v>4.0999999999999996</v>
      </c>
      <c r="B71" s="425" t="s">
        <v>464</v>
      </c>
      <c r="C71" s="478"/>
      <c r="D71" s="497">
        <v>0</v>
      </c>
      <c r="E71" s="477">
        <f>SUM(F71:M71)</f>
        <v>0</v>
      </c>
      <c r="F71" s="471"/>
      <c r="G71" s="471"/>
      <c r="H71" s="471"/>
      <c r="I71" s="471"/>
      <c r="J71" s="471"/>
      <c r="K71" s="471"/>
      <c r="L71" s="471"/>
      <c r="M71" s="471"/>
      <c r="N71" s="448">
        <f>SUMPRODUCT($F$48:$M$48,F71:M71)</f>
        <v>0</v>
      </c>
      <c r="O71" s="448"/>
      <c r="P71" s="448">
        <f>N71-O71</f>
        <v>0</v>
      </c>
    </row>
    <row r="72" spans="1:16" ht="30">
      <c r="A72" s="444">
        <v>4.2</v>
      </c>
      <c r="B72" s="425" t="s">
        <v>465</v>
      </c>
      <c r="C72" s="471">
        <v>2451132</v>
      </c>
      <c r="D72" s="497">
        <v>0</v>
      </c>
      <c r="E72" s="477">
        <f>SUM(F72:M72)</f>
        <v>0</v>
      </c>
      <c r="F72" s="471"/>
      <c r="G72" s="471"/>
      <c r="H72" s="471"/>
      <c r="I72" s="471"/>
      <c r="J72" s="471"/>
      <c r="K72" s="471"/>
      <c r="L72" s="471"/>
      <c r="M72" s="471"/>
      <c r="N72" s="448">
        <f>SUMPRODUCT($F$48:$M$48,F72:M72)</f>
        <v>0</v>
      </c>
      <c r="O72" s="448"/>
      <c r="P72" s="448">
        <f>N72-O72</f>
        <v>0</v>
      </c>
    </row>
    <row r="73" spans="1:16">
      <c r="A73" s="428"/>
      <c r="B73" s="488" t="s">
        <v>71</v>
      </c>
      <c r="C73" s="490">
        <f>SUM(C50:C59)+SUM(C61:C65)+SUM(C67:C69)+SUM(C71:C72)</f>
        <v>19591577.09</v>
      </c>
      <c r="D73" s="490"/>
      <c r="E73" s="490">
        <f t="shared" ref="E73:P73" si="12">SUM(E50:E59)+SUM(E61:E65)+SUM(E67:E69)+SUM(E71:E72)</f>
        <v>14158622.590999998</v>
      </c>
      <c r="F73" s="490">
        <f t="shared" si="12"/>
        <v>0</v>
      </c>
      <c r="G73" s="490">
        <f t="shared" si="12"/>
        <v>0</v>
      </c>
      <c r="H73" s="490">
        <f t="shared" si="12"/>
        <v>0</v>
      </c>
      <c r="I73" s="490">
        <f t="shared" si="12"/>
        <v>0</v>
      </c>
      <c r="J73" s="490">
        <f t="shared" si="12"/>
        <v>0</v>
      </c>
      <c r="K73" s="490">
        <f t="shared" si="12"/>
        <v>14158622.590999998</v>
      </c>
      <c r="L73" s="490">
        <f t="shared" si="12"/>
        <v>0</v>
      </c>
      <c r="M73" s="490">
        <f t="shared" si="12"/>
        <v>0</v>
      </c>
      <c r="N73" s="490">
        <f t="shared" si="12"/>
        <v>14158622.590999998</v>
      </c>
      <c r="O73" s="490">
        <f t="shared" si="12"/>
        <v>0</v>
      </c>
      <c r="P73" s="490">
        <f t="shared" si="12"/>
        <v>14158622.590999998</v>
      </c>
    </row>
    <row r="74" spans="1:16">
      <c r="B74" s="491"/>
      <c r="C74" s="432"/>
    </row>
    <row r="75" spans="1:16">
      <c r="C75" s="432"/>
    </row>
    <row r="76" spans="1:16">
      <c r="A76" s="470" t="s">
        <v>466</v>
      </c>
      <c r="B76" s="505"/>
      <c r="C76" s="432"/>
    </row>
    <row r="77" spans="1:16" ht="60">
      <c r="A77" s="441"/>
      <c r="B77" s="471"/>
      <c r="C77" s="506" t="s">
        <v>467</v>
      </c>
      <c r="D77" s="443" t="s">
        <v>83</v>
      </c>
      <c r="E77" s="472" t="s">
        <v>428</v>
      </c>
      <c r="F77" s="473">
        <v>0</v>
      </c>
      <c r="G77" s="473">
        <v>0.2</v>
      </c>
      <c r="H77" s="473">
        <v>0.35</v>
      </c>
      <c r="I77" s="473">
        <v>0.5</v>
      </c>
      <c r="J77" s="473">
        <v>0.75</v>
      </c>
      <c r="K77" s="473">
        <v>1</v>
      </c>
      <c r="L77" s="473">
        <v>1.5</v>
      </c>
      <c r="M77" s="473">
        <v>2.5</v>
      </c>
      <c r="N77" s="443" t="s">
        <v>84</v>
      </c>
    </row>
    <row r="78" spans="1:16">
      <c r="A78" s="441">
        <v>1</v>
      </c>
      <c r="B78" s="427" t="s">
        <v>85</v>
      </c>
      <c r="C78" s="507">
        <f>SUM(C79:C84)</f>
        <v>0</v>
      </c>
      <c r="D78" s="471"/>
      <c r="E78" s="508">
        <f t="shared" ref="E78:N78" si="13">SUM(E79:E84)</f>
        <v>0</v>
      </c>
      <c r="F78" s="471">
        <f t="shared" si="13"/>
        <v>0</v>
      </c>
      <c r="G78" s="471">
        <f t="shared" si="13"/>
        <v>0</v>
      </c>
      <c r="H78" s="471">
        <f t="shared" si="13"/>
        <v>0</v>
      </c>
      <c r="I78" s="471">
        <f t="shared" si="13"/>
        <v>0</v>
      </c>
      <c r="J78" s="471">
        <f t="shared" si="13"/>
        <v>0</v>
      </c>
      <c r="K78" s="471">
        <f t="shared" si="13"/>
        <v>0</v>
      </c>
      <c r="L78" s="471">
        <f t="shared" si="13"/>
        <v>0</v>
      </c>
      <c r="M78" s="471">
        <f t="shared" si="13"/>
        <v>0</v>
      </c>
      <c r="N78" s="507">
        <f t="shared" si="13"/>
        <v>0</v>
      </c>
    </row>
    <row r="79" spans="1:16">
      <c r="A79" s="441">
        <v>1.1000000000000001</v>
      </c>
      <c r="B79" s="425" t="s">
        <v>86</v>
      </c>
      <c r="C79" s="478"/>
      <c r="D79" s="497">
        <v>0.02</v>
      </c>
      <c r="E79" s="508">
        <f>C79*D79</f>
        <v>0</v>
      </c>
      <c r="F79" s="471"/>
      <c r="G79" s="471"/>
      <c r="H79" s="471"/>
      <c r="I79" s="471"/>
      <c r="J79" s="471"/>
      <c r="K79" s="471"/>
      <c r="L79" s="471"/>
      <c r="M79" s="471"/>
      <c r="N79" s="507">
        <f t="shared" ref="N79:N84" si="14">SUMPRODUCT($F$48:$M$48,F79:M79)</f>
        <v>0</v>
      </c>
    </row>
    <row r="80" spans="1:16">
      <c r="A80" s="441">
        <v>1.2</v>
      </c>
      <c r="B80" s="425" t="s">
        <v>87</v>
      </c>
      <c r="C80" s="478"/>
      <c r="D80" s="497">
        <v>0.05</v>
      </c>
      <c r="E80" s="508">
        <f>C80*D80</f>
        <v>0</v>
      </c>
      <c r="F80" s="471"/>
      <c r="G80" s="471"/>
      <c r="H80" s="471"/>
      <c r="I80" s="471"/>
      <c r="J80" s="471"/>
      <c r="K80" s="471"/>
      <c r="L80" s="471"/>
      <c r="M80" s="471"/>
      <c r="N80" s="507">
        <f t="shared" si="14"/>
        <v>0</v>
      </c>
    </row>
    <row r="81" spans="1:14">
      <c r="A81" s="441">
        <v>1.3</v>
      </c>
      <c r="B81" s="425" t="s">
        <v>88</v>
      </c>
      <c r="C81" s="478"/>
      <c r="D81" s="497">
        <v>0.08</v>
      </c>
      <c r="E81" s="508">
        <f>C81*D81</f>
        <v>0</v>
      </c>
      <c r="F81" s="471"/>
      <c r="G81" s="471"/>
      <c r="H81" s="471"/>
      <c r="I81" s="471"/>
      <c r="J81" s="471"/>
      <c r="K81" s="471"/>
      <c r="L81" s="471"/>
      <c r="M81" s="471"/>
      <c r="N81" s="507">
        <f t="shared" si="14"/>
        <v>0</v>
      </c>
    </row>
    <row r="82" spans="1:14">
      <c r="A82" s="441">
        <v>1.4</v>
      </c>
      <c r="B82" s="425" t="s">
        <v>89</v>
      </c>
      <c r="C82" s="478"/>
      <c r="D82" s="497">
        <v>0.11</v>
      </c>
      <c r="E82" s="508">
        <f>C82*D82</f>
        <v>0</v>
      </c>
      <c r="F82" s="471"/>
      <c r="G82" s="471"/>
      <c r="H82" s="471"/>
      <c r="I82" s="471"/>
      <c r="J82" s="471"/>
      <c r="K82" s="471"/>
      <c r="L82" s="471"/>
      <c r="M82" s="471"/>
      <c r="N82" s="507">
        <f t="shared" si="14"/>
        <v>0</v>
      </c>
    </row>
    <row r="83" spans="1:14">
      <c r="A83" s="441">
        <v>1.5</v>
      </c>
      <c r="B83" s="425" t="s">
        <v>90</v>
      </c>
      <c r="C83" s="478"/>
      <c r="D83" s="497">
        <v>0.14000000000000001</v>
      </c>
      <c r="E83" s="508">
        <f>C83*D83</f>
        <v>0</v>
      </c>
      <c r="F83" s="471"/>
      <c r="G83" s="471"/>
      <c r="H83" s="471"/>
      <c r="I83" s="471"/>
      <c r="J83" s="471"/>
      <c r="K83" s="471"/>
      <c r="L83" s="471"/>
      <c r="M83" s="471"/>
      <c r="N83" s="507">
        <f t="shared" si="14"/>
        <v>0</v>
      </c>
    </row>
    <row r="84" spans="1:14">
      <c r="A84" s="441">
        <v>1.6</v>
      </c>
      <c r="B84" s="426" t="s">
        <v>91</v>
      </c>
      <c r="C84" s="478"/>
      <c r="D84" s="509"/>
      <c r="E84" s="510"/>
      <c r="F84" s="471"/>
      <c r="G84" s="471"/>
      <c r="H84" s="471"/>
      <c r="I84" s="471"/>
      <c r="J84" s="471"/>
      <c r="K84" s="471"/>
      <c r="L84" s="471"/>
      <c r="M84" s="471"/>
      <c r="N84" s="507">
        <f t="shared" si="14"/>
        <v>0</v>
      </c>
    </row>
    <row r="85" spans="1:14">
      <c r="A85" s="441">
        <v>2</v>
      </c>
      <c r="B85" s="511" t="s">
        <v>92</v>
      </c>
      <c r="C85" s="507">
        <f>SUM(C86:C91)</f>
        <v>0</v>
      </c>
      <c r="D85" s="471"/>
      <c r="E85" s="508">
        <f t="shared" ref="E85:N85" si="15">SUM(E86:E91)</f>
        <v>0</v>
      </c>
      <c r="F85" s="471">
        <f t="shared" si="15"/>
        <v>0</v>
      </c>
      <c r="G85" s="471">
        <f t="shared" si="15"/>
        <v>0</v>
      </c>
      <c r="H85" s="471">
        <f t="shared" si="15"/>
        <v>0</v>
      </c>
      <c r="I85" s="471">
        <f t="shared" si="15"/>
        <v>0</v>
      </c>
      <c r="J85" s="471">
        <f t="shared" si="15"/>
        <v>0</v>
      </c>
      <c r="K85" s="471">
        <f t="shared" si="15"/>
        <v>0</v>
      </c>
      <c r="L85" s="471">
        <f t="shared" si="15"/>
        <v>0</v>
      </c>
      <c r="M85" s="471">
        <f t="shared" si="15"/>
        <v>0</v>
      </c>
      <c r="N85" s="507">
        <f t="shared" si="15"/>
        <v>0</v>
      </c>
    </row>
    <row r="86" spans="1:14">
      <c r="A86" s="441">
        <v>2.1</v>
      </c>
      <c r="B86" s="426" t="s">
        <v>86</v>
      </c>
      <c r="C86" s="478"/>
      <c r="D86" s="497">
        <v>5.0000000000000001E-3</v>
      </c>
      <c r="E86" s="508">
        <f>C86*D86</f>
        <v>0</v>
      </c>
      <c r="F86" s="471"/>
      <c r="G86" s="471"/>
      <c r="H86" s="471"/>
      <c r="I86" s="471"/>
      <c r="J86" s="471"/>
      <c r="K86" s="471"/>
      <c r="L86" s="471"/>
      <c r="M86" s="471"/>
      <c r="N86" s="507">
        <f t="shared" ref="N86:N91" si="16">SUMPRODUCT($F$48:$M$48,F86:M86)</f>
        <v>0</v>
      </c>
    </row>
    <row r="87" spans="1:14">
      <c r="A87" s="441">
        <v>2.2000000000000002</v>
      </c>
      <c r="B87" s="426" t="s">
        <v>87</v>
      </c>
      <c r="C87" s="478"/>
      <c r="D87" s="497">
        <v>0.01</v>
      </c>
      <c r="E87" s="508">
        <f>C87*D87</f>
        <v>0</v>
      </c>
      <c r="F87" s="471"/>
      <c r="G87" s="471"/>
      <c r="H87" s="471"/>
      <c r="I87" s="471"/>
      <c r="J87" s="471"/>
      <c r="K87" s="471"/>
      <c r="L87" s="471"/>
      <c r="M87" s="471"/>
      <c r="N87" s="507">
        <f t="shared" si="16"/>
        <v>0</v>
      </c>
    </row>
    <row r="88" spans="1:14">
      <c r="A88" s="441">
        <v>2.2999999999999998</v>
      </c>
      <c r="B88" s="426" t="s">
        <v>88</v>
      </c>
      <c r="C88" s="478"/>
      <c r="D88" s="497">
        <v>0.02</v>
      </c>
      <c r="E88" s="508">
        <f>C88*D88</f>
        <v>0</v>
      </c>
      <c r="F88" s="471"/>
      <c r="G88" s="471"/>
      <c r="H88" s="471"/>
      <c r="I88" s="471"/>
      <c r="J88" s="471"/>
      <c r="K88" s="471"/>
      <c r="L88" s="471"/>
      <c r="M88" s="471"/>
      <c r="N88" s="507">
        <f t="shared" si="16"/>
        <v>0</v>
      </c>
    </row>
    <row r="89" spans="1:14">
      <c r="A89" s="441">
        <v>2.4</v>
      </c>
      <c r="B89" s="426" t="s">
        <v>89</v>
      </c>
      <c r="C89" s="478"/>
      <c r="D89" s="497">
        <v>0.03</v>
      </c>
      <c r="E89" s="508">
        <f>C89*D89</f>
        <v>0</v>
      </c>
      <c r="F89" s="471"/>
      <c r="G89" s="471"/>
      <c r="H89" s="471"/>
      <c r="I89" s="471"/>
      <c r="J89" s="471"/>
      <c r="K89" s="471"/>
      <c r="L89" s="471"/>
      <c r="M89" s="471"/>
      <c r="N89" s="507">
        <f t="shared" si="16"/>
        <v>0</v>
      </c>
    </row>
    <row r="90" spans="1:14">
      <c r="A90" s="441">
        <v>2.5</v>
      </c>
      <c r="B90" s="426" t="s">
        <v>90</v>
      </c>
      <c r="C90" s="478"/>
      <c r="D90" s="497">
        <v>0.04</v>
      </c>
      <c r="E90" s="508">
        <f>C90*D90</f>
        <v>0</v>
      </c>
      <c r="F90" s="471"/>
      <c r="G90" s="471"/>
      <c r="H90" s="471"/>
      <c r="I90" s="471"/>
      <c r="J90" s="471"/>
      <c r="K90" s="471"/>
      <c r="L90" s="471"/>
      <c r="M90" s="471"/>
      <c r="N90" s="507">
        <f t="shared" si="16"/>
        <v>0</v>
      </c>
    </row>
    <row r="91" spans="1:14">
      <c r="A91" s="441">
        <v>2.6</v>
      </c>
      <c r="B91" s="426" t="s">
        <v>91</v>
      </c>
      <c r="C91" s="478"/>
      <c r="D91" s="509"/>
      <c r="E91" s="510"/>
      <c r="F91" s="471"/>
      <c r="G91" s="471"/>
      <c r="H91" s="471"/>
      <c r="I91" s="471"/>
      <c r="J91" s="471"/>
      <c r="K91" s="471"/>
      <c r="L91" s="471"/>
      <c r="M91" s="471"/>
      <c r="N91" s="507">
        <f t="shared" si="16"/>
        <v>0</v>
      </c>
    </row>
    <row r="92" spans="1:14">
      <c r="A92" s="428"/>
      <c r="B92" s="488" t="s">
        <v>71</v>
      </c>
      <c r="C92" s="489">
        <f>C85+C78</f>
        <v>0</v>
      </c>
      <c r="D92" s="489"/>
      <c r="E92" s="512">
        <f>E85+E78</f>
        <v>0</v>
      </c>
      <c r="F92" s="471"/>
      <c r="G92" s="471"/>
      <c r="H92" s="471"/>
      <c r="I92" s="471"/>
      <c r="J92" s="471"/>
      <c r="K92" s="471"/>
      <c r="L92" s="471"/>
      <c r="M92" s="471"/>
      <c r="N92" s="512">
        <f>N85+N78</f>
        <v>0</v>
      </c>
    </row>
    <row r="95" spans="1:14">
      <c r="A95" s="513" t="s">
        <v>468</v>
      </c>
      <c r="B95" s="513"/>
      <c r="C95" s="513"/>
    </row>
    <row r="96" spans="1:14" ht="60">
      <c r="A96" s="514"/>
      <c r="B96" s="515" t="s">
        <v>76</v>
      </c>
      <c r="C96" s="516" t="s">
        <v>469</v>
      </c>
      <c r="D96" s="517" t="s">
        <v>470</v>
      </c>
      <c r="E96" s="518" t="s">
        <v>471</v>
      </c>
      <c r="F96" s="517" t="s">
        <v>472</v>
      </c>
      <c r="G96" s="518" t="s">
        <v>77</v>
      </c>
    </row>
    <row r="97" spans="1:7" s="520" customFormat="1">
      <c r="A97" s="428">
        <v>1</v>
      </c>
      <c r="B97" s="425" t="s">
        <v>78</v>
      </c>
      <c r="C97" s="482">
        <v>44959608.332599998</v>
      </c>
      <c r="D97" s="482">
        <v>44959608.332599998</v>
      </c>
      <c r="E97" s="482">
        <v>44959608.332599998</v>
      </c>
      <c r="F97" s="519">
        <v>0.75</v>
      </c>
      <c r="G97" s="508">
        <f t="shared" ref="G97:G104" si="17">E97*F97</f>
        <v>33719706.249449998</v>
      </c>
    </row>
    <row r="98" spans="1:7" s="520" customFormat="1">
      <c r="A98" s="428">
        <v>2</v>
      </c>
      <c r="B98" s="425" t="s">
        <v>79</v>
      </c>
      <c r="C98" s="482"/>
      <c r="D98" s="482"/>
      <c r="E98" s="481"/>
      <c r="F98" s="519">
        <v>0.75</v>
      </c>
      <c r="G98" s="508">
        <f t="shared" si="17"/>
        <v>0</v>
      </c>
    </row>
    <row r="99" spans="1:7" s="520" customFormat="1" ht="30">
      <c r="A99" s="428">
        <v>3</v>
      </c>
      <c r="B99" s="425" t="s">
        <v>80</v>
      </c>
      <c r="C99" s="482"/>
      <c r="D99" s="482"/>
      <c r="E99" s="504"/>
      <c r="F99" s="519">
        <v>0.75</v>
      </c>
      <c r="G99" s="508">
        <f t="shared" si="17"/>
        <v>0</v>
      </c>
    </row>
    <row r="100" spans="1:7">
      <c r="A100" s="428">
        <v>4</v>
      </c>
      <c r="B100" s="425" t="s">
        <v>72</v>
      </c>
      <c r="C100" s="482"/>
      <c r="D100" s="482"/>
      <c r="E100" s="481"/>
      <c r="F100" s="519">
        <v>0.75</v>
      </c>
      <c r="G100" s="508">
        <f t="shared" si="17"/>
        <v>0</v>
      </c>
    </row>
    <row r="101" spans="1:7">
      <c r="A101" s="428">
        <v>5</v>
      </c>
      <c r="B101" s="425" t="s">
        <v>73</v>
      </c>
      <c r="C101" s="483"/>
      <c r="D101" s="482"/>
      <c r="E101" s="504"/>
      <c r="F101" s="519">
        <v>0.75</v>
      </c>
      <c r="G101" s="508">
        <f t="shared" si="17"/>
        <v>0</v>
      </c>
    </row>
    <row r="102" spans="1:7">
      <c r="A102" s="428">
        <v>6</v>
      </c>
      <c r="B102" s="425" t="s">
        <v>74</v>
      </c>
      <c r="C102" s="482"/>
      <c r="D102" s="482"/>
      <c r="E102" s="504"/>
      <c r="F102" s="519">
        <v>0.75</v>
      </c>
      <c r="G102" s="508">
        <f t="shared" si="17"/>
        <v>0</v>
      </c>
    </row>
    <row r="103" spans="1:7">
      <c r="A103" s="428">
        <v>7</v>
      </c>
      <c r="B103" s="521" t="s">
        <v>75</v>
      </c>
      <c r="C103" s="482"/>
      <c r="D103" s="482"/>
      <c r="E103" s="504"/>
      <c r="F103" s="519">
        <v>0.75</v>
      </c>
      <c r="G103" s="508">
        <f t="shared" si="17"/>
        <v>0</v>
      </c>
    </row>
    <row r="104" spans="1:7" s="520" customFormat="1">
      <c r="A104" s="428">
        <v>8</v>
      </c>
      <c r="B104" s="521" t="s">
        <v>81</v>
      </c>
      <c r="C104" s="522"/>
      <c r="D104" s="482"/>
      <c r="E104" s="522"/>
      <c r="F104" s="519">
        <v>0.75</v>
      </c>
      <c r="G104" s="508">
        <f t="shared" si="17"/>
        <v>0</v>
      </c>
    </row>
    <row r="105" spans="1:7">
      <c r="A105" s="428"/>
      <c r="B105" s="488" t="s">
        <v>71</v>
      </c>
      <c r="C105" s="489">
        <f>SUM(C97:C104)</f>
        <v>44959608.332599998</v>
      </c>
      <c r="D105" s="489">
        <f>SUM(D97:D104)</f>
        <v>44959608.332599998</v>
      </c>
      <c r="E105" s="489">
        <f>SUM(E97:E104)</f>
        <v>44959608.332599998</v>
      </c>
      <c r="F105" s="489"/>
      <c r="G105" s="512">
        <f>SUM(G97:G104)</f>
        <v>33719706.249449998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pane xSplit="1" ySplit="5" topLeftCell="B6" activePane="bottomRight" state="frozen"/>
      <selection pane="topRight"/>
      <selection pane="bottomLeft"/>
      <selection pane="bottomRight" activeCell="C6" sqref="C6:G38"/>
    </sheetView>
  </sheetViews>
  <sheetFormatPr defaultColWidth="9.140625" defaultRowHeight="15.75"/>
  <cols>
    <col min="1" max="1" width="9.5703125" style="19" bestFit="1" customWidth="1"/>
    <col min="2" max="2" width="86" style="16" customWidth="1"/>
    <col min="3" max="3" width="12.7109375" style="16" customWidth="1"/>
    <col min="4" max="6" width="12.7109375" style="2" customWidth="1"/>
    <col min="7" max="7" width="11.42578125" style="2" customWidth="1"/>
    <col min="8" max="8" width="6.7109375" customWidth="1"/>
  </cols>
  <sheetData>
    <row r="1" spans="1:8">
      <c r="A1" s="17" t="s">
        <v>199</v>
      </c>
      <c r="B1" s="408" t="str">
        <f>'2. RC'!B1</f>
        <v>სს " პაშა ბანკი საქართველო"</v>
      </c>
    </row>
    <row r="2" spans="1:8">
      <c r="A2" s="17" t="s">
        <v>200</v>
      </c>
      <c r="B2" s="408" t="str">
        <f>'2. RC'!B2</f>
        <v>30.09.2017</v>
      </c>
      <c r="C2" s="29"/>
      <c r="D2" s="18"/>
      <c r="E2" s="18"/>
      <c r="F2" s="18"/>
      <c r="G2" s="18"/>
      <c r="H2" s="1"/>
    </row>
    <row r="3" spans="1:8">
      <c r="A3" s="17"/>
      <c r="C3" s="29"/>
      <c r="D3" s="18"/>
      <c r="E3" s="18"/>
      <c r="F3" s="18"/>
      <c r="G3" s="18"/>
      <c r="H3" s="1"/>
    </row>
    <row r="4" spans="1:8" ht="16.5" thickBot="1">
      <c r="A4" s="79" t="s">
        <v>348</v>
      </c>
      <c r="B4" s="237" t="s">
        <v>235</v>
      </c>
      <c r="C4" s="238"/>
      <c r="D4" s="239"/>
      <c r="E4" s="239"/>
      <c r="F4" s="239"/>
      <c r="G4" s="239"/>
      <c r="H4" s="1"/>
    </row>
    <row r="5" spans="1:8" ht="15">
      <c r="A5" s="268" t="s">
        <v>29</v>
      </c>
      <c r="B5" s="269"/>
      <c r="C5" s="406" t="str">
        <f>MID($B$2,4,2)/3&amp;"Q"&amp;RIGHT($B$2,4)</f>
        <v>3Q2017</v>
      </c>
      <c r="D5" s="407" t="str">
        <f>MONTH(EDATE(DATE(RIGHT($B$2,4),MID($B$2,4,2),LEFT($B$2,2)),-3))/3&amp;"Q"&amp;YEAR(EDATE(DATE(RIGHT($B$2,4),MID($B$2,4,2),LEFT($B$2,2)),-3))</f>
        <v>2Q2017</v>
      </c>
      <c r="E5" s="407" t="str">
        <f>MONTH(EDATE(DATE(RIGHT($B$2,4),MID($B$2,4,2),LEFT($B$2,2)),-6))/3&amp;"Q"&amp;YEAR(EDATE(DATE(RIGHT($B$2,4),MID($B$2,4,2),LEFT($B$2,2)),-6))</f>
        <v>1Q2017</v>
      </c>
      <c r="F5" s="407" t="str">
        <f>MONTH(EDATE(DATE(RIGHT($B$2,4),MID($B$2,4,2),LEFT($B$2,2)),-9))/3&amp;"Q"&amp;YEAR(EDATE(DATE(RIGHT($B$2,4),MID($B$2,4,2),LEFT($B$2,2)),-9))</f>
        <v>4Q2016</v>
      </c>
      <c r="G5" s="409" t="str">
        <f>MONTH(EDATE(DATE(RIGHT($B$2,4),MID($B$2,4,2),LEFT($B$2,2)),-12))/3&amp;"Q"&amp;YEAR(EDATE(DATE(RIGHT($B$2,4),MID($B$2,4,2),LEFT($B$2,2)),-12))</f>
        <v>3Q2016</v>
      </c>
    </row>
    <row r="6" spans="1:8" ht="15">
      <c r="A6" s="137"/>
      <c r="B6" s="32" t="s">
        <v>194</v>
      </c>
      <c r="C6" s="271"/>
      <c r="D6" s="272"/>
      <c r="E6" s="272"/>
      <c r="F6" s="272"/>
      <c r="G6" s="273"/>
    </row>
    <row r="7" spans="1:8" ht="15">
      <c r="A7" s="137"/>
      <c r="B7" s="33" t="s">
        <v>201</v>
      </c>
      <c r="C7" s="271"/>
      <c r="D7" s="272"/>
      <c r="E7" s="272"/>
      <c r="F7" s="272"/>
      <c r="G7" s="273"/>
    </row>
    <row r="8" spans="1:8" ht="15">
      <c r="A8" s="138">
        <v>1</v>
      </c>
      <c r="B8" s="270" t="s">
        <v>26</v>
      </c>
      <c r="C8" s="274">
        <v>99530551.870000005</v>
      </c>
      <c r="D8" s="275">
        <v>97950858.359999999</v>
      </c>
      <c r="E8" s="275">
        <v>100442867.51000001</v>
      </c>
      <c r="F8" s="275">
        <v>99145518.700000003</v>
      </c>
      <c r="G8" s="276">
        <v>98510537.510000005</v>
      </c>
    </row>
    <row r="9" spans="1:8" ht="15">
      <c r="A9" s="138">
        <v>2</v>
      </c>
      <c r="B9" s="270" t="s">
        <v>96</v>
      </c>
      <c r="C9" s="274">
        <v>99530551.870000005</v>
      </c>
      <c r="D9" s="275">
        <v>97950858.359999999</v>
      </c>
      <c r="E9" s="275">
        <v>100442867.51000001</v>
      </c>
      <c r="F9" s="275">
        <v>99145518.700000003</v>
      </c>
      <c r="G9" s="276">
        <v>98510537.510000005</v>
      </c>
    </row>
    <row r="10" spans="1:8" ht="15">
      <c r="A10" s="138">
        <v>3</v>
      </c>
      <c r="B10" s="270" t="s">
        <v>95</v>
      </c>
      <c r="C10" s="274">
        <v>102360399.2088</v>
      </c>
      <c r="D10" s="275">
        <v>100680956.4376</v>
      </c>
      <c r="E10" s="275">
        <v>102811057.80870001</v>
      </c>
      <c r="F10" s="275">
        <v>101195468.7986</v>
      </c>
      <c r="G10" s="276">
        <v>100395364.1917</v>
      </c>
    </row>
    <row r="11" spans="1:8" ht="15">
      <c r="A11" s="137"/>
      <c r="B11" s="32" t="s">
        <v>195</v>
      </c>
      <c r="C11" s="271"/>
      <c r="D11" s="272"/>
      <c r="E11" s="272"/>
      <c r="F11" s="272"/>
      <c r="G11" s="273"/>
    </row>
    <row r="12" spans="1:8" ht="15" customHeight="1">
      <c r="A12" s="138">
        <v>4</v>
      </c>
      <c r="B12" s="270" t="s">
        <v>363</v>
      </c>
      <c r="C12" s="274">
        <v>308422862.31269997</v>
      </c>
      <c r="D12" s="274">
        <v>293837246.57061428</v>
      </c>
      <c r="E12" s="275">
        <v>273623517.19328922</v>
      </c>
      <c r="F12" s="275">
        <v>296917120.49979997</v>
      </c>
      <c r="G12" s="275">
        <v>279514251.57322001</v>
      </c>
    </row>
    <row r="13" spans="1:8" ht="15" customHeight="1">
      <c r="A13" s="138">
        <v>5</v>
      </c>
      <c r="B13" s="270" t="s">
        <v>364</v>
      </c>
      <c r="C13" s="274">
        <v>246660833.8691</v>
      </c>
      <c r="D13" s="275">
        <v>241479749.37459999</v>
      </c>
      <c r="E13" s="275">
        <v>211667430.2832</v>
      </c>
      <c r="F13" s="275">
        <v>218135980.2157</v>
      </c>
      <c r="G13" s="276">
        <v>203260109.1178</v>
      </c>
    </row>
    <row r="14" spans="1:8" ht="15">
      <c r="A14" s="137"/>
      <c r="B14" s="32" t="s">
        <v>97</v>
      </c>
      <c r="C14" s="271"/>
      <c r="D14" s="272"/>
      <c r="E14" s="272"/>
      <c r="F14" s="272"/>
      <c r="G14" s="273"/>
    </row>
    <row r="15" spans="1:8" s="3" customFormat="1" ht="15">
      <c r="A15" s="138"/>
      <c r="B15" s="33" t="s">
        <v>201</v>
      </c>
      <c r="C15" s="277"/>
      <c r="D15" s="275"/>
      <c r="E15" s="275"/>
      <c r="F15" s="275"/>
      <c r="G15" s="276"/>
    </row>
    <row r="16" spans="1:8" ht="15">
      <c r="A16" s="136">
        <v>6</v>
      </c>
      <c r="B16" s="31" t="s">
        <v>257</v>
      </c>
      <c r="C16" s="359">
        <v>0.32269999999999999</v>
      </c>
      <c r="D16" s="360">
        <v>0.33019999999999999</v>
      </c>
      <c r="E16" s="360">
        <v>0.35510000000000003</v>
      </c>
      <c r="F16" s="360">
        <v>0.37719999999999998</v>
      </c>
      <c r="G16" s="361">
        <v>0.38100000000000001</v>
      </c>
    </row>
    <row r="17" spans="1:7" ht="15" customHeight="1">
      <c r="A17" s="136">
        <v>7</v>
      </c>
      <c r="B17" s="31" t="s">
        <v>197</v>
      </c>
      <c r="C17" s="359">
        <v>0.32269999999999999</v>
      </c>
      <c r="D17" s="360">
        <v>0.33019999999999999</v>
      </c>
      <c r="E17" s="360">
        <v>0.35510000000000003</v>
      </c>
      <c r="F17" s="360">
        <v>0.37719999999999998</v>
      </c>
      <c r="G17" s="361">
        <v>0.38100000000000001</v>
      </c>
    </row>
    <row r="18" spans="1:7" ht="15">
      <c r="A18" s="136">
        <v>8</v>
      </c>
      <c r="B18" s="31" t="s">
        <v>198</v>
      </c>
      <c r="C18" s="359">
        <v>0.33189999999999997</v>
      </c>
      <c r="D18" s="360">
        <v>0.33939999999999998</v>
      </c>
      <c r="E18" s="360">
        <v>0.36380000000000001</v>
      </c>
      <c r="F18" s="360">
        <v>0.38500000000000001</v>
      </c>
      <c r="G18" s="361">
        <v>0.38829999999999998</v>
      </c>
    </row>
    <row r="19" spans="1:7" s="3" customFormat="1" ht="15">
      <c r="A19" s="138"/>
      <c r="B19" s="33" t="s">
        <v>202</v>
      </c>
      <c r="C19" s="362"/>
      <c r="D19" s="363"/>
      <c r="E19" s="363"/>
      <c r="F19" s="363"/>
      <c r="G19" s="364"/>
    </row>
    <row r="20" spans="1:7" ht="15">
      <c r="A20" s="136">
        <v>9</v>
      </c>
      <c r="B20" s="31" t="s">
        <v>266</v>
      </c>
      <c r="C20" s="359">
        <v>0.38679999999999998</v>
      </c>
      <c r="D20" s="360">
        <v>0.39550000000000002</v>
      </c>
      <c r="E20" s="360">
        <v>0.45050000000000001</v>
      </c>
      <c r="F20" s="360">
        <v>0.42080000000000001</v>
      </c>
      <c r="G20" s="361">
        <v>0.45240000000000002</v>
      </c>
    </row>
    <row r="21" spans="1:7" ht="15">
      <c r="A21" s="136">
        <v>10</v>
      </c>
      <c r="B21" s="31" t="s">
        <v>267</v>
      </c>
      <c r="C21" s="359">
        <v>0.41499999999999998</v>
      </c>
      <c r="D21" s="360">
        <v>0.41689999999999999</v>
      </c>
      <c r="E21" s="360">
        <v>0.46839999999999998</v>
      </c>
      <c r="F21" s="360">
        <v>0.46389999999999998</v>
      </c>
      <c r="G21" s="361">
        <v>0.49390000000000001</v>
      </c>
    </row>
    <row r="22" spans="1:7" ht="15">
      <c r="A22" s="137"/>
      <c r="B22" s="32" t="s">
        <v>7</v>
      </c>
      <c r="C22" s="365"/>
      <c r="D22" s="366"/>
      <c r="E22" s="366"/>
      <c r="F22" s="366"/>
      <c r="G22" s="367"/>
    </row>
    <row r="23" spans="1:7" ht="15" customHeight="1">
      <c r="A23" s="139">
        <v>11</v>
      </c>
      <c r="B23" s="34" t="s">
        <v>8</v>
      </c>
      <c r="C23" s="368">
        <v>7.5600000000000001E-2</v>
      </c>
      <c r="D23" s="369">
        <v>7.5200000000000003E-2</v>
      </c>
      <c r="E23" s="369">
        <v>7.17E-2</v>
      </c>
      <c r="F23" s="369">
        <v>7.9699999999999993E-2</v>
      </c>
      <c r="G23" s="370">
        <v>8.0600000000000005E-2</v>
      </c>
    </row>
    <row r="24" spans="1:7" ht="15">
      <c r="A24" s="139">
        <v>12</v>
      </c>
      <c r="B24" s="34" t="s">
        <v>9</v>
      </c>
      <c r="C24" s="368">
        <v>1.6400000000000001E-2</v>
      </c>
      <c r="D24" s="369">
        <v>1.78E-2</v>
      </c>
      <c r="E24" s="369">
        <v>1.7299999999999999E-2</v>
      </c>
      <c r="F24" s="369">
        <v>2.3699999999999999E-2</v>
      </c>
      <c r="G24" s="370">
        <v>2.5600000000000001E-2</v>
      </c>
    </row>
    <row r="25" spans="1:7" ht="15">
      <c r="A25" s="139">
        <v>13</v>
      </c>
      <c r="B25" s="34" t="s">
        <v>10</v>
      </c>
      <c r="C25" s="368">
        <v>2.1999999999999999E-2</v>
      </c>
      <c r="D25" s="369">
        <v>2.01E-2</v>
      </c>
      <c r="E25" s="369">
        <v>2.1000000000000001E-2</v>
      </c>
      <c r="F25" s="369">
        <v>2.0299999999999999E-2</v>
      </c>
      <c r="G25" s="370">
        <v>2.1600000000000001E-2</v>
      </c>
    </row>
    <row r="26" spans="1:7" ht="15">
      <c r="A26" s="139">
        <v>14</v>
      </c>
      <c r="B26" s="34" t="s">
        <v>236</v>
      </c>
      <c r="C26" s="368">
        <v>5.9200000000000003E-2</v>
      </c>
      <c r="D26" s="369">
        <v>5.74E-2</v>
      </c>
      <c r="E26" s="369">
        <v>5.4399999999999997E-2</v>
      </c>
      <c r="F26" s="369">
        <v>5.6000000000000001E-2</v>
      </c>
      <c r="G26" s="370">
        <v>5.5E-2</v>
      </c>
    </row>
    <row r="27" spans="1:7" ht="15">
      <c r="A27" s="139">
        <v>15</v>
      </c>
      <c r="B27" s="34" t="s">
        <v>11</v>
      </c>
      <c r="C27" s="368">
        <v>2.1899999999999999E-2</v>
      </c>
      <c r="D27" s="369">
        <v>1.9099999999999999E-2</v>
      </c>
      <c r="E27" s="369">
        <v>2.1100000000000001E-2</v>
      </c>
      <c r="F27" s="369">
        <v>2.58E-2</v>
      </c>
      <c r="G27" s="370">
        <v>3.0599999999999999E-2</v>
      </c>
    </row>
    <row r="28" spans="1:7" ht="15">
      <c r="A28" s="139">
        <v>16</v>
      </c>
      <c r="B28" s="34" t="s">
        <v>12</v>
      </c>
      <c r="C28" s="368">
        <v>5.3199999999999997E-2</v>
      </c>
      <c r="D28" s="369">
        <v>4.7699999999999999E-2</v>
      </c>
      <c r="E28" s="369">
        <v>5.5800000000000002E-2</v>
      </c>
      <c r="F28" s="369">
        <v>7.5399999999999995E-2</v>
      </c>
      <c r="G28" s="370">
        <v>9.0499999999999997E-2</v>
      </c>
    </row>
    <row r="29" spans="1:7" ht="15">
      <c r="A29" s="137"/>
      <c r="B29" s="32" t="s">
        <v>13</v>
      </c>
      <c r="C29" s="365"/>
      <c r="D29" s="366"/>
      <c r="E29" s="366"/>
      <c r="F29" s="366"/>
      <c r="G29" s="367"/>
    </row>
    <row r="30" spans="1:7" ht="15">
      <c r="A30" s="139">
        <v>17</v>
      </c>
      <c r="B30" s="34" t="s">
        <v>14</v>
      </c>
      <c r="C30" s="368">
        <v>5.9999999999999995E-4</v>
      </c>
      <c r="D30" s="369">
        <v>5.9999999999999995E-4</v>
      </c>
      <c r="E30" s="369">
        <v>5.9999999999999995E-4</v>
      </c>
      <c r="F30" s="369">
        <v>6.9999999999999999E-4</v>
      </c>
      <c r="G30" s="370">
        <v>0</v>
      </c>
    </row>
    <row r="31" spans="1:7" ht="15" customHeight="1">
      <c r="A31" s="139">
        <v>18</v>
      </c>
      <c r="B31" s="34" t="s">
        <v>15</v>
      </c>
      <c r="C31" s="368">
        <v>2.23E-2</v>
      </c>
      <c r="D31" s="369">
        <v>2.29E-2</v>
      </c>
      <c r="E31" s="369">
        <v>2.5000000000000001E-2</v>
      </c>
      <c r="F31" s="369">
        <v>2.5899999999999999E-2</v>
      </c>
      <c r="G31" s="370">
        <v>2.5999999999999999E-2</v>
      </c>
    </row>
    <row r="32" spans="1:7" ht="15">
      <c r="A32" s="139">
        <v>19</v>
      </c>
      <c r="B32" s="34" t="s">
        <v>16</v>
      </c>
      <c r="C32" s="368">
        <v>0.48509999999999998</v>
      </c>
      <c r="D32" s="369">
        <v>0.4042</v>
      </c>
      <c r="E32" s="369">
        <v>0.25879999999999997</v>
      </c>
      <c r="F32" s="369">
        <v>0.29859999999999998</v>
      </c>
      <c r="G32" s="370">
        <v>0.24299999999999999</v>
      </c>
    </row>
    <row r="33" spans="1:7" ht="15" customHeight="1">
      <c r="A33" s="139">
        <v>20</v>
      </c>
      <c r="B33" s="34" t="s">
        <v>17</v>
      </c>
      <c r="C33" s="368">
        <v>0.56740000000000002</v>
      </c>
      <c r="D33" s="369">
        <v>0.49220000000000003</v>
      </c>
      <c r="E33" s="369">
        <v>0.41399999999999998</v>
      </c>
      <c r="F33" s="369">
        <v>0.51219999999999999</v>
      </c>
      <c r="G33" s="370">
        <v>0.53439999999999999</v>
      </c>
    </row>
    <row r="34" spans="1:7" ht="15">
      <c r="A34" s="139">
        <v>21</v>
      </c>
      <c r="B34" s="34" t="s">
        <v>18</v>
      </c>
      <c r="C34" s="368">
        <v>0.16450000000000001</v>
      </c>
      <c r="D34" s="369">
        <v>0.26450000000000001</v>
      </c>
      <c r="E34" s="369">
        <v>0.1278</v>
      </c>
      <c r="F34" s="369">
        <v>-0.1239</v>
      </c>
      <c r="G34" s="370">
        <v>-0.16819999999999999</v>
      </c>
    </row>
    <row r="35" spans="1:7" ht="15" customHeight="1">
      <c r="A35" s="137"/>
      <c r="B35" s="32" t="s">
        <v>19</v>
      </c>
      <c r="C35" s="365"/>
      <c r="D35" s="366"/>
      <c r="E35" s="366"/>
      <c r="F35" s="366"/>
      <c r="G35" s="367"/>
    </row>
    <row r="36" spans="1:7" ht="15">
      <c r="A36" s="139">
        <v>22</v>
      </c>
      <c r="B36" s="34" t="s">
        <v>20</v>
      </c>
      <c r="C36" s="368">
        <v>0.17580000000000001</v>
      </c>
      <c r="D36" s="369">
        <v>0.11799999999999999</v>
      </c>
      <c r="E36" s="369">
        <v>0.12479999999999999</v>
      </c>
      <c r="F36" s="369">
        <v>0.15939999999999999</v>
      </c>
      <c r="G36" s="370">
        <v>0.25600000000000001</v>
      </c>
    </row>
    <row r="37" spans="1:7" ht="15" customHeight="1">
      <c r="A37" s="139">
        <v>23</v>
      </c>
      <c r="B37" s="34" t="s">
        <v>21</v>
      </c>
      <c r="C37" s="368">
        <v>0.93610000000000004</v>
      </c>
      <c r="D37" s="369">
        <v>0.8861</v>
      </c>
      <c r="E37" s="369">
        <v>0.7026</v>
      </c>
      <c r="F37" s="369">
        <v>0.76170000000000004</v>
      </c>
      <c r="G37" s="370">
        <v>0.84830000000000005</v>
      </c>
    </row>
    <row r="38" spans="1:7" thickBot="1">
      <c r="A38" s="140">
        <v>24</v>
      </c>
      <c r="B38" s="141" t="s">
        <v>22</v>
      </c>
      <c r="C38" s="371">
        <v>3.9E-2</v>
      </c>
      <c r="D38" s="372">
        <v>3.5999999999999997E-2</v>
      </c>
      <c r="E38" s="372">
        <v>2.3599999999999999E-2</v>
      </c>
      <c r="F38" s="372">
        <v>4.4600000000000001E-2</v>
      </c>
      <c r="G38" s="373">
        <v>4.5400000000000003E-2</v>
      </c>
    </row>
    <row r="39" spans="1:7">
      <c r="A39" s="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43"/>
  <sheetViews>
    <sheetView workbookViewId="0">
      <pane xSplit="1" ySplit="5" topLeftCell="B9" activePane="bottomRight" state="frozen"/>
      <selection pane="topRight"/>
      <selection pane="bottomLeft"/>
      <selection pane="bottomRight" activeCell="C22" sqref="C22"/>
    </sheetView>
  </sheetViews>
  <sheetFormatPr defaultColWidth="9.140625"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 min="10" max="10" width="10.28515625" bestFit="1" customWidth="1"/>
  </cols>
  <sheetData>
    <row r="1" spans="1:10" ht="15.75">
      <c r="A1" s="17" t="s">
        <v>199</v>
      </c>
      <c r="B1" s="2" t="s">
        <v>473</v>
      </c>
    </row>
    <row r="2" spans="1:10" ht="15.75">
      <c r="A2" s="17" t="s">
        <v>200</v>
      </c>
      <c r="B2" s="16" t="s">
        <v>474</v>
      </c>
    </row>
    <row r="3" spans="1:10" ht="15.75">
      <c r="A3" s="17"/>
    </row>
    <row r="4" spans="1:10" ht="16.5" thickBot="1">
      <c r="A4" s="35" t="s">
        <v>349</v>
      </c>
      <c r="B4" s="80" t="s">
        <v>258</v>
      </c>
      <c r="C4" s="35"/>
      <c r="D4" s="36"/>
      <c r="E4" s="36"/>
      <c r="F4" s="37"/>
      <c r="G4" s="37"/>
      <c r="H4" s="38" t="s">
        <v>101</v>
      </c>
    </row>
    <row r="5" spans="1:10" ht="15.75">
      <c r="A5" s="39"/>
      <c r="B5" s="40"/>
      <c r="C5" s="532" t="s">
        <v>206</v>
      </c>
      <c r="D5" s="533"/>
      <c r="E5" s="534"/>
      <c r="F5" s="532" t="s">
        <v>207</v>
      </c>
      <c r="G5" s="533"/>
      <c r="H5" s="535"/>
    </row>
    <row r="6" spans="1:10" ht="15.75">
      <c r="A6" s="41" t="s">
        <v>29</v>
      </c>
      <c r="B6" s="42" t="s">
        <v>161</v>
      </c>
      <c r="C6" s="43" t="s">
        <v>30</v>
      </c>
      <c r="D6" s="43" t="s">
        <v>102</v>
      </c>
      <c r="E6" s="43" t="s">
        <v>71</v>
      </c>
      <c r="F6" s="43" t="s">
        <v>30</v>
      </c>
      <c r="G6" s="43" t="s">
        <v>102</v>
      </c>
      <c r="H6" s="44" t="s">
        <v>71</v>
      </c>
    </row>
    <row r="7" spans="1:10" ht="15.75">
      <c r="A7" s="41">
        <v>1</v>
      </c>
      <c r="B7" s="45" t="s">
        <v>162</v>
      </c>
      <c r="C7" s="278">
        <v>207462.05</v>
      </c>
      <c r="D7" s="278">
        <v>396240.44660000002</v>
      </c>
      <c r="E7" s="279">
        <f t="shared" ref="E7:E20" si="0">C7+D7</f>
        <v>603702.49659999995</v>
      </c>
      <c r="F7" s="280">
        <v>171207.4</v>
      </c>
      <c r="G7" s="281">
        <v>411213.68640000001</v>
      </c>
      <c r="H7" s="282">
        <f t="shared" ref="H7:H20" si="1">F7+G7</f>
        <v>582421.08640000003</v>
      </c>
    </row>
    <row r="8" spans="1:10" ht="15.75">
      <c r="A8" s="41">
        <v>2</v>
      </c>
      <c r="B8" s="45" t="s">
        <v>163</v>
      </c>
      <c r="C8" s="278">
        <v>1820495.39</v>
      </c>
      <c r="D8" s="278">
        <v>22444335.493299998</v>
      </c>
      <c r="E8" s="279">
        <f t="shared" si="0"/>
        <v>24264830.883299999</v>
      </c>
      <c r="F8" s="280">
        <v>88521.9</v>
      </c>
      <c r="G8" s="281">
        <v>31094595.225099999</v>
      </c>
      <c r="H8" s="282">
        <f t="shared" si="1"/>
        <v>31183117.125099998</v>
      </c>
    </row>
    <row r="9" spans="1:10" ht="15.75">
      <c r="A9" s="41">
        <v>3</v>
      </c>
      <c r="B9" s="45" t="s">
        <v>164</v>
      </c>
      <c r="C9" s="278">
        <v>8051645.1100000003</v>
      </c>
      <c r="D9" s="278">
        <v>39108174.827600002</v>
      </c>
      <c r="E9" s="279">
        <f t="shared" si="0"/>
        <v>47159819.937600002</v>
      </c>
      <c r="F9" s="280">
        <v>61185.01</v>
      </c>
      <c r="G9" s="281">
        <v>63476126.6219</v>
      </c>
      <c r="H9" s="282">
        <f t="shared" si="1"/>
        <v>63537311.631899998</v>
      </c>
    </row>
    <row r="10" spans="1:10" ht="15.75">
      <c r="A10" s="41">
        <v>4</v>
      </c>
      <c r="B10" s="45" t="s">
        <v>193</v>
      </c>
      <c r="C10" s="278">
        <v>0</v>
      </c>
      <c r="D10" s="278">
        <v>0</v>
      </c>
      <c r="E10" s="279">
        <f t="shared" si="0"/>
        <v>0</v>
      </c>
      <c r="F10" s="280">
        <v>0</v>
      </c>
      <c r="G10" s="281">
        <v>0</v>
      </c>
      <c r="H10" s="282">
        <f t="shared" si="1"/>
        <v>0</v>
      </c>
    </row>
    <row r="11" spans="1:10" ht="15.75">
      <c r="A11" s="41">
        <v>5</v>
      </c>
      <c r="B11" s="45" t="s">
        <v>165</v>
      </c>
      <c r="C11" s="278">
        <v>32822336.5</v>
      </c>
      <c r="D11" s="278">
        <v>26383825.2476</v>
      </c>
      <c r="E11" s="279">
        <f t="shared" si="0"/>
        <v>59206161.747600004</v>
      </c>
      <c r="F11" s="280">
        <v>55204696.780000001</v>
      </c>
      <c r="G11" s="281">
        <v>31381460.7502</v>
      </c>
      <c r="H11" s="282">
        <f t="shared" si="1"/>
        <v>86586157.530200005</v>
      </c>
    </row>
    <row r="12" spans="1:10" ht="15.75">
      <c r="A12" s="41">
        <v>6.1</v>
      </c>
      <c r="B12" s="46" t="s">
        <v>166</v>
      </c>
      <c r="C12" s="278">
        <v>57595655.710000001</v>
      </c>
      <c r="D12" s="278">
        <v>54254231.478600003</v>
      </c>
      <c r="E12" s="279">
        <f t="shared" si="0"/>
        <v>111849887.1886</v>
      </c>
      <c r="F12" s="280">
        <v>69026285.969999999</v>
      </c>
      <c r="G12" s="281">
        <v>22156416.248300001</v>
      </c>
      <c r="H12" s="282">
        <f t="shared" si="1"/>
        <v>91182702.2183</v>
      </c>
    </row>
    <row r="13" spans="1:10" ht="15.75">
      <c r="A13" s="41">
        <v>6.2</v>
      </c>
      <c r="B13" s="46" t="s">
        <v>167</v>
      </c>
      <c r="C13" s="278">
        <v>-1150474.0318</v>
      </c>
      <c r="D13" s="278">
        <v>-1348175.5068999999</v>
      </c>
      <c r="E13" s="279">
        <f t="shared" si="0"/>
        <v>-2498649.5386999999</v>
      </c>
      <c r="F13" s="280">
        <v>-1440525.7194000001</v>
      </c>
      <c r="G13" s="281">
        <v>-933519.17689999996</v>
      </c>
      <c r="H13" s="282">
        <f t="shared" si="1"/>
        <v>-2374044.8963000001</v>
      </c>
      <c r="J13" s="392"/>
    </row>
    <row r="14" spans="1:10" ht="15.75">
      <c r="A14" s="41">
        <v>6</v>
      </c>
      <c r="B14" s="45" t="s">
        <v>168</v>
      </c>
      <c r="C14" s="279">
        <f>C12+C13</f>
        <v>56445181.678199999</v>
      </c>
      <c r="D14" s="279">
        <f>D12+D13</f>
        <v>52906055.971700005</v>
      </c>
      <c r="E14" s="279">
        <f t="shared" si="0"/>
        <v>109351237.6499</v>
      </c>
      <c r="F14" s="279">
        <f>F12+F13</f>
        <v>67585760.250599995</v>
      </c>
      <c r="G14" s="279">
        <f>G12+G13</f>
        <v>21222897.071400002</v>
      </c>
      <c r="H14" s="282">
        <f t="shared" si="1"/>
        <v>88808657.321999997</v>
      </c>
    </row>
    <row r="15" spans="1:10" ht="15.75">
      <c r="A15" s="41">
        <v>7</v>
      </c>
      <c r="B15" s="45" t="s">
        <v>169</v>
      </c>
      <c r="C15" s="278">
        <v>1198824.22</v>
      </c>
      <c r="D15" s="278">
        <v>1136492.7598000001</v>
      </c>
      <c r="E15" s="279">
        <f t="shared" si="0"/>
        <v>2335316.9797999999</v>
      </c>
      <c r="F15" s="280">
        <v>1850448.73</v>
      </c>
      <c r="G15" s="281">
        <v>795525.91639999999</v>
      </c>
      <c r="H15" s="282">
        <f t="shared" si="1"/>
        <v>2645974.6464</v>
      </c>
    </row>
    <row r="16" spans="1:10" ht="15.75">
      <c r="A16" s="41">
        <v>8</v>
      </c>
      <c r="B16" s="45" t="s">
        <v>170</v>
      </c>
      <c r="C16" s="278">
        <v>0</v>
      </c>
      <c r="D16" s="278">
        <v>0</v>
      </c>
      <c r="E16" s="279">
        <f t="shared" si="0"/>
        <v>0</v>
      </c>
      <c r="F16" s="280">
        <v>0</v>
      </c>
      <c r="G16" s="281">
        <v>0</v>
      </c>
      <c r="H16" s="282">
        <f t="shared" si="1"/>
        <v>0</v>
      </c>
    </row>
    <row r="17" spans="1:8" ht="15.75">
      <c r="A17" s="41">
        <v>9</v>
      </c>
      <c r="B17" s="45" t="s">
        <v>171</v>
      </c>
      <c r="C17" s="278">
        <v>0</v>
      </c>
      <c r="D17" s="278">
        <v>0</v>
      </c>
      <c r="E17" s="279">
        <f t="shared" si="0"/>
        <v>0</v>
      </c>
      <c r="F17" s="280">
        <v>0</v>
      </c>
      <c r="G17" s="281">
        <v>0</v>
      </c>
      <c r="H17" s="282">
        <f t="shared" si="1"/>
        <v>0</v>
      </c>
    </row>
    <row r="18" spans="1:8" ht="15.75">
      <c r="A18" s="41">
        <v>10</v>
      </c>
      <c r="B18" s="45" t="s">
        <v>172</v>
      </c>
      <c r="C18" s="278">
        <v>3074486.09</v>
      </c>
      <c r="D18" s="278">
        <v>0</v>
      </c>
      <c r="E18" s="279">
        <f t="shared" si="0"/>
        <v>3074486.09</v>
      </c>
      <c r="F18" s="280">
        <v>3428079.75</v>
      </c>
      <c r="G18" s="281">
        <v>0</v>
      </c>
      <c r="H18" s="282">
        <f t="shared" si="1"/>
        <v>3428079.75</v>
      </c>
    </row>
    <row r="19" spans="1:8" ht="15.75">
      <c r="A19" s="41">
        <v>11</v>
      </c>
      <c r="B19" s="45" t="s">
        <v>173</v>
      </c>
      <c r="C19" s="278">
        <v>4921114.21</v>
      </c>
      <c r="D19" s="278">
        <v>6365.1504999999997</v>
      </c>
      <c r="E19" s="279">
        <f t="shared" si="0"/>
        <v>4927479.3605000004</v>
      </c>
      <c r="F19" s="280">
        <v>884312.42</v>
      </c>
      <c r="G19" s="281">
        <v>8136.2983000000004</v>
      </c>
      <c r="H19" s="282">
        <f t="shared" si="1"/>
        <v>892448.71830000007</v>
      </c>
    </row>
    <row r="20" spans="1:8" ht="15.75">
      <c r="A20" s="41">
        <v>12</v>
      </c>
      <c r="B20" s="47" t="s">
        <v>174</v>
      </c>
      <c r="C20" s="279">
        <f>SUM(C7:C11)+SUM(C14:C19)</f>
        <v>108541545.2482</v>
      </c>
      <c r="D20" s="279">
        <f>SUM(D7:D11)+SUM(D14:D19)</f>
        <v>142381489.8971</v>
      </c>
      <c r="E20" s="279">
        <f t="shared" si="0"/>
        <v>250923035.1453</v>
      </c>
      <c r="F20" s="279">
        <f>SUM(F7:F11)+SUM(F14:F19)</f>
        <v>129274212.2406</v>
      </c>
      <c r="G20" s="279">
        <f>SUM(G7:G11)+SUM(G14:G19)</f>
        <v>148389955.5697</v>
      </c>
      <c r="H20" s="282">
        <f t="shared" si="1"/>
        <v>277664167.81029999</v>
      </c>
    </row>
    <row r="21" spans="1:8" ht="15.75">
      <c r="A21" s="41"/>
      <c r="B21" s="42" t="s">
        <v>191</v>
      </c>
      <c r="C21" s="283"/>
      <c r="D21" s="283"/>
      <c r="E21" s="283"/>
      <c r="F21" s="284"/>
      <c r="G21" s="285"/>
      <c r="H21" s="286"/>
    </row>
    <row r="22" spans="1:8" ht="15.75">
      <c r="A22" s="41">
        <v>13</v>
      </c>
      <c r="B22" s="45" t="s">
        <v>175</v>
      </c>
      <c r="C22" s="278">
        <v>3070255.49</v>
      </c>
      <c r="D22" s="278">
        <v>91242631.375499994</v>
      </c>
      <c r="E22" s="279">
        <f t="shared" ref="E22:E31" si="2">C22+D22</f>
        <v>94312886.865499988</v>
      </c>
      <c r="F22" s="280">
        <v>17206331.289999999</v>
      </c>
      <c r="G22" s="281">
        <v>106761179.5404</v>
      </c>
      <c r="H22" s="282">
        <f t="shared" ref="H22:H31" si="3">F22+G22</f>
        <v>123967510.83039999</v>
      </c>
    </row>
    <row r="23" spans="1:8" ht="15.75">
      <c r="A23" s="41">
        <v>14</v>
      </c>
      <c r="B23" s="45" t="s">
        <v>176</v>
      </c>
      <c r="C23" s="278">
        <v>3649185.25</v>
      </c>
      <c r="D23" s="278">
        <v>6144091.3081999999</v>
      </c>
      <c r="E23" s="279">
        <f t="shared" si="2"/>
        <v>9793276.5581999999</v>
      </c>
      <c r="F23" s="280">
        <v>4033100.33</v>
      </c>
      <c r="G23" s="281">
        <v>8574552.1052999999</v>
      </c>
      <c r="H23" s="282">
        <f t="shared" si="3"/>
        <v>12607652.4353</v>
      </c>
    </row>
    <row r="24" spans="1:8" ht="15.75">
      <c r="A24" s="41">
        <v>15</v>
      </c>
      <c r="B24" s="45" t="s">
        <v>177</v>
      </c>
      <c r="C24" s="278">
        <v>0</v>
      </c>
      <c r="D24" s="278">
        <v>0</v>
      </c>
      <c r="E24" s="279">
        <f t="shared" si="2"/>
        <v>0</v>
      </c>
      <c r="F24" s="280">
        <v>0</v>
      </c>
      <c r="G24" s="281">
        <v>0</v>
      </c>
      <c r="H24" s="282">
        <f t="shared" si="3"/>
        <v>0</v>
      </c>
    </row>
    <row r="25" spans="1:8" ht="15.75">
      <c r="A25" s="41">
        <v>16</v>
      </c>
      <c r="B25" s="45" t="s">
        <v>178</v>
      </c>
      <c r="C25" s="278">
        <v>1260942.97</v>
      </c>
      <c r="D25" s="278">
        <v>35671180.538500004</v>
      </c>
      <c r="E25" s="279">
        <f t="shared" si="2"/>
        <v>36932123.508500002</v>
      </c>
      <c r="F25" s="280">
        <v>846927.28</v>
      </c>
      <c r="G25" s="281">
        <v>27548702.5</v>
      </c>
      <c r="H25" s="282">
        <f t="shared" si="3"/>
        <v>28395629.780000001</v>
      </c>
    </row>
    <row r="26" spans="1:8" ht="15.75">
      <c r="A26" s="41">
        <v>17</v>
      </c>
      <c r="B26" s="45" t="s">
        <v>179</v>
      </c>
      <c r="C26" s="283">
        <v>0</v>
      </c>
      <c r="D26" s="283">
        <v>0</v>
      </c>
      <c r="E26" s="279">
        <f t="shared" si="2"/>
        <v>0</v>
      </c>
      <c r="F26" s="284">
        <v>0</v>
      </c>
      <c r="G26" s="285">
        <v>0</v>
      </c>
      <c r="H26" s="282">
        <f t="shared" si="3"/>
        <v>0</v>
      </c>
    </row>
    <row r="27" spans="1:8" ht="15.75">
      <c r="A27" s="41">
        <v>18</v>
      </c>
      <c r="B27" s="45" t="s">
        <v>180</v>
      </c>
      <c r="C27" s="278">
        <v>0</v>
      </c>
      <c r="D27" s="278">
        <v>2314566.3500999999</v>
      </c>
      <c r="E27" s="279">
        <f t="shared" si="2"/>
        <v>2314566.3500999999</v>
      </c>
      <c r="F27" s="280">
        <v>4000000</v>
      </c>
      <c r="G27" s="281">
        <v>6713570.4250999996</v>
      </c>
      <c r="H27" s="282">
        <f t="shared" si="3"/>
        <v>10713570.425099999</v>
      </c>
    </row>
    <row r="28" spans="1:8" ht="15.75">
      <c r="A28" s="41">
        <v>19</v>
      </c>
      <c r="B28" s="45" t="s">
        <v>181</v>
      </c>
      <c r="C28" s="278">
        <v>2811.53</v>
      </c>
      <c r="D28" s="278">
        <v>686751.8567</v>
      </c>
      <c r="E28" s="279">
        <f t="shared" si="2"/>
        <v>689563.38670000003</v>
      </c>
      <c r="F28" s="280">
        <v>19875.669999999998</v>
      </c>
      <c r="G28" s="281">
        <v>542223.97660000005</v>
      </c>
      <c r="H28" s="282">
        <f t="shared" si="3"/>
        <v>562099.64660000009</v>
      </c>
    </row>
    <row r="29" spans="1:8" ht="15.75">
      <c r="A29" s="41">
        <v>20</v>
      </c>
      <c r="B29" s="45" t="s">
        <v>103</v>
      </c>
      <c r="C29" s="278">
        <v>1314076.43</v>
      </c>
      <c r="D29" s="278">
        <v>234984.0257</v>
      </c>
      <c r="E29" s="279">
        <f t="shared" si="2"/>
        <v>1549060.4556999998</v>
      </c>
      <c r="F29" s="280">
        <v>786753.11</v>
      </c>
      <c r="G29" s="281">
        <v>230835.34529999999</v>
      </c>
      <c r="H29" s="282">
        <f t="shared" si="3"/>
        <v>1017588.4553</v>
      </c>
    </row>
    <row r="30" spans="1:8" ht="15.75">
      <c r="A30" s="41">
        <v>21</v>
      </c>
      <c r="B30" s="45" t="s">
        <v>182</v>
      </c>
      <c r="C30" s="278">
        <v>0</v>
      </c>
      <c r="D30" s="278">
        <v>0</v>
      </c>
      <c r="E30" s="279">
        <f t="shared" si="2"/>
        <v>0</v>
      </c>
      <c r="F30" s="280">
        <v>0</v>
      </c>
      <c r="G30" s="281">
        <v>0</v>
      </c>
      <c r="H30" s="282">
        <f t="shared" si="3"/>
        <v>0</v>
      </c>
    </row>
    <row r="31" spans="1:8" ht="15.75">
      <c r="A31" s="41">
        <v>22</v>
      </c>
      <c r="B31" s="47" t="s">
        <v>183</v>
      </c>
      <c r="C31" s="279">
        <f>SUM(C22:C30)</f>
        <v>9297271.6699999999</v>
      </c>
      <c r="D31" s="279">
        <f>SUM(D22:D30)</f>
        <v>136294205.45470002</v>
      </c>
      <c r="E31" s="279">
        <f t="shared" si="2"/>
        <v>145591477.12470001</v>
      </c>
      <c r="F31" s="279">
        <f>SUM(F22:F30)</f>
        <v>26892987.68</v>
      </c>
      <c r="G31" s="279">
        <f>SUM(G22:G30)</f>
        <v>150371063.89269996</v>
      </c>
      <c r="H31" s="282">
        <f t="shared" si="3"/>
        <v>177264051.57269996</v>
      </c>
    </row>
    <row r="32" spans="1:8" ht="15.75">
      <c r="A32" s="41"/>
      <c r="B32" s="42" t="s">
        <v>192</v>
      </c>
      <c r="C32" s="283"/>
      <c r="D32" s="283"/>
      <c r="E32" s="278"/>
      <c r="F32" s="284"/>
      <c r="G32" s="285"/>
      <c r="H32" s="286"/>
    </row>
    <row r="33" spans="1:8" ht="15.75">
      <c r="A33" s="41">
        <v>23</v>
      </c>
      <c r="B33" s="45" t="s">
        <v>184</v>
      </c>
      <c r="C33" s="278">
        <v>103000000</v>
      </c>
      <c r="D33" s="283">
        <v>0</v>
      </c>
      <c r="E33" s="279">
        <f t="shared" ref="E33:E39" si="4">C33+D33</f>
        <v>103000000</v>
      </c>
      <c r="F33" s="280">
        <v>103000000</v>
      </c>
      <c r="G33" s="285">
        <v>0</v>
      </c>
      <c r="H33" s="282">
        <f t="shared" ref="H33:H39" si="5">F33+G33</f>
        <v>103000000</v>
      </c>
    </row>
    <row r="34" spans="1:8" ht="15.75">
      <c r="A34" s="41">
        <v>24</v>
      </c>
      <c r="B34" s="45" t="s">
        <v>185</v>
      </c>
      <c r="C34" s="278">
        <v>0</v>
      </c>
      <c r="D34" s="283">
        <v>0</v>
      </c>
      <c r="E34" s="279">
        <f t="shared" si="4"/>
        <v>0</v>
      </c>
      <c r="F34" s="280">
        <v>0</v>
      </c>
      <c r="G34" s="285">
        <v>0</v>
      </c>
      <c r="H34" s="282">
        <f t="shared" si="5"/>
        <v>0</v>
      </c>
    </row>
    <row r="35" spans="1:8" ht="15.75">
      <c r="A35" s="41">
        <v>25</v>
      </c>
      <c r="B35" s="46" t="s">
        <v>186</v>
      </c>
      <c r="C35" s="278">
        <v>0</v>
      </c>
      <c r="D35" s="283">
        <v>0</v>
      </c>
      <c r="E35" s="279">
        <f t="shared" si="4"/>
        <v>0</v>
      </c>
      <c r="F35" s="280">
        <v>0</v>
      </c>
      <c r="G35" s="285">
        <v>0</v>
      </c>
      <c r="H35" s="282">
        <f t="shared" si="5"/>
        <v>0</v>
      </c>
    </row>
    <row r="36" spans="1:8" ht="15.75">
      <c r="A36" s="41">
        <v>26</v>
      </c>
      <c r="B36" s="45" t="s">
        <v>187</v>
      </c>
      <c r="C36" s="278">
        <v>0</v>
      </c>
      <c r="D36" s="283">
        <v>0</v>
      </c>
      <c r="E36" s="279">
        <f t="shared" si="4"/>
        <v>0</v>
      </c>
      <c r="F36" s="280">
        <v>0</v>
      </c>
      <c r="G36" s="285">
        <v>0</v>
      </c>
      <c r="H36" s="282">
        <f t="shared" si="5"/>
        <v>0</v>
      </c>
    </row>
    <row r="37" spans="1:8" ht="15.75">
      <c r="A37" s="41">
        <v>27</v>
      </c>
      <c r="B37" s="45" t="s">
        <v>188</v>
      </c>
      <c r="C37" s="278">
        <v>0</v>
      </c>
      <c r="D37" s="283">
        <v>0</v>
      </c>
      <c r="E37" s="279">
        <f t="shared" si="4"/>
        <v>0</v>
      </c>
      <c r="F37" s="280">
        <v>0</v>
      </c>
      <c r="G37" s="285">
        <v>0</v>
      </c>
      <c r="H37" s="282">
        <f t="shared" si="5"/>
        <v>0</v>
      </c>
    </row>
    <row r="38" spans="1:8" ht="15.75">
      <c r="A38" s="41">
        <v>28</v>
      </c>
      <c r="B38" s="45" t="s">
        <v>189</v>
      </c>
      <c r="C38" s="278">
        <v>2331557.9900000002</v>
      </c>
      <c r="D38" s="283">
        <v>0</v>
      </c>
      <c r="E38" s="279">
        <f t="shared" si="4"/>
        <v>2331557.9900000002</v>
      </c>
      <c r="F38" s="280">
        <v>-2599883.75</v>
      </c>
      <c r="G38" s="285">
        <v>0</v>
      </c>
      <c r="H38" s="282">
        <f t="shared" si="5"/>
        <v>-2599883.75</v>
      </c>
    </row>
    <row r="39" spans="1:8" ht="15.75">
      <c r="A39" s="41">
        <v>29</v>
      </c>
      <c r="B39" s="45" t="s">
        <v>208</v>
      </c>
      <c r="C39" s="278">
        <v>0</v>
      </c>
      <c r="D39" s="283">
        <v>0</v>
      </c>
      <c r="E39" s="279">
        <f t="shared" si="4"/>
        <v>0</v>
      </c>
      <c r="F39" s="280">
        <v>0</v>
      </c>
      <c r="G39" s="285">
        <v>0</v>
      </c>
      <c r="H39" s="282">
        <f t="shared" si="5"/>
        <v>0</v>
      </c>
    </row>
    <row r="40" spans="1:8" ht="15.75">
      <c r="A40" s="41">
        <v>30</v>
      </c>
      <c r="B40" s="47" t="s">
        <v>190</v>
      </c>
      <c r="C40" s="278">
        <f t="shared" ref="C40:H40" si="6">C33+C34+C35+C36+C37+C38+C39</f>
        <v>105331557.98999999</v>
      </c>
      <c r="D40" s="283">
        <f t="shared" si="6"/>
        <v>0</v>
      </c>
      <c r="E40" s="279">
        <f t="shared" si="6"/>
        <v>105331557.98999999</v>
      </c>
      <c r="F40" s="280">
        <f t="shared" si="6"/>
        <v>100400116.25</v>
      </c>
      <c r="G40" s="285">
        <f t="shared" si="6"/>
        <v>0</v>
      </c>
      <c r="H40" s="282">
        <f t="shared" si="6"/>
        <v>100400116.25</v>
      </c>
    </row>
    <row r="41" spans="1:8" ht="16.5" thickBot="1">
      <c r="A41" s="48">
        <v>31</v>
      </c>
      <c r="B41" s="49" t="s">
        <v>209</v>
      </c>
      <c r="C41" s="287">
        <f>C31+C40</f>
        <v>114628829.66</v>
      </c>
      <c r="D41" s="287">
        <f>D31+D40</f>
        <v>136294205.45470002</v>
      </c>
      <c r="E41" s="287">
        <f>C41+D41</f>
        <v>250923035.11470002</v>
      </c>
      <c r="F41" s="287">
        <f>F31+F40</f>
        <v>127293103.93000001</v>
      </c>
      <c r="G41" s="287">
        <f>G31+G40</f>
        <v>150371063.89269996</v>
      </c>
      <c r="H41" s="288">
        <f>F41+G41</f>
        <v>277664167.82269996</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67"/>
  <sheetViews>
    <sheetView workbookViewId="0">
      <pane xSplit="1" ySplit="6" topLeftCell="C13" activePane="bottomRight" state="frozen"/>
      <selection pane="topRight"/>
      <selection pane="bottomLeft"/>
      <selection pane="bottomRight" activeCell="H67" sqref="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2"/>
  </cols>
  <sheetData>
    <row r="1" spans="1:12" ht="15.75">
      <c r="A1" s="17" t="s">
        <v>199</v>
      </c>
      <c r="B1" s="16" t="s">
        <v>473</v>
      </c>
      <c r="C1" s="16"/>
    </row>
    <row r="2" spans="1:12" ht="15.75">
      <c r="A2" s="17" t="s">
        <v>200</v>
      </c>
      <c r="B2" s="16" t="s">
        <v>474</v>
      </c>
      <c r="C2" s="29"/>
      <c r="D2" s="18"/>
      <c r="E2" s="18"/>
      <c r="F2" s="18"/>
      <c r="G2" s="18"/>
      <c r="H2" s="18"/>
    </row>
    <row r="3" spans="1:12" ht="15.75">
      <c r="A3" s="17"/>
      <c r="B3" s="16"/>
      <c r="C3" s="29"/>
      <c r="D3" s="18"/>
      <c r="E3" s="18"/>
      <c r="F3" s="18"/>
      <c r="G3" s="18"/>
      <c r="H3" s="18"/>
    </row>
    <row r="4" spans="1:12" ht="16.5" thickBot="1">
      <c r="A4" s="51" t="s">
        <v>350</v>
      </c>
      <c r="B4" s="30" t="s">
        <v>234</v>
      </c>
      <c r="C4" s="37"/>
      <c r="D4" s="37"/>
      <c r="E4" s="37"/>
      <c r="F4" s="51"/>
      <c r="G4" s="51"/>
      <c r="H4" s="52" t="s">
        <v>101</v>
      </c>
    </row>
    <row r="5" spans="1:12" ht="15.75">
      <c r="A5" s="142"/>
      <c r="B5" s="143"/>
      <c r="C5" s="532" t="s">
        <v>206</v>
      </c>
      <c r="D5" s="533"/>
      <c r="E5" s="534"/>
      <c r="F5" s="532" t="s">
        <v>207</v>
      </c>
      <c r="G5" s="533"/>
      <c r="H5" s="535"/>
    </row>
    <row r="6" spans="1:12">
      <c r="A6" s="144" t="s">
        <v>29</v>
      </c>
      <c r="B6" s="53"/>
      <c r="C6" s="54" t="s">
        <v>30</v>
      </c>
      <c r="D6" s="54" t="s">
        <v>104</v>
      </c>
      <c r="E6" s="54" t="s">
        <v>71</v>
      </c>
      <c r="F6" s="54" t="s">
        <v>30</v>
      </c>
      <c r="G6" s="54" t="s">
        <v>104</v>
      </c>
      <c r="H6" s="145" t="s">
        <v>71</v>
      </c>
    </row>
    <row r="7" spans="1:12">
      <c r="A7" s="146"/>
      <c r="B7" s="56" t="s">
        <v>100</v>
      </c>
      <c r="C7" s="57"/>
      <c r="D7" s="57"/>
      <c r="E7" s="57"/>
      <c r="F7" s="57"/>
      <c r="G7" s="57"/>
      <c r="H7" s="147"/>
    </row>
    <row r="8" spans="1:12" ht="15.75">
      <c r="A8" s="146">
        <v>1</v>
      </c>
      <c r="B8" s="58" t="s">
        <v>105</v>
      </c>
      <c r="C8" s="289">
        <v>718343.9</v>
      </c>
      <c r="D8" s="289">
        <v>805733.4</v>
      </c>
      <c r="E8" s="279">
        <f t="shared" ref="E8:E22" si="0">C8+D8</f>
        <v>1524077.3</v>
      </c>
      <c r="F8" s="289">
        <v>156662.17000000001</v>
      </c>
      <c r="G8" s="289">
        <v>1238954.92</v>
      </c>
      <c r="H8" s="290">
        <f t="shared" ref="H8:H22" si="1">F8+G8</f>
        <v>1395617.0899999999</v>
      </c>
      <c r="J8" s="393"/>
      <c r="K8" s="393"/>
      <c r="L8" s="393"/>
    </row>
    <row r="9" spans="1:12" ht="15.75">
      <c r="A9" s="146">
        <v>2</v>
      </c>
      <c r="B9" s="58" t="s">
        <v>106</v>
      </c>
      <c r="C9" s="291">
        <f>SUM(C10:C18)</f>
        <v>6594157.9199999999</v>
      </c>
      <c r="D9" s="291">
        <f>SUM(D10:D18)</f>
        <v>1856523.3100000003</v>
      </c>
      <c r="E9" s="279">
        <f t="shared" si="0"/>
        <v>8450681.2300000004</v>
      </c>
      <c r="F9" s="291">
        <f>SUM(F10:F18)</f>
        <v>7493107.0800000001</v>
      </c>
      <c r="G9" s="291">
        <f>SUM(G10:G18)</f>
        <v>1770044.3199999998</v>
      </c>
      <c r="H9" s="290">
        <f t="shared" si="1"/>
        <v>9263151.4000000004</v>
      </c>
    </row>
    <row r="10" spans="1:12" ht="15.75">
      <c r="A10" s="146">
        <v>2.1</v>
      </c>
      <c r="B10" s="59" t="s">
        <v>107</v>
      </c>
      <c r="C10" s="289">
        <v>105287.66</v>
      </c>
      <c r="D10" s="289"/>
      <c r="E10" s="279">
        <f t="shared" si="0"/>
        <v>105287.66</v>
      </c>
      <c r="F10" s="289"/>
      <c r="G10" s="289"/>
      <c r="H10" s="290">
        <f t="shared" si="1"/>
        <v>0</v>
      </c>
    </row>
    <row r="11" spans="1:12" ht="15.75">
      <c r="A11" s="146">
        <v>2.2000000000000002</v>
      </c>
      <c r="B11" s="59" t="s">
        <v>108</v>
      </c>
      <c r="C11" s="289">
        <v>3129811.33</v>
      </c>
      <c r="D11" s="289">
        <v>1239479.3600000001</v>
      </c>
      <c r="E11" s="279">
        <f t="shared" si="0"/>
        <v>4369290.6900000004</v>
      </c>
      <c r="F11" s="289">
        <v>3996207.43</v>
      </c>
      <c r="G11" s="289">
        <v>1334819.45</v>
      </c>
      <c r="H11" s="290">
        <f t="shared" si="1"/>
        <v>5331026.88</v>
      </c>
    </row>
    <row r="12" spans="1:12" ht="15.75">
      <c r="A12" s="146">
        <v>2.2999999999999998</v>
      </c>
      <c r="B12" s="59" t="s">
        <v>109</v>
      </c>
      <c r="C12" s="289">
        <v>1223437.19</v>
      </c>
      <c r="D12" s="289">
        <v>203923.33</v>
      </c>
      <c r="E12" s="279">
        <f t="shared" si="0"/>
        <v>1427360.52</v>
      </c>
      <c r="F12" s="289">
        <v>1933975.51</v>
      </c>
      <c r="G12" s="289"/>
      <c r="H12" s="290">
        <f t="shared" si="1"/>
        <v>1933975.51</v>
      </c>
    </row>
    <row r="13" spans="1:12" ht="15.75">
      <c r="A13" s="146">
        <v>2.4</v>
      </c>
      <c r="B13" s="59" t="s">
        <v>110</v>
      </c>
      <c r="C13" s="289"/>
      <c r="D13" s="289"/>
      <c r="E13" s="279">
        <f t="shared" si="0"/>
        <v>0</v>
      </c>
      <c r="F13" s="289"/>
      <c r="G13" s="289"/>
      <c r="H13" s="290">
        <f t="shared" si="1"/>
        <v>0</v>
      </c>
    </row>
    <row r="14" spans="1:12" ht="15.75">
      <c r="A14" s="146">
        <v>2.5</v>
      </c>
      <c r="B14" s="59" t="s">
        <v>111</v>
      </c>
      <c r="C14" s="289">
        <v>164731.32</v>
      </c>
      <c r="D14" s="289">
        <v>4637.2700000000004</v>
      </c>
      <c r="E14" s="279">
        <f t="shared" si="0"/>
        <v>169368.59</v>
      </c>
      <c r="F14" s="289">
        <v>5394.11</v>
      </c>
      <c r="G14" s="289">
        <v>76354.8</v>
      </c>
      <c r="H14" s="290">
        <f t="shared" si="1"/>
        <v>81748.91</v>
      </c>
    </row>
    <row r="15" spans="1:12" ht="15.75">
      <c r="A15" s="146">
        <v>2.6</v>
      </c>
      <c r="B15" s="59" t="s">
        <v>112</v>
      </c>
      <c r="C15" s="289"/>
      <c r="D15" s="289">
        <v>144287.35</v>
      </c>
      <c r="E15" s="279">
        <f t="shared" si="0"/>
        <v>144287.35</v>
      </c>
      <c r="F15" s="289"/>
      <c r="G15" s="289"/>
      <c r="H15" s="290">
        <f t="shared" si="1"/>
        <v>0</v>
      </c>
    </row>
    <row r="16" spans="1:12" ht="15.75">
      <c r="A16" s="146">
        <v>2.7</v>
      </c>
      <c r="B16" s="59" t="s">
        <v>113</v>
      </c>
      <c r="C16" s="289">
        <v>505559.09</v>
      </c>
      <c r="D16" s="289"/>
      <c r="E16" s="279">
        <f t="shared" si="0"/>
        <v>505559.09</v>
      </c>
      <c r="F16" s="289"/>
      <c r="G16" s="289"/>
      <c r="H16" s="290">
        <f t="shared" si="1"/>
        <v>0</v>
      </c>
    </row>
    <row r="17" spans="1:8" ht="15.75">
      <c r="A17" s="146">
        <v>2.8</v>
      </c>
      <c r="B17" s="59" t="s">
        <v>114</v>
      </c>
      <c r="C17" s="289">
        <v>30436.880000000001</v>
      </c>
      <c r="D17" s="289">
        <v>2899.24</v>
      </c>
      <c r="E17" s="279">
        <f t="shared" si="0"/>
        <v>33336.120000000003</v>
      </c>
      <c r="F17" s="289">
        <v>20126.63</v>
      </c>
      <c r="G17" s="289">
        <v>85909.7</v>
      </c>
      <c r="H17" s="290">
        <f t="shared" si="1"/>
        <v>106036.33</v>
      </c>
    </row>
    <row r="18" spans="1:8" ht="15.75">
      <c r="A18" s="146">
        <v>2.9</v>
      </c>
      <c r="B18" s="59" t="s">
        <v>115</v>
      </c>
      <c r="C18" s="289">
        <v>1434894.45</v>
      </c>
      <c r="D18" s="289">
        <v>261296.76</v>
      </c>
      <c r="E18" s="279">
        <f t="shared" si="0"/>
        <v>1696191.21</v>
      </c>
      <c r="F18" s="289">
        <v>1537403.4</v>
      </c>
      <c r="G18" s="289">
        <v>272960.37</v>
      </c>
      <c r="H18" s="290">
        <f t="shared" si="1"/>
        <v>1810363.77</v>
      </c>
    </row>
    <row r="19" spans="1:8" ht="15.75">
      <c r="A19" s="146">
        <v>3</v>
      </c>
      <c r="B19" s="58" t="s">
        <v>116</v>
      </c>
      <c r="C19" s="289">
        <v>78802.87</v>
      </c>
      <c r="D19" s="289">
        <v>12924.33</v>
      </c>
      <c r="E19" s="279">
        <f t="shared" si="0"/>
        <v>91727.2</v>
      </c>
      <c r="F19" s="289">
        <v>103726.18</v>
      </c>
      <c r="G19" s="289">
        <v>30465.15</v>
      </c>
      <c r="H19" s="290">
        <f t="shared" si="1"/>
        <v>134191.32999999999</v>
      </c>
    </row>
    <row r="20" spans="1:8" ht="15.75">
      <c r="A20" s="146">
        <v>4</v>
      </c>
      <c r="B20" s="58" t="s">
        <v>117</v>
      </c>
      <c r="C20" s="289">
        <v>3099011.92</v>
      </c>
      <c r="D20" s="289">
        <v>1087952.1100000001</v>
      </c>
      <c r="E20" s="279">
        <f t="shared" si="0"/>
        <v>4186964.0300000003</v>
      </c>
      <c r="F20" s="289">
        <v>5259636.7</v>
      </c>
      <c r="G20" s="289">
        <v>1248921.6200000001</v>
      </c>
      <c r="H20" s="290">
        <f t="shared" si="1"/>
        <v>6508558.3200000003</v>
      </c>
    </row>
    <row r="21" spans="1:8" ht="15.75">
      <c r="A21" s="146">
        <v>5</v>
      </c>
      <c r="B21" s="58" t="s">
        <v>118</v>
      </c>
      <c r="C21" s="289"/>
      <c r="D21" s="289"/>
      <c r="E21" s="279">
        <f t="shared" si="0"/>
        <v>0</v>
      </c>
      <c r="F21" s="289"/>
      <c r="G21" s="289"/>
      <c r="H21" s="290">
        <f t="shared" si="1"/>
        <v>0</v>
      </c>
    </row>
    <row r="22" spans="1:8" ht="15.75">
      <c r="A22" s="146">
        <v>6</v>
      </c>
      <c r="B22" s="60" t="s">
        <v>119</v>
      </c>
      <c r="C22" s="291">
        <f>C8+C9+C19+C20+C21</f>
        <v>10490316.609999999</v>
      </c>
      <c r="D22" s="291">
        <f>D8+D9+D19+D20+D21</f>
        <v>3763133.1500000004</v>
      </c>
      <c r="E22" s="279">
        <f t="shared" si="0"/>
        <v>14253449.76</v>
      </c>
      <c r="F22" s="291">
        <f>F8+F9+F19+F20+F21</f>
        <v>13013132.129999999</v>
      </c>
      <c r="G22" s="291">
        <f>G8+G9+G19+G20+G21</f>
        <v>4288386.01</v>
      </c>
      <c r="H22" s="290">
        <f t="shared" si="1"/>
        <v>17301518.140000001</v>
      </c>
    </row>
    <row r="23" spans="1:8" ht="15.75">
      <c r="A23" s="146"/>
      <c r="B23" s="56" t="s">
        <v>98</v>
      </c>
      <c r="C23" s="289"/>
      <c r="D23" s="289"/>
      <c r="E23" s="278"/>
      <c r="F23" s="289"/>
      <c r="G23" s="289"/>
      <c r="H23" s="292"/>
    </row>
    <row r="24" spans="1:8" ht="15.75">
      <c r="A24" s="146">
        <v>7</v>
      </c>
      <c r="B24" s="58" t="s">
        <v>120</v>
      </c>
      <c r="C24" s="289">
        <v>98797.75</v>
      </c>
      <c r="D24" s="289">
        <v>17957.07</v>
      </c>
      <c r="E24" s="279">
        <f t="shared" ref="E24:E31" si="2">C24+D24</f>
        <v>116754.82</v>
      </c>
      <c r="F24" s="289">
        <v>57807.1</v>
      </c>
      <c r="G24" s="289">
        <v>76268.240000000005</v>
      </c>
      <c r="H24" s="290">
        <f t="shared" ref="H24:H31" si="3">F24+G24</f>
        <v>134075.34</v>
      </c>
    </row>
    <row r="25" spans="1:8" ht="15.75">
      <c r="A25" s="146">
        <v>8</v>
      </c>
      <c r="B25" s="58" t="s">
        <v>121</v>
      </c>
      <c r="C25" s="289">
        <v>26633.919999999998</v>
      </c>
      <c r="D25" s="289">
        <v>514914.86</v>
      </c>
      <c r="E25" s="279">
        <f t="shared" si="2"/>
        <v>541548.78</v>
      </c>
      <c r="F25" s="289">
        <v>111726.02</v>
      </c>
      <c r="G25" s="289">
        <v>320407.40000000002</v>
      </c>
      <c r="H25" s="290">
        <f t="shared" si="3"/>
        <v>432133.42000000004</v>
      </c>
    </row>
    <row r="26" spans="1:8" ht="15.75">
      <c r="A26" s="146">
        <v>9</v>
      </c>
      <c r="B26" s="58" t="s">
        <v>122</v>
      </c>
      <c r="C26" s="289">
        <v>354466.86</v>
      </c>
      <c r="D26" s="289">
        <v>1394124.74</v>
      </c>
      <c r="E26" s="279">
        <f t="shared" si="2"/>
        <v>1748591.6</v>
      </c>
      <c r="F26" s="289">
        <v>1171670.96</v>
      </c>
      <c r="G26" s="289">
        <v>1394721.31</v>
      </c>
      <c r="H26" s="290">
        <f t="shared" si="3"/>
        <v>2566392.27</v>
      </c>
    </row>
    <row r="27" spans="1:8" ht="15.75">
      <c r="A27" s="146">
        <v>10</v>
      </c>
      <c r="B27" s="58" t="s">
        <v>123</v>
      </c>
      <c r="C27" s="289"/>
      <c r="D27" s="289"/>
      <c r="E27" s="279">
        <f t="shared" si="2"/>
        <v>0</v>
      </c>
      <c r="F27" s="289"/>
      <c r="G27" s="289"/>
      <c r="H27" s="290">
        <f t="shared" si="3"/>
        <v>0</v>
      </c>
    </row>
    <row r="28" spans="1:8" ht="15.75">
      <c r="A28" s="146">
        <v>11</v>
      </c>
      <c r="B28" s="58" t="s">
        <v>124</v>
      </c>
      <c r="C28" s="289">
        <v>558004.98</v>
      </c>
      <c r="D28" s="289">
        <v>73463.850000000006</v>
      </c>
      <c r="E28" s="279">
        <f t="shared" si="2"/>
        <v>631468.82999999996</v>
      </c>
      <c r="F28" s="289">
        <v>2193440.6800000002</v>
      </c>
      <c r="G28" s="289">
        <v>132070.74</v>
      </c>
      <c r="H28" s="290">
        <f t="shared" si="3"/>
        <v>2325511.42</v>
      </c>
    </row>
    <row r="29" spans="1:8" ht="15.75">
      <c r="A29" s="146">
        <v>12</v>
      </c>
      <c r="B29" s="58" t="s">
        <v>125</v>
      </c>
      <c r="C29" s="289">
        <v>26805.64</v>
      </c>
      <c r="D29" s="289">
        <v>19530.97</v>
      </c>
      <c r="E29" s="279">
        <f t="shared" si="2"/>
        <v>46336.61</v>
      </c>
      <c r="F29" s="289">
        <v>9747.1200000000008</v>
      </c>
      <c r="G29" s="289">
        <v>17924.16</v>
      </c>
      <c r="H29" s="290">
        <f t="shared" si="3"/>
        <v>27671.279999999999</v>
      </c>
    </row>
    <row r="30" spans="1:8" ht="15.75">
      <c r="A30" s="146">
        <v>13</v>
      </c>
      <c r="B30" s="61" t="s">
        <v>126</v>
      </c>
      <c r="C30" s="291">
        <f>SUM(C24:C29)</f>
        <v>1064709.1499999999</v>
      </c>
      <c r="D30" s="291">
        <f>SUM(D24:D29)</f>
        <v>2019991.49</v>
      </c>
      <c r="E30" s="279">
        <f t="shared" si="2"/>
        <v>3084700.6399999997</v>
      </c>
      <c r="F30" s="291">
        <f>SUM(F24:F29)</f>
        <v>3544391.8800000004</v>
      </c>
      <c r="G30" s="291">
        <f>SUM(G24:G29)</f>
        <v>1941391.85</v>
      </c>
      <c r="H30" s="290">
        <f t="shared" si="3"/>
        <v>5485783.7300000004</v>
      </c>
    </row>
    <row r="31" spans="1:8" ht="15.75">
      <c r="A31" s="146">
        <v>14</v>
      </c>
      <c r="B31" s="61" t="s">
        <v>127</v>
      </c>
      <c r="C31" s="291">
        <f>C22-C30</f>
        <v>9425607.459999999</v>
      </c>
      <c r="D31" s="291">
        <f>D22-D30</f>
        <v>1743141.6600000004</v>
      </c>
      <c r="E31" s="279">
        <f t="shared" si="2"/>
        <v>11168749.119999999</v>
      </c>
      <c r="F31" s="291">
        <f>F22-F30</f>
        <v>9468740.2499999981</v>
      </c>
      <c r="G31" s="291">
        <f>G22-G30</f>
        <v>2346994.1599999997</v>
      </c>
      <c r="H31" s="290">
        <f t="shared" si="3"/>
        <v>11815734.409999998</v>
      </c>
    </row>
    <row r="32" spans="1:8">
      <c r="A32" s="146"/>
      <c r="B32" s="56"/>
      <c r="C32" s="293"/>
      <c r="D32" s="293"/>
      <c r="E32" s="293"/>
      <c r="F32" s="293"/>
      <c r="G32" s="293"/>
      <c r="H32" s="294"/>
    </row>
    <row r="33" spans="1:8" ht="15.75">
      <c r="A33" s="146"/>
      <c r="B33" s="56" t="s">
        <v>128</v>
      </c>
      <c r="C33" s="289"/>
      <c r="D33" s="289"/>
      <c r="E33" s="278"/>
      <c r="F33" s="289"/>
      <c r="G33" s="289"/>
      <c r="H33" s="292"/>
    </row>
    <row r="34" spans="1:8" ht="15.75">
      <c r="A34" s="146">
        <v>15</v>
      </c>
      <c r="B34" s="55" t="s">
        <v>99</v>
      </c>
      <c r="C34" s="295">
        <f>C35-C36</f>
        <v>-62581.64</v>
      </c>
      <c r="D34" s="295">
        <f>D35-D36</f>
        <v>28992.18</v>
      </c>
      <c r="E34" s="279">
        <f t="shared" ref="E34:E45" si="4">C34+D34</f>
        <v>-33589.46</v>
      </c>
      <c r="F34" s="295">
        <f>F35-F36</f>
        <v>-48767.51999999999</v>
      </c>
      <c r="G34" s="295">
        <f>G35-G36</f>
        <v>30948.129999999997</v>
      </c>
      <c r="H34" s="290">
        <f t="shared" ref="H34:H45" si="5">F34+G34</f>
        <v>-17819.389999999992</v>
      </c>
    </row>
    <row r="35" spans="1:8" ht="15.75">
      <c r="A35" s="146">
        <v>15.1</v>
      </c>
      <c r="B35" s="59" t="s">
        <v>129</v>
      </c>
      <c r="C35" s="289">
        <v>17198.64</v>
      </c>
      <c r="D35" s="289">
        <v>86291.75</v>
      </c>
      <c r="E35" s="279">
        <f t="shared" si="4"/>
        <v>103490.39</v>
      </c>
      <c r="F35" s="289">
        <v>23947.13</v>
      </c>
      <c r="G35" s="289">
        <v>87506.12</v>
      </c>
      <c r="H35" s="290">
        <f t="shared" si="5"/>
        <v>111453.25</v>
      </c>
    </row>
    <row r="36" spans="1:8" ht="15.75">
      <c r="A36" s="146">
        <v>15.2</v>
      </c>
      <c r="B36" s="59" t="s">
        <v>130</v>
      </c>
      <c r="C36" s="289">
        <v>79780.28</v>
      </c>
      <c r="D36" s="289">
        <v>57299.57</v>
      </c>
      <c r="E36" s="279">
        <f t="shared" si="4"/>
        <v>137079.85</v>
      </c>
      <c r="F36" s="289">
        <v>72714.649999999994</v>
      </c>
      <c r="G36" s="289">
        <v>56557.99</v>
      </c>
      <c r="H36" s="290">
        <f t="shared" si="5"/>
        <v>129272.63999999998</v>
      </c>
    </row>
    <row r="37" spans="1:8" ht="15.75">
      <c r="A37" s="146">
        <v>16</v>
      </c>
      <c r="B37" s="58" t="s">
        <v>131</v>
      </c>
      <c r="C37" s="289"/>
      <c r="D37" s="289"/>
      <c r="E37" s="279">
        <f t="shared" si="4"/>
        <v>0</v>
      </c>
      <c r="F37" s="289"/>
      <c r="G37" s="289"/>
      <c r="H37" s="290">
        <f t="shared" si="5"/>
        <v>0</v>
      </c>
    </row>
    <row r="38" spans="1:8" ht="15.75">
      <c r="A38" s="146">
        <v>17</v>
      </c>
      <c r="B38" s="58" t="s">
        <v>132</v>
      </c>
      <c r="C38" s="289"/>
      <c r="D38" s="289"/>
      <c r="E38" s="279">
        <f t="shared" si="4"/>
        <v>0</v>
      </c>
      <c r="F38" s="289"/>
      <c r="G38" s="289"/>
      <c r="H38" s="290">
        <f t="shared" si="5"/>
        <v>0</v>
      </c>
    </row>
    <row r="39" spans="1:8" ht="15.75">
      <c r="A39" s="146">
        <v>18</v>
      </c>
      <c r="B39" s="58" t="s">
        <v>133</v>
      </c>
      <c r="C39" s="289"/>
      <c r="D39" s="289">
        <v>-26592.28</v>
      </c>
      <c r="E39" s="279">
        <f t="shared" si="4"/>
        <v>-26592.28</v>
      </c>
      <c r="F39" s="289"/>
      <c r="G39" s="289"/>
      <c r="H39" s="290">
        <f t="shared" si="5"/>
        <v>0</v>
      </c>
    </row>
    <row r="40" spans="1:8" ht="15.75">
      <c r="A40" s="146">
        <v>19</v>
      </c>
      <c r="B40" s="58" t="s">
        <v>134</v>
      </c>
      <c r="C40" s="289">
        <v>627635.75</v>
      </c>
      <c r="D40" s="289">
        <v>0</v>
      </c>
      <c r="E40" s="279">
        <f t="shared" si="4"/>
        <v>627635.75</v>
      </c>
      <c r="F40" s="289">
        <v>597940.41</v>
      </c>
      <c r="G40" s="289">
        <v>0</v>
      </c>
      <c r="H40" s="290">
        <f t="shared" si="5"/>
        <v>597940.41</v>
      </c>
    </row>
    <row r="41" spans="1:8" ht="15.75">
      <c r="A41" s="146">
        <v>20</v>
      </c>
      <c r="B41" s="58" t="s">
        <v>135</v>
      </c>
      <c r="C41" s="289">
        <v>471588.08</v>
      </c>
      <c r="D41" s="289">
        <v>0</v>
      </c>
      <c r="E41" s="279">
        <f t="shared" si="4"/>
        <v>471588.08</v>
      </c>
      <c r="F41" s="289">
        <v>-12900.03</v>
      </c>
      <c r="G41" s="289">
        <v>0</v>
      </c>
      <c r="H41" s="290">
        <f t="shared" si="5"/>
        <v>-12900.03</v>
      </c>
    </row>
    <row r="42" spans="1:8" ht="15.75">
      <c r="A42" s="146">
        <v>21</v>
      </c>
      <c r="B42" s="58" t="s">
        <v>136</v>
      </c>
      <c r="C42" s="289"/>
      <c r="D42" s="289"/>
      <c r="E42" s="279">
        <f t="shared" si="4"/>
        <v>0</v>
      </c>
      <c r="F42" s="289">
        <v>-1124.56</v>
      </c>
      <c r="G42" s="289"/>
      <c r="H42" s="290">
        <f t="shared" si="5"/>
        <v>-1124.56</v>
      </c>
    </row>
    <row r="43" spans="1:8" ht="15.75">
      <c r="A43" s="146">
        <v>22</v>
      </c>
      <c r="B43" s="58" t="s">
        <v>137</v>
      </c>
      <c r="C43" s="289">
        <v>224217.77</v>
      </c>
      <c r="D43" s="289">
        <v>189885.76</v>
      </c>
      <c r="E43" s="279">
        <f t="shared" si="4"/>
        <v>414103.53</v>
      </c>
      <c r="F43" s="289">
        <v>92429.24</v>
      </c>
      <c r="G43" s="289">
        <v>184263.52</v>
      </c>
      <c r="H43" s="290">
        <f t="shared" si="5"/>
        <v>276692.76</v>
      </c>
    </row>
    <row r="44" spans="1:8" ht="15.75">
      <c r="A44" s="146">
        <v>23</v>
      </c>
      <c r="B44" s="58" t="s">
        <v>138</v>
      </c>
      <c r="C44" s="289">
        <v>2335.9299999999998</v>
      </c>
      <c r="D44" s="289"/>
      <c r="E44" s="279">
        <f t="shared" si="4"/>
        <v>2335.9299999999998</v>
      </c>
      <c r="F44" s="289"/>
      <c r="G44" s="289"/>
      <c r="H44" s="290">
        <f t="shared" si="5"/>
        <v>0</v>
      </c>
    </row>
    <row r="45" spans="1:8" ht="15.75">
      <c r="A45" s="146">
        <v>24</v>
      </c>
      <c r="B45" s="61" t="s">
        <v>139</v>
      </c>
      <c r="C45" s="291">
        <f>C34+C37+C38+C39+C40+C41+C42+C43+C44</f>
        <v>1263195.8899999999</v>
      </c>
      <c r="D45" s="291">
        <f>D34+D37+D38+D39+D40+D41+D42+D43+D44</f>
        <v>192285.66</v>
      </c>
      <c r="E45" s="279">
        <f t="shared" si="4"/>
        <v>1455481.5499999998</v>
      </c>
      <c r="F45" s="291">
        <f>F34+F37+F38+F39+F40+F41+F42+F43+F44</f>
        <v>627577.53999999992</v>
      </c>
      <c r="G45" s="291">
        <f>G34+G37+G38+G39+G40+G41+G42+G43+G44</f>
        <v>215211.65</v>
      </c>
      <c r="H45" s="290">
        <f t="shared" si="5"/>
        <v>842789.19</v>
      </c>
    </row>
    <row r="46" spans="1:8">
      <c r="A46" s="146"/>
      <c r="B46" s="56" t="s">
        <v>140</v>
      </c>
      <c r="C46" s="289"/>
      <c r="D46" s="289"/>
      <c r="E46" s="289"/>
      <c r="F46" s="289"/>
      <c r="G46" s="289"/>
      <c r="H46" s="296"/>
    </row>
    <row r="47" spans="1:8" ht="15.75">
      <c r="A47" s="146">
        <v>25</v>
      </c>
      <c r="B47" s="58" t="s">
        <v>141</v>
      </c>
      <c r="C47" s="289">
        <v>1314218.1299999999</v>
      </c>
      <c r="D47" s="289">
        <v>87182.32</v>
      </c>
      <c r="E47" s="279">
        <f t="shared" ref="E47:E54" si="6">C47+D47</f>
        <v>1401400.45</v>
      </c>
      <c r="F47" s="289">
        <v>1138797.52</v>
      </c>
      <c r="G47" s="289">
        <v>76934.789999999994</v>
      </c>
      <c r="H47" s="290">
        <f t="shared" ref="H47:H54" si="7">F47+G47</f>
        <v>1215732.31</v>
      </c>
    </row>
    <row r="48" spans="1:8" ht="15.75">
      <c r="A48" s="146">
        <v>26</v>
      </c>
      <c r="B48" s="58" t="s">
        <v>142</v>
      </c>
      <c r="C48" s="289">
        <v>1579443.01</v>
      </c>
      <c r="D48" s="289"/>
      <c r="E48" s="279">
        <f t="shared" si="6"/>
        <v>1579443.01</v>
      </c>
      <c r="F48" s="289">
        <v>1472170.61</v>
      </c>
      <c r="G48" s="289"/>
      <c r="H48" s="290">
        <f t="shared" si="7"/>
        <v>1472170.61</v>
      </c>
    </row>
    <row r="49" spans="1:9" ht="15.75">
      <c r="A49" s="146">
        <v>27</v>
      </c>
      <c r="B49" s="58" t="s">
        <v>143</v>
      </c>
      <c r="C49" s="289">
        <v>3534769.89</v>
      </c>
      <c r="D49" s="289">
        <v>0</v>
      </c>
      <c r="E49" s="279">
        <f t="shared" si="6"/>
        <v>3534769.89</v>
      </c>
      <c r="F49" s="289">
        <v>3457195.07</v>
      </c>
      <c r="G49" s="289">
        <v>0</v>
      </c>
      <c r="H49" s="290">
        <f t="shared" si="7"/>
        <v>3457195.07</v>
      </c>
    </row>
    <row r="50" spans="1:9" ht="15.75">
      <c r="A50" s="146">
        <v>28</v>
      </c>
      <c r="B50" s="58" t="s">
        <v>290</v>
      </c>
      <c r="C50" s="289">
        <v>5840.12</v>
      </c>
      <c r="D50" s="289">
        <v>0</v>
      </c>
      <c r="E50" s="279">
        <f t="shared" si="6"/>
        <v>5840.12</v>
      </c>
      <c r="F50" s="289">
        <v>4861.25</v>
      </c>
      <c r="G50" s="289">
        <v>0</v>
      </c>
      <c r="H50" s="290">
        <f t="shared" si="7"/>
        <v>4861.25</v>
      </c>
    </row>
    <row r="51" spans="1:9" ht="15.75">
      <c r="A51" s="146">
        <v>29</v>
      </c>
      <c r="B51" s="58" t="s">
        <v>144</v>
      </c>
      <c r="C51" s="289">
        <v>1147340.6200000001</v>
      </c>
      <c r="D51" s="289">
        <v>0</v>
      </c>
      <c r="E51" s="279">
        <f t="shared" si="6"/>
        <v>1147340.6200000001</v>
      </c>
      <c r="F51" s="289">
        <v>1443921.75</v>
      </c>
      <c r="G51" s="289">
        <v>0</v>
      </c>
      <c r="H51" s="290">
        <f t="shared" si="7"/>
        <v>1443921.75</v>
      </c>
    </row>
    <row r="52" spans="1:9" ht="15.75">
      <c r="A52" s="146">
        <v>30</v>
      </c>
      <c r="B52" s="58" t="s">
        <v>145</v>
      </c>
      <c r="C52" s="289">
        <v>353857.57</v>
      </c>
      <c r="D52" s="289"/>
      <c r="E52" s="279">
        <f t="shared" si="6"/>
        <v>353857.57</v>
      </c>
      <c r="F52" s="289">
        <v>450023.44</v>
      </c>
      <c r="G52" s="289"/>
      <c r="H52" s="290">
        <f t="shared" si="7"/>
        <v>450023.44</v>
      </c>
    </row>
    <row r="53" spans="1:9" ht="15.75">
      <c r="A53" s="146">
        <v>31</v>
      </c>
      <c r="B53" s="61" t="s">
        <v>146</v>
      </c>
      <c r="C53" s="291">
        <f>C47+C48+C49+C50+C51+C52</f>
        <v>7935469.3399999999</v>
      </c>
      <c r="D53" s="291">
        <f>D47+D48+D49+D50+D51+D52</f>
        <v>87182.32</v>
      </c>
      <c r="E53" s="279">
        <f t="shared" si="6"/>
        <v>8022651.6600000001</v>
      </c>
      <c r="F53" s="291">
        <f>F47+F48+F49+F50+F51+F52</f>
        <v>7966969.6399999997</v>
      </c>
      <c r="G53" s="291">
        <f>G47+G48+G49+G50+G51+G52</f>
        <v>76934.789999999994</v>
      </c>
      <c r="H53" s="290">
        <f t="shared" si="7"/>
        <v>8043904.4299999997</v>
      </c>
    </row>
    <row r="54" spans="1:9" ht="15.75">
      <c r="A54" s="146">
        <v>32</v>
      </c>
      <c r="B54" s="61" t="s">
        <v>147</v>
      </c>
      <c r="C54" s="291">
        <f>C45-C53</f>
        <v>-6672273.4500000002</v>
      </c>
      <c r="D54" s="291">
        <f>D45-D53</f>
        <v>105103.34</v>
      </c>
      <c r="E54" s="279">
        <f t="shared" si="6"/>
        <v>-6567170.1100000003</v>
      </c>
      <c r="F54" s="291">
        <f>F45-F53</f>
        <v>-7339392.0999999996</v>
      </c>
      <c r="G54" s="291">
        <f>G45-G53</f>
        <v>138276.85999999999</v>
      </c>
      <c r="H54" s="290">
        <f t="shared" si="7"/>
        <v>-7201115.2399999993</v>
      </c>
    </row>
    <row r="55" spans="1:9">
      <c r="A55" s="146"/>
      <c r="B55" s="56"/>
      <c r="C55" s="293"/>
      <c r="D55" s="293"/>
      <c r="E55" s="293"/>
      <c r="F55" s="293"/>
      <c r="G55" s="293"/>
      <c r="H55" s="294"/>
    </row>
    <row r="56" spans="1:9" ht="15.75">
      <c r="A56" s="146">
        <v>33</v>
      </c>
      <c r="B56" s="61" t="s">
        <v>148</v>
      </c>
      <c r="C56" s="291">
        <f>C31+C54</f>
        <v>2753334.0099999988</v>
      </c>
      <c r="D56" s="291">
        <f>D31+D54</f>
        <v>1848245.0000000005</v>
      </c>
      <c r="E56" s="279">
        <f>C56+D56</f>
        <v>4601579.01</v>
      </c>
      <c r="F56" s="291">
        <f>F31+F54</f>
        <v>2129348.1499999985</v>
      </c>
      <c r="G56" s="291">
        <f>G31+G54</f>
        <v>2485271.0199999996</v>
      </c>
      <c r="H56" s="290">
        <f>F56+G56</f>
        <v>4614619.1699999981</v>
      </c>
    </row>
    <row r="57" spans="1:9">
      <c r="A57" s="146"/>
      <c r="B57" s="56"/>
      <c r="C57" s="293"/>
      <c r="D57" s="293"/>
      <c r="E57" s="293"/>
      <c r="F57" s="293"/>
      <c r="G57" s="293"/>
      <c r="H57" s="294"/>
    </row>
    <row r="58" spans="1:9" ht="15.75">
      <c r="A58" s="146">
        <v>34</v>
      </c>
      <c r="B58" s="58" t="s">
        <v>149</v>
      </c>
      <c r="C58" s="289">
        <v>12231.04</v>
      </c>
      <c r="D58" s="289">
        <v>0</v>
      </c>
      <c r="E58" s="279">
        <f>C58+D58</f>
        <v>12231.04</v>
      </c>
      <c r="F58" s="289">
        <v>-1689571.53</v>
      </c>
      <c r="G58" s="289">
        <v>0</v>
      </c>
      <c r="H58" s="290">
        <f>F58+G58</f>
        <v>-1689571.53</v>
      </c>
    </row>
    <row r="59" spans="1:9" s="236" customFormat="1" ht="15.75">
      <c r="A59" s="146">
        <v>35</v>
      </c>
      <c r="B59" s="55" t="s">
        <v>150</v>
      </c>
      <c r="C59" s="297"/>
      <c r="D59" s="297">
        <v>0</v>
      </c>
      <c r="E59" s="298">
        <f>C59+D59</f>
        <v>0</v>
      </c>
      <c r="F59" s="299"/>
      <c r="G59" s="299">
        <v>0</v>
      </c>
      <c r="H59" s="300">
        <f>F59+G59</f>
        <v>0</v>
      </c>
      <c r="I59" s="235"/>
    </row>
    <row r="60" spans="1:9" ht="15.75">
      <c r="A60" s="146">
        <v>36</v>
      </c>
      <c r="B60" s="58" t="s">
        <v>151</v>
      </c>
      <c r="C60" s="289">
        <v>463158.39</v>
      </c>
      <c r="D60" s="289">
        <v>0</v>
      </c>
      <c r="E60" s="279">
        <f>C60+D60</f>
        <v>463158.39</v>
      </c>
      <c r="F60" s="289">
        <v>-254934.68</v>
      </c>
      <c r="G60" s="289">
        <v>0</v>
      </c>
      <c r="H60" s="290">
        <f>F60+G60</f>
        <v>-254934.68</v>
      </c>
    </row>
    <row r="61" spans="1:9" ht="15.75">
      <c r="A61" s="146">
        <v>37</v>
      </c>
      <c r="B61" s="61" t="s">
        <v>152</v>
      </c>
      <c r="C61" s="291">
        <f>C58+C59+C60</f>
        <v>475389.43</v>
      </c>
      <c r="D61" s="291">
        <f>D58+D59+D60</f>
        <v>0</v>
      </c>
      <c r="E61" s="279">
        <f>C61+D61</f>
        <v>475389.43</v>
      </c>
      <c r="F61" s="291">
        <f>F58+F59+F60</f>
        <v>-1944506.21</v>
      </c>
      <c r="G61" s="291">
        <f>G58+G59+G60</f>
        <v>0</v>
      </c>
      <c r="H61" s="290">
        <f>F61+G61</f>
        <v>-1944506.21</v>
      </c>
    </row>
    <row r="62" spans="1:9">
      <c r="A62" s="146"/>
      <c r="B62" s="62"/>
      <c r="C62" s="289"/>
      <c r="D62" s="289"/>
      <c r="E62" s="289"/>
      <c r="F62" s="289"/>
      <c r="G62" s="289"/>
      <c r="H62" s="296"/>
    </row>
    <row r="63" spans="1:9" ht="15.75">
      <c r="A63" s="146">
        <v>38</v>
      </c>
      <c r="B63" s="63" t="s">
        <v>291</v>
      </c>
      <c r="C63" s="291">
        <f>C56-C61</f>
        <v>2277944.5799999987</v>
      </c>
      <c r="D63" s="291">
        <f>D56-D61</f>
        <v>1848245.0000000005</v>
      </c>
      <c r="E63" s="279">
        <f>C63+D63</f>
        <v>4126189.5799999991</v>
      </c>
      <c r="F63" s="291">
        <f>F56-F61</f>
        <v>4073854.3599999985</v>
      </c>
      <c r="G63" s="291">
        <f>G56-G61</f>
        <v>2485271.0199999996</v>
      </c>
      <c r="H63" s="290">
        <f>F63+G63</f>
        <v>6559125.379999998</v>
      </c>
    </row>
    <row r="64" spans="1:9" ht="15.75">
      <c r="A64" s="144">
        <v>39</v>
      </c>
      <c r="B64" s="58" t="s">
        <v>153</v>
      </c>
      <c r="C64" s="301"/>
      <c r="D64" s="301">
        <v>0</v>
      </c>
      <c r="E64" s="279">
        <f>C64+D64</f>
        <v>0</v>
      </c>
      <c r="F64" s="301"/>
      <c r="G64" s="301">
        <v>0</v>
      </c>
      <c r="H64" s="290">
        <f>F64+G64</f>
        <v>0</v>
      </c>
    </row>
    <row r="65" spans="1:8" ht="15.75">
      <c r="A65" s="146">
        <v>40</v>
      </c>
      <c r="B65" s="61" t="s">
        <v>154</v>
      </c>
      <c r="C65" s="291">
        <f>C63-C64</f>
        <v>2277944.5799999987</v>
      </c>
      <c r="D65" s="291">
        <f>D63-D64</f>
        <v>1848245.0000000005</v>
      </c>
      <c r="E65" s="279">
        <f>C65+D65</f>
        <v>4126189.5799999991</v>
      </c>
      <c r="F65" s="291">
        <f>F63-F64</f>
        <v>4073854.3599999985</v>
      </c>
      <c r="G65" s="291">
        <f>G63-G64</f>
        <v>2485271.0199999996</v>
      </c>
      <c r="H65" s="290">
        <f>F65+G65</f>
        <v>6559125.379999998</v>
      </c>
    </row>
    <row r="66" spans="1:8" ht="15.75">
      <c r="A66" s="144">
        <v>41</v>
      </c>
      <c r="B66" s="58" t="s">
        <v>155</v>
      </c>
      <c r="C66" s="301"/>
      <c r="D66" s="301">
        <v>0</v>
      </c>
      <c r="E66" s="279">
        <f>C66+D66</f>
        <v>0</v>
      </c>
      <c r="F66" s="301"/>
      <c r="G66" s="301">
        <v>0</v>
      </c>
      <c r="H66" s="290">
        <f>F66+G66</f>
        <v>0</v>
      </c>
    </row>
    <row r="67" spans="1:8" ht="16.5" thickBot="1">
      <c r="A67" s="148">
        <v>42</v>
      </c>
      <c r="B67" s="149" t="s">
        <v>156</v>
      </c>
      <c r="C67" s="302">
        <f>C65+C66</f>
        <v>2277944.5799999987</v>
      </c>
      <c r="D67" s="302">
        <f>D65+D66</f>
        <v>1848245.0000000005</v>
      </c>
      <c r="E67" s="287">
        <f>C67+D67</f>
        <v>4126189.5799999991</v>
      </c>
      <c r="F67" s="302">
        <f>F65+F66</f>
        <v>4073854.3599999985</v>
      </c>
      <c r="G67" s="302">
        <f>G65+G66</f>
        <v>2485271.0199999996</v>
      </c>
      <c r="H67" s="303">
        <f>F67+G67</f>
        <v>6559125.379999998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53"/>
  <sheetViews>
    <sheetView topLeftCell="A28" zoomScaleNormal="100" workbookViewId="0">
      <selection activeCell="C7" sqref="C7:D53"/>
    </sheetView>
  </sheetViews>
  <sheetFormatPr defaultColWidth="9.140625" defaultRowHeight="15"/>
  <cols>
    <col min="1" max="1" width="9.5703125" bestFit="1" customWidth="1"/>
    <col min="2" max="2" width="72.28515625" customWidth="1"/>
    <col min="3" max="8" width="12.7109375" customWidth="1"/>
  </cols>
  <sheetData>
    <row r="1" spans="1:8">
      <c r="A1" s="2" t="s">
        <v>199</v>
      </c>
      <c r="B1" s="408" t="str">
        <f>'2. RC'!B1</f>
        <v>სს " პაშა ბანკი საქართველო"</v>
      </c>
    </row>
    <row r="2" spans="1:8">
      <c r="A2" s="2" t="s">
        <v>200</v>
      </c>
      <c r="B2" s="408" t="str">
        <f>'2. RC'!B2</f>
        <v>30.09.2017</v>
      </c>
    </row>
    <row r="3" spans="1:8">
      <c r="A3" s="2"/>
    </row>
    <row r="4" spans="1:8" ht="16.5" thickBot="1">
      <c r="A4" s="2" t="s">
        <v>351</v>
      </c>
      <c r="B4" s="2"/>
      <c r="C4" s="245"/>
      <c r="D4" s="245"/>
      <c r="E4" s="245"/>
      <c r="F4" s="246"/>
      <c r="G4" s="246"/>
      <c r="H4" s="247" t="s">
        <v>101</v>
      </c>
    </row>
    <row r="5" spans="1:8" ht="15.75">
      <c r="A5" s="536" t="s">
        <v>29</v>
      </c>
      <c r="B5" s="538" t="s">
        <v>259</v>
      </c>
      <c r="C5" s="540" t="s">
        <v>206</v>
      </c>
      <c r="D5" s="540"/>
      <c r="E5" s="540"/>
      <c r="F5" s="540" t="s">
        <v>207</v>
      </c>
      <c r="G5" s="540"/>
      <c r="H5" s="541"/>
    </row>
    <row r="6" spans="1:8">
      <c r="A6" s="537"/>
      <c r="B6" s="539"/>
      <c r="C6" s="43" t="s">
        <v>30</v>
      </c>
      <c r="D6" s="43" t="s">
        <v>102</v>
      </c>
      <c r="E6" s="43" t="s">
        <v>71</v>
      </c>
      <c r="F6" s="43" t="s">
        <v>30</v>
      </c>
      <c r="G6" s="43" t="s">
        <v>102</v>
      </c>
      <c r="H6" s="44" t="s">
        <v>71</v>
      </c>
    </row>
    <row r="7" spans="1:8" s="3" customFormat="1" ht="15.75">
      <c r="A7" s="248">
        <v>1</v>
      </c>
      <c r="B7" s="249" t="s">
        <v>390</v>
      </c>
      <c r="C7" s="281">
        <f>C8+C9+C10+C11</f>
        <v>9526424.4000000004</v>
      </c>
      <c r="D7" s="281">
        <f>D8+D9+D10+D11</f>
        <v>9868045.8848000001</v>
      </c>
      <c r="E7" s="304">
        <f t="shared" ref="E7:E53" si="0">C7+D7</f>
        <v>19394470.2848</v>
      </c>
      <c r="F7" s="281">
        <f>F8+F9+F10+F11</f>
        <v>3060118.95</v>
      </c>
      <c r="G7" s="281">
        <f>G8+G9+G10+G11</f>
        <v>8515872.5999999996</v>
      </c>
      <c r="H7" s="282">
        <f t="shared" ref="H7:H53" si="1">F7+G7</f>
        <v>11575991.550000001</v>
      </c>
    </row>
    <row r="8" spans="1:8" s="3" customFormat="1" ht="15.75">
      <c r="A8" s="248">
        <v>1.1000000000000001</v>
      </c>
      <c r="B8" s="250" t="s">
        <v>296</v>
      </c>
      <c r="C8" s="281">
        <v>9490520.3100000005</v>
      </c>
      <c r="D8" s="281">
        <v>7931734.8848000001</v>
      </c>
      <c r="E8" s="304">
        <f t="shared" si="0"/>
        <v>17422255.194800001</v>
      </c>
      <c r="F8" s="374">
        <v>2425400.14</v>
      </c>
      <c r="G8" s="374">
        <v>7233553.5999999996</v>
      </c>
      <c r="H8" s="282">
        <f t="shared" si="1"/>
        <v>9658953.7400000002</v>
      </c>
    </row>
    <row r="9" spans="1:8" s="3" customFormat="1" ht="15.75">
      <c r="A9" s="248">
        <v>1.2</v>
      </c>
      <c r="B9" s="250" t="s">
        <v>297</v>
      </c>
      <c r="C9" s="281"/>
      <c r="D9" s="281">
        <v>1411719</v>
      </c>
      <c r="E9" s="304">
        <f t="shared" si="0"/>
        <v>1411719</v>
      </c>
      <c r="F9" s="281"/>
      <c r="G9" s="281">
        <v>279564</v>
      </c>
      <c r="H9" s="282">
        <f t="shared" si="1"/>
        <v>279564</v>
      </c>
    </row>
    <row r="10" spans="1:8" s="3" customFormat="1" ht="15.75">
      <c r="A10" s="248">
        <v>1.3</v>
      </c>
      <c r="B10" s="250" t="s">
        <v>298</v>
      </c>
      <c r="C10" s="281">
        <v>35904.089999999997</v>
      </c>
      <c r="D10" s="281">
        <v>524592</v>
      </c>
      <c r="E10" s="304">
        <f t="shared" si="0"/>
        <v>560496.09</v>
      </c>
      <c r="F10" s="281">
        <v>634718.81000000006</v>
      </c>
      <c r="G10" s="281">
        <v>1002755</v>
      </c>
      <c r="H10" s="282">
        <f t="shared" si="1"/>
        <v>1637473.81</v>
      </c>
    </row>
    <row r="11" spans="1:8" s="3" customFormat="1" ht="15.75">
      <c r="A11" s="248">
        <v>1.4</v>
      </c>
      <c r="B11" s="250" t="s">
        <v>299</v>
      </c>
      <c r="C11" s="281"/>
      <c r="D11" s="281"/>
      <c r="E11" s="304">
        <f t="shared" si="0"/>
        <v>0</v>
      </c>
      <c r="F11" s="281"/>
      <c r="G11" s="281"/>
      <c r="H11" s="282">
        <f t="shared" si="1"/>
        <v>0</v>
      </c>
    </row>
    <row r="12" spans="1:8" s="3" customFormat="1" ht="29.25" customHeight="1">
      <c r="A12" s="248">
        <v>2</v>
      </c>
      <c r="B12" s="249" t="s">
        <v>300</v>
      </c>
      <c r="C12" s="281"/>
      <c r="D12" s="281"/>
      <c r="E12" s="304">
        <f t="shared" si="0"/>
        <v>0</v>
      </c>
      <c r="F12" s="281"/>
      <c r="G12" s="281">
        <v>243258.88709999999</v>
      </c>
      <c r="H12" s="282">
        <f t="shared" si="1"/>
        <v>243258.88709999999</v>
      </c>
    </row>
    <row r="13" spans="1:8" s="3" customFormat="1" ht="25.5">
      <c r="A13" s="248">
        <v>3</v>
      </c>
      <c r="B13" s="249" t="s">
        <v>301</v>
      </c>
      <c r="C13" s="281">
        <f>C14+C15</f>
        <v>0</v>
      </c>
      <c r="D13" s="281">
        <f>D14+D15</f>
        <v>0</v>
      </c>
      <c r="E13" s="304">
        <f t="shared" si="0"/>
        <v>0</v>
      </c>
      <c r="F13" s="281">
        <f>F14+F15</f>
        <v>0</v>
      </c>
      <c r="G13" s="281">
        <f>G14+G15</f>
        <v>0</v>
      </c>
      <c r="H13" s="282">
        <f t="shared" si="1"/>
        <v>0</v>
      </c>
    </row>
    <row r="14" spans="1:8" s="3" customFormat="1" ht="15.75">
      <c r="A14" s="248">
        <v>3.1</v>
      </c>
      <c r="B14" s="250" t="s">
        <v>302</v>
      </c>
      <c r="C14" s="281"/>
      <c r="D14" s="281"/>
      <c r="E14" s="304">
        <f t="shared" si="0"/>
        <v>0</v>
      </c>
      <c r="F14" s="281"/>
      <c r="G14" s="281"/>
      <c r="H14" s="282">
        <f t="shared" si="1"/>
        <v>0</v>
      </c>
    </row>
    <row r="15" spans="1:8" s="3" customFormat="1" ht="15.75">
      <c r="A15" s="248">
        <v>3.2</v>
      </c>
      <c r="B15" s="250" t="s">
        <v>303</v>
      </c>
      <c r="C15" s="281"/>
      <c r="D15" s="281"/>
      <c r="E15" s="304">
        <f t="shared" si="0"/>
        <v>0</v>
      </c>
      <c r="F15" s="281"/>
      <c r="G15" s="281"/>
      <c r="H15" s="282">
        <f t="shared" si="1"/>
        <v>0</v>
      </c>
    </row>
    <row r="16" spans="1:8" s="3" customFormat="1" ht="15.75">
      <c r="A16" s="248">
        <v>4</v>
      </c>
      <c r="B16" s="249" t="s">
        <v>304</v>
      </c>
      <c r="C16" s="281">
        <f>C17+C18</f>
        <v>78477243.164499998</v>
      </c>
      <c r="D16" s="281">
        <f>D17+D18</f>
        <v>57201105.4758</v>
      </c>
      <c r="E16" s="304">
        <f t="shared" si="0"/>
        <v>135678348.64030001</v>
      </c>
      <c r="F16" s="281">
        <f>F17+F18</f>
        <v>71816458.666900009</v>
      </c>
      <c r="G16" s="281">
        <f>G17+G18</f>
        <v>31153536.574200001</v>
      </c>
      <c r="H16" s="282">
        <f t="shared" si="1"/>
        <v>102969995.24110001</v>
      </c>
    </row>
    <row r="17" spans="1:8" s="3" customFormat="1" ht="15.75">
      <c r="A17" s="248">
        <v>4.0999999999999996</v>
      </c>
      <c r="B17" s="250" t="s">
        <v>305</v>
      </c>
      <c r="C17" s="57">
        <v>70598594.569999993</v>
      </c>
      <c r="D17" s="57">
        <v>29210786.973499998</v>
      </c>
      <c r="E17" s="304">
        <f t="shared" si="0"/>
        <v>99809381.543499991</v>
      </c>
      <c r="F17" s="375">
        <v>65730418.122100003</v>
      </c>
      <c r="G17" s="375">
        <v>15040342.9485</v>
      </c>
      <c r="H17" s="282">
        <f t="shared" si="1"/>
        <v>80770761.070600003</v>
      </c>
    </row>
    <row r="18" spans="1:8" s="3" customFormat="1" ht="15.75">
      <c r="A18" s="248">
        <v>4.2</v>
      </c>
      <c r="B18" s="250" t="s">
        <v>306</v>
      </c>
      <c r="C18" s="57">
        <v>7878648.5944999997</v>
      </c>
      <c r="D18" s="57">
        <v>27990318.502300002</v>
      </c>
      <c r="E18" s="304">
        <f t="shared" si="0"/>
        <v>35868967.096799999</v>
      </c>
      <c r="F18" s="375">
        <v>6086040.5448000003</v>
      </c>
      <c r="G18" s="375">
        <v>16113193.625700001</v>
      </c>
      <c r="H18" s="282">
        <f t="shared" si="1"/>
        <v>22199234.170500003</v>
      </c>
    </row>
    <row r="19" spans="1:8" s="3" customFormat="1" ht="25.5">
      <c r="A19" s="248">
        <v>5</v>
      </c>
      <c r="B19" s="249" t="s">
        <v>307</v>
      </c>
      <c r="C19" s="281">
        <f>C20+C21+C22+C28+C29+C30+C31</f>
        <v>86719608.420200005</v>
      </c>
      <c r="D19" s="281">
        <f>D20+D21+D22+D28+D29+D30+D31</f>
        <v>70017558.817400008</v>
      </c>
      <c r="E19" s="304">
        <f t="shared" si="0"/>
        <v>156737167.23760003</v>
      </c>
      <c r="F19" s="281">
        <f>F20+F21+F22+F28+F29+F30+F31</f>
        <v>95215379.40990001</v>
      </c>
      <c r="G19" s="281">
        <f>G20+G21+G22+G28+G29+G30+G31</f>
        <v>74721509.499200001</v>
      </c>
      <c r="H19" s="282">
        <f t="shared" si="1"/>
        <v>169936888.9091</v>
      </c>
    </row>
    <row r="20" spans="1:8" s="3" customFormat="1" ht="15.75">
      <c r="A20" s="248">
        <v>5.0999999999999996</v>
      </c>
      <c r="B20" s="250" t="s">
        <v>308</v>
      </c>
      <c r="C20" s="281">
        <v>93942.97</v>
      </c>
      <c r="D20" s="281">
        <v>29445496.132399999</v>
      </c>
      <c r="E20" s="304">
        <f t="shared" si="0"/>
        <v>29539439.102399997</v>
      </c>
      <c r="F20" s="376">
        <v>269473.71000000002</v>
      </c>
      <c r="G20" s="376">
        <v>23262054.5</v>
      </c>
      <c r="H20" s="282">
        <f t="shared" si="1"/>
        <v>23531528.210000001</v>
      </c>
    </row>
    <row r="21" spans="1:8" s="3" customFormat="1" ht="15.75">
      <c r="A21" s="248">
        <v>5.2</v>
      </c>
      <c r="B21" s="250" t="s">
        <v>309</v>
      </c>
      <c r="C21" s="281"/>
      <c r="D21" s="281"/>
      <c r="E21" s="304">
        <f t="shared" si="0"/>
        <v>0</v>
      </c>
      <c r="F21" s="281"/>
      <c r="G21" s="281"/>
      <c r="H21" s="282">
        <f t="shared" si="1"/>
        <v>0</v>
      </c>
    </row>
    <row r="22" spans="1:8" s="3" customFormat="1" ht="15.75">
      <c r="A22" s="248">
        <v>5.3</v>
      </c>
      <c r="B22" s="250" t="s">
        <v>310</v>
      </c>
      <c r="C22" s="281">
        <f>C23+C24+C25+C26+C27</f>
        <v>46266176.450000003</v>
      </c>
      <c r="D22" s="281">
        <f>D23+D24+D25+D26+D27</f>
        <v>13524363.125399999</v>
      </c>
      <c r="E22" s="304">
        <f t="shared" si="0"/>
        <v>59790539.575400002</v>
      </c>
      <c r="F22" s="281">
        <f>F23+F24+F25+F26+F27</f>
        <v>51044475.000100002</v>
      </c>
      <c r="G22" s="281">
        <f>G23+G24+G25+G26+G27</f>
        <v>24358644.289999999</v>
      </c>
      <c r="H22" s="282">
        <f t="shared" si="1"/>
        <v>75403119.290100008</v>
      </c>
    </row>
    <row r="23" spans="1:8" s="3" customFormat="1" ht="15.75">
      <c r="A23" s="248" t="s">
        <v>311</v>
      </c>
      <c r="B23" s="251" t="s">
        <v>312</v>
      </c>
      <c r="C23" s="57">
        <v>33000</v>
      </c>
      <c r="D23" s="57">
        <v>341289.26</v>
      </c>
      <c r="E23" s="304">
        <f t="shared" si="0"/>
        <v>374289.26</v>
      </c>
      <c r="F23" s="375">
        <v>0</v>
      </c>
      <c r="G23" s="375">
        <v>122309.25</v>
      </c>
      <c r="H23" s="282">
        <f t="shared" si="1"/>
        <v>122309.25</v>
      </c>
    </row>
    <row r="24" spans="1:8" s="3" customFormat="1" ht="15.75">
      <c r="A24" s="248" t="s">
        <v>313</v>
      </c>
      <c r="B24" s="251" t="s">
        <v>314</v>
      </c>
      <c r="C24" s="57">
        <v>4233176.45</v>
      </c>
      <c r="D24" s="57">
        <v>4060146.9386</v>
      </c>
      <c r="E24" s="304">
        <f t="shared" si="0"/>
        <v>8293323.3886000002</v>
      </c>
      <c r="F24" s="375">
        <v>186000.0001</v>
      </c>
      <c r="G24" s="375">
        <v>14071853.939999999</v>
      </c>
      <c r="H24" s="282">
        <f t="shared" si="1"/>
        <v>14257853.940099999</v>
      </c>
    </row>
    <row r="25" spans="1:8" s="3" customFormat="1" ht="15.75">
      <c r="A25" s="248" t="s">
        <v>315</v>
      </c>
      <c r="B25" s="252" t="s">
        <v>316</v>
      </c>
      <c r="C25" s="57"/>
      <c r="D25" s="57"/>
      <c r="E25" s="304">
        <f t="shared" si="0"/>
        <v>0</v>
      </c>
      <c r="F25" s="375"/>
      <c r="G25" s="375"/>
      <c r="H25" s="282">
        <f t="shared" si="1"/>
        <v>0</v>
      </c>
    </row>
    <row r="26" spans="1:8" s="3" customFormat="1" ht="15.75">
      <c r="A26" s="248" t="s">
        <v>317</v>
      </c>
      <c r="B26" s="251" t="s">
        <v>318</v>
      </c>
      <c r="C26" s="57">
        <v>0</v>
      </c>
      <c r="D26" s="57">
        <v>4155902.6000999999</v>
      </c>
      <c r="E26" s="304">
        <f t="shared" si="0"/>
        <v>4155902.6000999999</v>
      </c>
      <c r="F26" s="375">
        <v>0</v>
      </c>
      <c r="G26" s="375">
        <v>7688010</v>
      </c>
      <c r="H26" s="282">
        <f t="shared" si="1"/>
        <v>7688010</v>
      </c>
    </row>
    <row r="27" spans="1:8" s="3" customFormat="1" ht="15.75">
      <c r="A27" s="248" t="s">
        <v>319</v>
      </c>
      <c r="B27" s="251" t="s">
        <v>320</v>
      </c>
      <c r="C27" s="57">
        <v>42000000</v>
      </c>
      <c r="D27" s="57">
        <v>4967024.3267000001</v>
      </c>
      <c r="E27" s="304">
        <f t="shared" si="0"/>
        <v>46967024.326700002</v>
      </c>
      <c r="F27" s="375">
        <v>50858475</v>
      </c>
      <c r="G27" s="375">
        <v>2476471.1</v>
      </c>
      <c r="H27" s="282">
        <f t="shared" si="1"/>
        <v>53334946.100000001</v>
      </c>
    </row>
    <row r="28" spans="1:8" s="3" customFormat="1" ht="15.75">
      <c r="A28" s="248">
        <v>5.4</v>
      </c>
      <c r="B28" s="250" t="s">
        <v>321</v>
      </c>
      <c r="C28" s="281">
        <v>10000000</v>
      </c>
      <c r="D28" s="281">
        <v>23778455.485199999</v>
      </c>
      <c r="E28" s="304">
        <f t="shared" si="0"/>
        <v>33778455.485200003</v>
      </c>
      <c r="F28" s="375">
        <v>15999999.9999</v>
      </c>
      <c r="G28" s="375">
        <v>27100810.686000001</v>
      </c>
      <c r="H28" s="282">
        <f t="shared" si="1"/>
        <v>43100810.685900003</v>
      </c>
    </row>
    <row r="29" spans="1:8" s="3" customFormat="1" ht="15.75">
      <c r="A29" s="248">
        <v>5.5</v>
      </c>
      <c r="B29" s="250" t="s">
        <v>322</v>
      </c>
      <c r="C29" s="281">
        <v>28079662.000100002</v>
      </c>
      <c r="D29" s="281">
        <v>2.4799999999999999E-2</v>
      </c>
      <c r="E29" s="304">
        <f t="shared" si="0"/>
        <v>28079662.024900001</v>
      </c>
      <c r="F29" s="375">
        <v>26939999.999899998</v>
      </c>
      <c r="G29" s="375">
        <v>0</v>
      </c>
      <c r="H29" s="282">
        <f t="shared" si="1"/>
        <v>26939999.999899998</v>
      </c>
    </row>
    <row r="30" spans="1:8" s="3" customFormat="1" ht="15.75">
      <c r="A30" s="248">
        <v>5.6</v>
      </c>
      <c r="B30" s="250" t="s">
        <v>323</v>
      </c>
      <c r="C30" s="281">
        <v>0</v>
      </c>
      <c r="D30" s="281">
        <v>3269244</v>
      </c>
      <c r="E30" s="304">
        <f t="shared" si="0"/>
        <v>3269244</v>
      </c>
      <c r="F30" s="375">
        <v>961430.7</v>
      </c>
      <c r="G30" s="375">
        <v>0</v>
      </c>
      <c r="H30" s="282">
        <f t="shared" si="1"/>
        <v>961430.7</v>
      </c>
    </row>
    <row r="31" spans="1:8" s="3" customFormat="1" ht="15.75">
      <c r="A31" s="248">
        <v>5.7</v>
      </c>
      <c r="B31" s="250" t="s">
        <v>324</v>
      </c>
      <c r="C31" s="281">
        <v>2279827.0000999998</v>
      </c>
      <c r="D31" s="281">
        <v>4.9599999999999998E-2</v>
      </c>
      <c r="E31" s="304">
        <f t="shared" si="0"/>
        <v>2279827.0496999999</v>
      </c>
      <c r="F31" s="375">
        <v>0</v>
      </c>
      <c r="G31" s="375">
        <v>2.3199999999999998E-2</v>
      </c>
      <c r="H31" s="282">
        <f t="shared" si="1"/>
        <v>2.3199999999999998E-2</v>
      </c>
    </row>
    <row r="32" spans="1:8" s="3" customFormat="1" ht="15.75">
      <c r="A32" s="248">
        <v>6</v>
      </c>
      <c r="B32" s="249" t="s">
        <v>325</v>
      </c>
      <c r="C32" s="281">
        <f>C33+C34+C35+C36+C37+C38+C39</f>
        <v>0</v>
      </c>
      <c r="D32" s="281">
        <f>D33+D34+D35+D36+D37+D38+D39</f>
        <v>0</v>
      </c>
      <c r="E32" s="304">
        <f t="shared" si="0"/>
        <v>0</v>
      </c>
      <c r="F32" s="281">
        <f>F33+F34+F35+F36+F37+F38+F39</f>
        <v>0</v>
      </c>
      <c r="G32" s="281">
        <f>G33+G34+G35+G36+G37+G38+G39</f>
        <v>0</v>
      </c>
      <c r="H32" s="282">
        <f t="shared" si="1"/>
        <v>0</v>
      </c>
    </row>
    <row r="33" spans="1:8" s="3" customFormat="1" ht="25.5">
      <c r="A33" s="248">
        <v>6.1</v>
      </c>
      <c r="B33" s="250" t="s">
        <v>391</v>
      </c>
      <c r="C33" s="281"/>
      <c r="D33" s="281"/>
      <c r="E33" s="304">
        <f t="shared" si="0"/>
        <v>0</v>
      </c>
      <c r="F33" s="281"/>
      <c r="G33" s="281"/>
      <c r="H33" s="282">
        <f t="shared" si="1"/>
        <v>0</v>
      </c>
    </row>
    <row r="34" spans="1:8" s="3" customFormat="1" ht="25.5">
      <c r="A34" s="248">
        <v>6.2</v>
      </c>
      <c r="B34" s="250" t="s">
        <v>326</v>
      </c>
      <c r="C34" s="281"/>
      <c r="D34" s="281"/>
      <c r="E34" s="304">
        <f t="shared" si="0"/>
        <v>0</v>
      </c>
      <c r="F34" s="281"/>
      <c r="G34" s="281"/>
      <c r="H34" s="282">
        <f t="shared" si="1"/>
        <v>0</v>
      </c>
    </row>
    <row r="35" spans="1:8" s="3" customFormat="1" ht="25.5">
      <c r="A35" s="248">
        <v>6.3</v>
      </c>
      <c r="B35" s="250" t="s">
        <v>327</v>
      </c>
      <c r="C35" s="281"/>
      <c r="D35" s="281"/>
      <c r="E35" s="304">
        <f t="shared" si="0"/>
        <v>0</v>
      </c>
      <c r="F35" s="281"/>
      <c r="G35" s="281"/>
      <c r="H35" s="282">
        <f t="shared" si="1"/>
        <v>0</v>
      </c>
    </row>
    <row r="36" spans="1:8" s="3" customFormat="1" ht="15.75">
      <c r="A36" s="248">
        <v>6.4</v>
      </c>
      <c r="B36" s="250" t="s">
        <v>328</v>
      </c>
      <c r="C36" s="281"/>
      <c r="D36" s="281"/>
      <c r="E36" s="304">
        <f t="shared" si="0"/>
        <v>0</v>
      </c>
      <c r="F36" s="281"/>
      <c r="G36" s="281"/>
      <c r="H36" s="282">
        <f t="shared" si="1"/>
        <v>0</v>
      </c>
    </row>
    <row r="37" spans="1:8" s="3" customFormat="1" ht="15.75">
      <c r="A37" s="248">
        <v>6.5</v>
      </c>
      <c r="B37" s="250" t="s">
        <v>329</v>
      </c>
      <c r="C37" s="281"/>
      <c r="D37" s="281"/>
      <c r="E37" s="304">
        <f t="shared" si="0"/>
        <v>0</v>
      </c>
      <c r="F37" s="281"/>
      <c r="G37" s="281"/>
      <c r="H37" s="282">
        <f t="shared" si="1"/>
        <v>0</v>
      </c>
    </row>
    <row r="38" spans="1:8" s="3" customFormat="1" ht="25.5">
      <c r="A38" s="248">
        <v>6.6</v>
      </c>
      <c r="B38" s="250" t="s">
        <v>330</v>
      </c>
      <c r="C38" s="281"/>
      <c r="D38" s="281"/>
      <c r="E38" s="304">
        <f t="shared" si="0"/>
        <v>0</v>
      </c>
      <c r="F38" s="281"/>
      <c r="G38" s="281"/>
      <c r="H38" s="282">
        <f t="shared" si="1"/>
        <v>0</v>
      </c>
    </row>
    <row r="39" spans="1:8" s="3" customFormat="1" ht="25.5">
      <c r="A39" s="248">
        <v>6.7</v>
      </c>
      <c r="B39" s="250" t="s">
        <v>331</v>
      </c>
      <c r="C39" s="281"/>
      <c r="D39" s="281"/>
      <c r="E39" s="304">
        <f t="shared" si="0"/>
        <v>0</v>
      </c>
      <c r="F39" s="281"/>
      <c r="G39" s="281"/>
      <c r="H39" s="282">
        <f t="shared" si="1"/>
        <v>0</v>
      </c>
    </row>
    <row r="40" spans="1:8" s="3" customFormat="1" ht="15.75">
      <c r="A40" s="248">
        <v>7</v>
      </c>
      <c r="B40" s="249" t="s">
        <v>332</v>
      </c>
      <c r="C40" s="281">
        <f>C43+C44</f>
        <v>5606.71</v>
      </c>
      <c r="D40" s="281">
        <f>D43+D44</f>
        <v>7802297.2377000004</v>
      </c>
      <c r="E40" s="304">
        <f t="shared" si="0"/>
        <v>7807903.9477000004</v>
      </c>
      <c r="F40" s="281">
        <f>F43+F44</f>
        <v>0</v>
      </c>
      <c r="G40" s="281">
        <f>G43+G44</f>
        <v>6537341.6294</v>
      </c>
      <c r="H40" s="282">
        <f t="shared" si="1"/>
        <v>6537341.6294</v>
      </c>
    </row>
    <row r="41" spans="1:8" s="3" customFormat="1" ht="25.5">
      <c r="A41" s="248">
        <v>7.1</v>
      </c>
      <c r="B41" s="250" t="s">
        <v>333</v>
      </c>
      <c r="C41" s="281"/>
      <c r="D41" s="281"/>
      <c r="E41" s="304">
        <f t="shared" si="0"/>
        <v>0</v>
      </c>
      <c r="F41" s="281"/>
      <c r="G41" s="281"/>
      <c r="H41" s="282">
        <f t="shared" si="1"/>
        <v>0</v>
      </c>
    </row>
    <row r="42" spans="1:8" s="3" customFormat="1" ht="25.5">
      <c r="A42" s="248">
        <v>7.2</v>
      </c>
      <c r="B42" s="250" t="s">
        <v>334</v>
      </c>
      <c r="C42" s="281">
        <v>0</v>
      </c>
      <c r="D42" s="281">
        <v>216128.55679999999</v>
      </c>
      <c r="E42" s="304">
        <f t="shared" si="0"/>
        <v>216128.55679999999</v>
      </c>
      <c r="F42" s="281">
        <v>0</v>
      </c>
      <c r="G42" s="281">
        <v>205802.57620000001</v>
      </c>
      <c r="H42" s="282">
        <f t="shared" si="1"/>
        <v>205802.57620000001</v>
      </c>
    </row>
    <row r="43" spans="1:8" s="3" customFormat="1" ht="25.5">
      <c r="A43" s="248">
        <v>7.3</v>
      </c>
      <c r="B43" s="250" t="s">
        <v>335</v>
      </c>
      <c r="C43" s="281">
        <v>0</v>
      </c>
      <c r="D43" s="57">
        <v>6369437.8695</v>
      </c>
      <c r="E43" s="304">
        <f t="shared" si="0"/>
        <v>6369437.8695</v>
      </c>
      <c r="F43" s="281">
        <v>0</v>
      </c>
      <c r="G43" s="375">
        <v>5991391.5308999997</v>
      </c>
      <c r="H43" s="282">
        <f t="shared" si="1"/>
        <v>5991391.5308999997</v>
      </c>
    </row>
    <row r="44" spans="1:8" s="3" customFormat="1" ht="25.5">
      <c r="A44" s="248">
        <v>7.4</v>
      </c>
      <c r="B44" s="250" t="s">
        <v>336</v>
      </c>
      <c r="C44" s="57">
        <v>5606.71</v>
      </c>
      <c r="D44" s="57">
        <v>1432859.3681999999</v>
      </c>
      <c r="E44" s="304">
        <f t="shared" si="0"/>
        <v>1438466.0781999999</v>
      </c>
      <c r="F44" s="281">
        <v>0</v>
      </c>
      <c r="G44" s="375">
        <v>545950.09849999996</v>
      </c>
      <c r="H44" s="282">
        <f t="shared" si="1"/>
        <v>545950.09849999996</v>
      </c>
    </row>
    <row r="45" spans="1:8" s="3" customFormat="1" ht="15.75">
      <c r="A45" s="248">
        <v>8</v>
      </c>
      <c r="B45" s="249" t="s">
        <v>337</v>
      </c>
      <c r="C45" s="281">
        <f>C46+C47+C48+C49+C50+C51+C52</f>
        <v>0</v>
      </c>
      <c r="D45" s="281">
        <f>D46+D47+D48+D49+D50+D51+D52</f>
        <v>0</v>
      </c>
      <c r="E45" s="304">
        <f t="shared" si="0"/>
        <v>0</v>
      </c>
      <c r="F45" s="281">
        <f>F46+F47+F48+F49+F50+F51+F52</f>
        <v>0</v>
      </c>
      <c r="G45" s="281">
        <f>G46+G47+G48+G49+G50+G51+G52</f>
        <v>0</v>
      </c>
      <c r="H45" s="282">
        <f t="shared" si="1"/>
        <v>0</v>
      </c>
    </row>
    <row r="46" spans="1:8" s="3" customFormat="1" ht="15.75">
      <c r="A46" s="248">
        <v>8.1</v>
      </c>
      <c r="B46" s="250" t="s">
        <v>338</v>
      </c>
      <c r="C46" s="281"/>
      <c r="D46" s="281"/>
      <c r="E46" s="304">
        <f t="shared" si="0"/>
        <v>0</v>
      </c>
      <c r="F46" s="281"/>
      <c r="G46" s="281"/>
      <c r="H46" s="282">
        <f t="shared" si="1"/>
        <v>0</v>
      </c>
    </row>
    <row r="47" spans="1:8" s="3" customFormat="1" ht="15.75">
      <c r="A47" s="248">
        <v>8.1999999999999993</v>
      </c>
      <c r="B47" s="250" t="s">
        <v>339</v>
      </c>
      <c r="C47" s="281"/>
      <c r="D47" s="281"/>
      <c r="E47" s="304">
        <f t="shared" si="0"/>
        <v>0</v>
      </c>
      <c r="F47" s="281"/>
      <c r="G47" s="281"/>
      <c r="H47" s="282">
        <f t="shared" si="1"/>
        <v>0</v>
      </c>
    </row>
    <row r="48" spans="1:8" s="3" customFormat="1" ht="15.75">
      <c r="A48" s="248">
        <v>8.3000000000000007</v>
      </c>
      <c r="B48" s="250" t="s">
        <v>340</v>
      </c>
      <c r="C48" s="281"/>
      <c r="D48" s="281"/>
      <c r="E48" s="304">
        <f t="shared" si="0"/>
        <v>0</v>
      </c>
      <c r="F48" s="281"/>
      <c r="G48" s="281"/>
      <c r="H48" s="282">
        <f t="shared" si="1"/>
        <v>0</v>
      </c>
    </row>
    <row r="49" spans="1:8" s="3" customFormat="1" ht="15.75">
      <c r="A49" s="248">
        <v>8.4</v>
      </c>
      <c r="B49" s="250" t="s">
        <v>341</v>
      </c>
      <c r="C49" s="281"/>
      <c r="D49" s="281"/>
      <c r="E49" s="304">
        <f t="shared" si="0"/>
        <v>0</v>
      </c>
      <c r="F49" s="281"/>
      <c r="G49" s="281"/>
      <c r="H49" s="282">
        <f t="shared" si="1"/>
        <v>0</v>
      </c>
    </row>
    <row r="50" spans="1:8" s="3" customFormat="1" ht="15.75">
      <c r="A50" s="248">
        <v>8.5</v>
      </c>
      <c r="B50" s="250" t="s">
        <v>342</v>
      </c>
      <c r="C50" s="281"/>
      <c r="D50" s="281"/>
      <c r="E50" s="304">
        <f t="shared" si="0"/>
        <v>0</v>
      </c>
      <c r="F50" s="281"/>
      <c r="G50" s="281"/>
      <c r="H50" s="282">
        <f t="shared" si="1"/>
        <v>0</v>
      </c>
    </row>
    <row r="51" spans="1:8" s="3" customFormat="1" ht="15.75">
      <c r="A51" s="248">
        <v>8.6</v>
      </c>
      <c r="B51" s="250" t="s">
        <v>343</v>
      </c>
      <c r="C51" s="281"/>
      <c r="D51" s="281"/>
      <c r="E51" s="304">
        <f t="shared" si="0"/>
        <v>0</v>
      </c>
      <c r="F51" s="281"/>
      <c r="G51" s="281"/>
      <c r="H51" s="282">
        <f t="shared" si="1"/>
        <v>0</v>
      </c>
    </row>
    <row r="52" spans="1:8" s="3" customFormat="1" ht="15.75">
      <c r="A52" s="248">
        <v>8.6999999999999993</v>
      </c>
      <c r="B52" s="250" t="s">
        <v>344</v>
      </c>
      <c r="C52" s="281"/>
      <c r="D52" s="281"/>
      <c r="E52" s="304">
        <f t="shared" si="0"/>
        <v>0</v>
      </c>
      <c r="F52" s="281"/>
      <c r="G52" s="281"/>
      <c r="H52" s="282">
        <f t="shared" si="1"/>
        <v>0</v>
      </c>
    </row>
    <row r="53" spans="1:8" s="3" customFormat="1" ht="26.25" thickBot="1">
      <c r="A53" s="253">
        <v>9</v>
      </c>
      <c r="B53" s="254" t="s">
        <v>345</v>
      </c>
      <c r="C53" s="305"/>
      <c r="D53" s="305"/>
      <c r="E53" s="306">
        <f t="shared" si="0"/>
        <v>0</v>
      </c>
      <c r="F53" s="305"/>
      <c r="G53" s="305"/>
      <c r="H53" s="288">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D21"/>
  <sheetViews>
    <sheetView zoomScaleNormal="100" workbookViewId="0">
      <pane xSplit="1" ySplit="4" topLeftCell="B5" activePane="bottomRight" state="frozen"/>
      <selection pane="topRight"/>
      <selection pane="bottomLeft"/>
      <selection pane="bottomRight" activeCell="C7" sqref="C7:D13"/>
    </sheetView>
  </sheetViews>
  <sheetFormatPr defaultColWidth="9.140625" defaultRowHeight="12.75"/>
  <cols>
    <col min="1" max="1" width="9.5703125" style="2" bestFit="1" customWidth="1"/>
    <col min="2" max="2" width="93.5703125" style="2" customWidth="1"/>
    <col min="3" max="4" width="12.7109375" style="2" customWidth="1"/>
    <col min="5" max="7" width="9.7109375" style="12" customWidth="1"/>
    <col min="8" max="16384" width="9.140625" style="12"/>
  </cols>
  <sheetData>
    <row r="1" spans="1:4" ht="15">
      <c r="A1" s="17" t="s">
        <v>199</v>
      </c>
      <c r="B1" s="408" t="str">
        <f>'2. RC'!B1</f>
        <v>სს " პაშა ბანკი საქართველო"</v>
      </c>
      <c r="C1" s="16"/>
    </row>
    <row r="2" spans="1:4" ht="15">
      <c r="A2" s="17" t="s">
        <v>200</v>
      </c>
      <c r="B2" s="408" t="str">
        <f>'2. RC'!B2</f>
        <v>30.09.2017</v>
      </c>
      <c r="C2" s="29"/>
      <c r="D2" s="18"/>
    </row>
    <row r="3" spans="1:4" ht="15">
      <c r="A3" s="17"/>
      <c r="B3" s="16"/>
      <c r="C3" s="29"/>
      <c r="D3" s="18"/>
    </row>
    <row r="4" spans="1:4" ht="15" customHeight="1" thickBot="1">
      <c r="A4" s="242" t="s">
        <v>352</v>
      </c>
      <c r="B4" s="243" t="s">
        <v>196</v>
      </c>
      <c r="C4" s="242"/>
      <c r="D4" s="244" t="s">
        <v>101</v>
      </c>
    </row>
    <row r="5" spans="1:4" ht="15" customHeight="1">
      <c r="A5" s="240" t="s">
        <v>29</v>
      </c>
      <c r="B5" s="241"/>
      <c r="C5" s="417" t="str">
        <f>'1. key ratios'!C5</f>
        <v>3Q2017</v>
      </c>
      <c r="D5" s="410" t="str">
        <f>'1. key ratios'!D5</f>
        <v>2Q2017</v>
      </c>
    </row>
    <row r="6" spans="1:4" ht="15" customHeight="1">
      <c r="A6" s="151">
        <v>1</v>
      </c>
      <c r="B6" s="65" t="s">
        <v>204</v>
      </c>
      <c r="C6" s="418">
        <f>C7+C9+C10+C11</f>
        <v>281977320.01931</v>
      </c>
      <c r="D6" s="419">
        <f>D7+D9+D10+D11</f>
        <v>271527290.78490001</v>
      </c>
    </row>
    <row r="7" spans="1:4" ht="15" customHeight="1">
      <c r="A7" s="151">
        <v>1.1000000000000001</v>
      </c>
      <c r="B7" s="66" t="s">
        <v>23</v>
      </c>
      <c r="C7" s="420">
        <v>233003767.87366</v>
      </c>
      <c r="D7" s="420">
        <v>227701283.92490003</v>
      </c>
    </row>
    <row r="8" spans="1:4" ht="25.5">
      <c r="A8" s="151" t="s">
        <v>268</v>
      </c>
      <c r="B8" s="203" t="s">
        <v>346</v>
      </c>
      <c r="C8" s="420"/>
      <c r="D8" s="420"/>
    </row>
    <row r="9" spans="1:4" ht="15" customHeight="1">
      <c r="A9" s="151">
        <v>1.2</v>
      </c>
      <c r="B9" s="66" t="s">
        <v>24</v>
      </c>
      <c r="C9" s="420">
        <v>12451189.601500001</v>
      </c>
      <c r="D9" s="420">
        <v>14137534.344999999</v>
      </c>
    </row>
    <row r="10" spans="1:4" ht="15" customHeight="1">
      <c r="A10" s="151">
        <v>1.3</v>
      </c>
      <c r="B10" s="66" t="s">
        <v>25</v>
      </c>
      <c r="C10" s="421">
        <v>36522362.544150002</v>
      </c>
      <c r="D10" s="420">
        <v>29688472.515000001</v>
      </c>
    </row>
    <row r="11" spans="1:4" ht="15" customHeight="1">
      <c r="A11" s="151">
        <v>1.4</v>
      </c>
      <c r="B11" s="204" t="s">
        <v>84</v>
      </c>
      <c r="C11" s="421">
        <v>0</v>
      </c>
      <c r="D11" s="420"/>
    </row>
    <row r="12" spans="1:4" ht="15" customHeight="1">
      <c r="A12" s="151">
        <v>2</v>
      </c>
      <c r="B12" s="65" t="s">
        <v>205</v>
      </c>
      <c r="C12" s="420">
        <v>7765438.3602</v>
      </c>
      <c r="D12" s="420">
        <v>3629852</v>
      </c>
    </row>
    <row r="13" spans="1:4" ht="15" customHeight="1">
      <c r="A13" s="151">
        <v>3</v>
      </c>
      <c r="B13" s="65" t="s">
        <v>203</v>
      </c>
      <c r="C13" s="421">
        <v>18680103.9333</v>
      </c>
      <c r="D13" s="420">
        <v>18680103.785714287</v>
      </c>
    </row>
    <row r="14" spans="1:4" ht="15" customHeight="1" thickBot="1">
      <c r="A14" s="152">
        <v>4</v>
      </c>
      <c r="B14" s="153" t="s">
        <v>269</v>
      </c>
      <c r="C14" s="422">
        <f>C6+C12+C13</f>
        <v>308422862.31281</v>
      </c>
      <c r="D14" s="423">
        <f>D6+D12+D13</f>
        <v>293837246.57061428</v>
      </c>
    </row>
    <row r="15" spans="1:4" ht="15" customHeight="1">
      <c r="A15" s="67"/>
      <c r="B15" s="68"/>
      <c r="C15" s="69"/>
      <c r="D15" s="69"/>
    </row>
    <row r="16" spans="1:4">
      <c r="B16" s="23"/>
    </row>
    <row r="17" spans="2:2">
      <c r="B17" s="114"/>
    </row>
    <row r="18" spans="2:2">
      <c r="B18" s="114"/>
    </row>
    <row r="19" spans="2:2">
      <c r="B19" s="114"/>
    </row>
    <row r="20" spans="2:2">
      <c r="B20" s="114"/>
    </row>
    <row r="21" spans="2:2">
      <c r="B21" s="11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5"/>
  <sheetViews>
    <sheetView zoomScaleNormal="100" workbookViewId="0">
      <pane xSplit="1" ySplit="4" topLeftCell="B6" activePane="bottomRight" state="frozen"/>
      <selection pane="topRight"/>
      <selection pane="bottomLeft"/>
      <selection pane="bottomRight" activeCell="B33" sqref="B32:C33"/>
    </sheetView>
  </sheetViews>
  <sheetFormatPr defaultColWidth="9.140625" defaultRowHeight="15"/>
  <cols>
    <col min="1" max="1" width="9.5703125" style="2" bestFit="1" customWidth="1"/>
    <col min="2" max="2" width="90.42578125" style="2" bestFit="1" customWidth="1"/>
    <col min="3" max="3" width="9.140625" style="2"/>
  </cols>
  <sheetData>
    <row r="1" spans="1:8">
      <c r="A1" s="2" t="s">
        <v>199</v>
      </c>
      <c r="B1" s="408" t="str">
        <f>'2. RC'!B1</f>
        <v>სს " პაშა ბანკი საქართველო"</v>
      </c>
    </row>
    <row r="2" spans="1:8">
      <c r="A2" s="2" t="s">
        <v>200</v>
      </c>
      <c r="B2" s="408" t="str">
        <f>'2. RC'!B2</f>
        <v>30.09.2017</v>
      </c>
    </row>
    <row r="4" spans="1:8" ht="16.5" customHeight="1" thickBot="1">
      <c r="A4" s="255" t="s">
        <v>353</v>
      </c>
      <c r="B4" s="70" t="s">
        <v>157</v>
      </c>
      <c r="C4" s="13"/>
    </row>
    <row r="5" spans="1:8" ht="15.75">
      <c r="A5" s="11"/>
      <c r="B5" s="542" t="s">
        <v>158</v>
      </c>
      <c r="C5" s="543"/>
    </row>
    <row r="6" spans="1:8" ht="15.75">
      <c r="A6" s="14">
        <v>1</v>
      </c>
      <c r="B6" s="550" t="s">
        <v>401</v>
      </c>
      <c r="C6" s="551"/>
    </row>
    <row r="7" spans="1:8" ht="15.75">
      <c r="A7" s="14">
        <v>2</v>
      </c>
      <c r="B7" s="550" t="s">
        <v>402</v>
      </c>
      <c r="C7" s="551"/>
    </row>
    <row r="8" spans="1:8" ht="15.75">
      <c r="A8" s="14">
        <v>3</v>
      </c>
      <c r="B8" s="550" t="s">
        <v>403</v>
      </c>
      <c r="C8" s="551"/>
    </row>
    <row r="9" spans="1:8" ht="15.75">
      <c r="A9" s="14">
        <v>4</v>
      </c>
      <c r="B9" s="550" t="s">
        <v>404</v>
      </c>
      <c r="C9" s="551"/>
    </row>
    <row r="10" spans="1:8" ht="15.75">
      <c r="A10" s="14">
        <v>5</v>
      </c>
      <c r="B10" s="550" t="s">
        <v>398</v>
      </c>
      <c r="C10" s="551"/>
    </row>
    <row r="11" spans="1:8">
      <c r="A11" s="14">
        <v>6</v>
      </c>
      <c r="B11" s="72"/>
      <c r="C11" s="73"/>
    </row>
    <row r="12" spans="1:8">
      <c r="A12" s="14">
        <v>7</v>
      </c>
      <c r="B12" s="72"/>
      <c r="C12" s="73"/>
      <c r="H12" s="4"/>
    </row>
    <row r="13" spans="1:8">
      <c r="A13" s="14">
        <v>8</v>
      </c>
      <c r="B13" s="72"/>
      <c r="C13" s="73"/>
    </row>
    <row r="14" spans="1:8">
      <c r="A14" s="14">
        <v>9</v>
      </c>
      <c r="B14" s="72"/>
      <c r="C14" s="73"/>
    </row>
    <row r="15" spans="1:8">
      <c r="A15" s="14">
        <v>10</v>
      </c>
      <c r="B15" s="72"/>
      <c r="C15" s="73"/>
    </row>
    <row r="16" spans="1:8">
      <c r="A16" s="14"/>
      <c r="B16" s="544"/>
      <c r="C16" s="545"/>
    </row>
    <row r="17" spans="1:3" ht="15.75">
      <c r="A17" s="14"/>
      <c r="B17" s="546" t="s">
        <v>159</v>
      </c>
      <c r="C17" s="547"/>
    </row>
    <row r="18" spans="1:3" ht="15.75">
      <c r="A18" s="14">
        <v>1</v>
      </c>
      <c r="B18" s="550" t="s">
        <v>405</v>
      </c>
      <c r="C18" s="551"/>
    </row>
    <row r="19" spans="1:3" ht="15.75">
      <c r="A19" s="14">
        <v>2</v>
      </c>
      <c r="B19" s="550" t="s">
        <v>406</v>
      </c>
      <c r="C19" s="551"/>
    </row>
    <row r="20" spans="1:3" ht="15.75">
      <c r="A20" s="14">
        <v>3</v>
      </c>
      <c r="B20" s="550" t="s">
        <v>399</v>
      </c>
      <c r="C20" s="551"/>
    </row>
    <row r="21" spans="1:3" ht="15.75">
      <c r="A21" s="14">
        <v>4</v>
      </c>
      <c r="B21" s="27"/>
      <c r="C21" s="71"/>
    </row>
    <row r="22" spans="1:3" ht="15.75">
      <c r="A22" s="14">
        <v>5</v>
      </c>
      <c r="B22" s="27"/>
      <c r="C22" s="71"/>
    </row>
    <row r="23" spans="1:3" ht="15.75">
      <c r="A23" s="14">
        <v>6</v>
      </c>
      <c r="B23" s="27"/>
      <c r="C23" s="71"/>
    </row>
    <row r="24" spans="1:3" ht="15.75">
      <c r="A24" s="14">
        <v>7</v>
      </c>
      <c r="B24" s="27"/>
      <c r="C24" s="71"/>
    </row>
    <row r="25" spans="1:3" ht="15.75">
      <c r="A25" s="14">
        <v>8</v>
      </c>
      <c r="B25" s="27"/>
      <c r="C25" s="71"/>
    </row>
    <row r="26" spans="1:3" ht="15.75">
      <c r="A26" s="14">
        <v>9</v>
      </c>
      <c r="B26" s="27"/>
      <c r="C26" s="71"/>
    </row>
    <row r="27" spans="1:3" ht="15.75" customHeight="1">
      <c r="A27" s="14">
        <v>10</v>
      </c>
      <c r="B27" s="27"/>
      <c r="C27" s="28"/>
    </row>
    <row r="28" spans="1:3" ht="15.75" customHeight="1">
      <c r="A28" s="14"/>
      <c r="B28" s="27"/>
      <c r="C28" s="28"/>
    </row>
    <row r="29" spans="1:3" ht="30" customHeight="1">
      <c r="A29" s="14"/>
      <c r="B29" s="548" t="s">
        <v>160</v>
      </c>
      <c r="C29" s="549"/>
    </row>
    <row r="30" spans="1:3" ht="15.75">
      <c r="A30" s="14">
        <v>1</v>
      </c>
      <c r="B30" s="377" t="s">
        <v>407</v>
      </c>
      <c r="C30" s="378">
        <v>1</v>
      </c>
    </row>
    <row r="31" spans="1:3" ht="15.75" customHeight="1">
      <c r="A31" s="14"/>
      <c r="B31" s="72"/>
      <c r="C31" s="73"/>
    </row>
    <row r="32" spans="1:3" ht="29.25" customHeight="1">
      <c r="A32" s="14"/>
      <c r="B32" s="548" t="s">
        <v>292</v>
      </c>
      <c r="C32" s="549"/>
    </row>
    <row r="33" spans="1:3" ht="15.75">
      <c r="A33" s="379">
        <v>1</v>
      </c>
      <c r="B33" s="380" t="s">
        <v>408</v>
      </c>
      <c r="C33" s="381">
        <v>0.1</v>
      </c>
    </row>
    <row r="34" spans="1:3" ht="15.75">
      <c r="A34" s="379">
        <v>2</v>
      </c>
      <c r="B34" s="380" t="s">
        <v>409</v>
      </c>
      <c r="C34" s="381">
        <v>0.45</v>
      </c>
    </row>
    <row r="35" spans="1:3" ht="16.5" thickBot="1">
      <c r="A35" s="15">
        <v>3</v>
      </c>
      <c r="B35" s="382" t="s">
        <v>410</v>
      </c>
      <c r="C35" s="383">
        <v>0.45</v>
      </c>
    </row>
  </sheetData>
  <mergeCells count="13">
    <mergeCell ref="B5:C5"/>
    <mergeCell ref="B16:C16"/>
    <mergeCell ref="B17:C17"/>
    <mergeCell ref="B32:C32"/>
    <mergeCell ref="B29:C29"/>
    <mergeCell ref="B6:C6"/>
    <mergeCell ref="B7:C7"/>
    <mergeCell ref="B8:C8"/>
    <mergeCell ref="B9:C9"/>
    <mergeCell ref="B10:C10"/>
    <mergeCell ref="B18:C18"/>
    <mergeCell ref="B19:C19"/>
    <mergeCell ref="B20:C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7"/>
  <sheetViews>
    <sheetView zoomScaleNormal="100" workbookViewId="0">
      <pane xSplit="1" ySplit="5" topLeftCell="B6" activePane="bottomRight" state="frozen"/>
      <selection pane="topRight"/>
      <selection pane="bottomLeft"/>
      <selection pane="bottomRight" activeCell="E16" sqref="E16"/>
    </sheetView>
  </sheetViews>
  <sheetFormatPr defaultColWidth="9.140625"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25.42578125" style="2" customWidth="1"/>
    <col min="7" max="7" width="23.28515625" customWidth="1"/>
    <col min="8" max="8" width="12" bestFit="1" customWidth="1"/>
    <col min="9" max="9" width="12.5703125" bestFit="1" customWidth="1"/>
  </cols>
  <sheetData>
    <row r="1" spans="1:9" ht="15.75">
      <c r="A1" s="17" t="s">
        <v>199</v>
      </c>
      <c r="B1" s="408" t="str">
        <f>'2. RC'!B1</f>
        <v>სს " პაშა ბანკი საქართველო"</v>
      </c>
    </row>
    <row r="2" spans="1:9" s="21" customFormat="1" ht="15.75" customHeight="1">
      <c r="A2" s="21" t="s">
        <v>200</v>
      </c>
      <c r="B2" s="408" t="str">
        <f>'2. RC'!B2</f>
        <v>30.09.2017</v>
      </c>
    </row>
    <row r="3" spans="1:9" s="21" customFormat="1" ht="15.75" customHeight="1"/>
    <row r="4" spans="1:9" s="21" customFormat="1" ht="15.75" customHeight="1" thickBot="1">
      <c r="A4" s="260" t="s">
        <v>354</v>
      </c>
      <c r="B4" s="261" t="s">
        <v>280</v>
      </c>
      <c r="C4" s="219"/>
      <c r="D4" s="219"/>
      <c r="E4" s="219"/>
      <c r="F4" s="219"/>
      <c r="G4" s="220" t="s">
        <v>101</v>
      </c>
    </row>
    <row r="5" spans="1:9" s="133" customFormat="1" ht="17.45" customHeight="1">
      <c r="A5" s="259"/>
      <c r="B5" s="259"/>
      <c r="C5" s="217" t="s">
        <v>0</v>
      </c>
      <c r="D5" s="217" t="s">
        <v>1</v>
      </c>
      <c r="E5" s="217" t="s">
        <v>2</v>
      </c>
      <c r="F5" s="217" t="s">
        <v>3</v>
      </c>
      <c r="G5" s="267" t="s">
        <v>279</v>
      </c>
    </row>
    <row r="6" spans="1:9" s="172" customFormat="1" ht="14.45" customHeight="1">
      <c r="A6" s="258"/>
      <c r="B6" s="552" t="s">
        <v>244</v>
      </c>
      <c r="C6" s="552" t="s">
        <v>243</v>
      </c>
      <c r="D6" s="553" t="s">
        <v>242</v>
      </c>
      <c r="E6" s="554"/>
      <c r="F6" s="554"/>
      <c r="G6" s="555" t="s">
        <v>396</v>
      </c>
      <c r="I6"/>
    </row>
    <row r="7" spans="1:9" s="172" customFormat="1" ht="99.6" customHeight="1">
      <c r="A7" s="258"/>
      <c r="B7" s="552"/>
      <c r="C7" s="552"/>
      <c r="D7" s="205" t="s">
        <v>241</v>
      </c>
      <c r="E7" s="205" t="s">
        <v>285</v>
      </c>
      <c r="F7" s="218" t="s">
        <v>240</v>
      </c>
      <c r="G7" s="556"/>
      <c r="I7"/>
    </row>
    <row r="8" spans="1:9">
      <c r="A8" s="352">
        <v>1</v>
      </c>
      <c r="B8" s="256" t="s">
        <v>162</v>
      </c>
      <c r="C8" s="384">
        <v>603702.49659999995</v>
      </c>
      <c r="D8" s="384"/>
      <c r="E8" s="384">
        <v>603702.49659999995</v>
      </c>
      <c r="F8" s="385"/>
      <c r="G8" s="386">
        <v>603702.49659999995</v>
      </c>
    </row>
    <row r="9" spans="1:9">
      <c r="A9" s="352">
        <v>2</v>
      </c>
      <c r="B9" s="256" t="s">
        <v>163</v>
      </c>
      <c r="C9" s="384">
        <v>24264830.883299999</v>
      </c>
      <c r="D9" s="384"/>
      <c r="E9" s="384">
        <v>24264830.883299999</v>
      </c>
      <c r="F9" s="385"/>
      <c r="G9" s="386">
        <v>24264830.883299999</v>
      </c>
    </row>
    <row r="10" spans="1:9">
      <c r="A10" s="352">
        <v>3</v>
      </c>
      <c r="B10" s="256" t="s">
        <v>239</v>
      </c>
      <c r="C10" s="384">
        <v>47159819.937600002</v>
      </c>
      <c r="D10" s="384"/>
      <c r="E10" s="384">
        <v>47159819.937600002</v>
      </c>
      <c r="F10" s="385"/>
      <c r="G10" s="386">
        <v>47159819.937600002</v>
      </c>
    </row>
    <row r="11" spans="1:9" ht="25.5">
      <c r="A11" s="352">
        <v>4</v>
      </c>
      <c r="B11" s="256" t="s">
        <v>193</v>
      </c>
      <c r="C11" s="384">
        <v>0</v>
      </c>
      <c r="D11" s="384"/>
      <c r="E11" s="384">
        <v>0</v>
      </c>
      <c r="F11" s="385"/>
      <c r="G11" s="386">
        <v>0</v>
      </c>
    </row>
    <row r="12" spans="1:9">
      <c r="A12" s="352">
        <v>5</v>
      </c>
      <c r="B12" s="256" t="s">
        <v>165</v>
      </c>
      <c r="C12" s="384">
        <v>59206161.747600004</v>
      </c>
      <c r="D12" s="387"/>
      <c r="E12" s="384">
        <v>59206161.747600004</v>
      </c>
      <c r="F12" s="385"/>
      <c r="G12" s="386">
        <v>59206161.747600004</v>
      </c>
    </row>
    <row r="13" spans="1:9">
      <c r="A13" s="352">
        <v>6.1</v>
      </c>
      <c r="B13" s="256" t="s">
        <v>166</v>
      </c>
      <c r="C13" s="384">
        <v>111849887.1886</v>
      </c>
      <c r="D13" s="384"/>
      <c r="E13" s="384">
        <v>111849887.1886</v>
      </c>
      <c r="F13" s="385">
        <v>48883246.492600001</v>
      </c>
      <c r="G13" s="386">
        <v>160733133.6812</v>
      </c>
    </row>
    <row r="14" spans="1:9">
      <c r="A14" s="352">
        <v>6.2</v>
      </c>
      <c r="B14" s="257" t="s">
        <v>167</v>
      </c>
      <c r="C14" s="384">
        <v>-2498649.5386999999</v>
      </c>
      <c r="D14" s="384"/>
      <c r="E14" s="384">
        <v>-2498649.5386999999</v>
      </c>
      <c r="F14" s="385">
        <v>-1240755.8282999999</v>
      </c>
      <c r="G14" s="386">
        <v>-3739405.3669999996</v>
      </c>
    </row>
    <row r="15" spans="1:9">
      <c r="A15" s="352">
        <v>6</v>
      </c>
      <c r="B15" s="256" t="s">
        <v>238</v>
      </c>
      <c r="C15" s="384">
        <v>109351237.6499</v>
      </c>
      <c r="D15" s="384"/>
      <c r="E15" s="384">
        <v>109351237.6499</v>
      </c>
      <c r="F15" s="385">
        <v>47642490.664300002</v>
      </c>
      <c r="G15" s="386">
        <v>156993728.31420001</v>
      </c>
    </row>
    <row r="16" spans="1:9" ht="25.5">
      <c r="A16" s="352">
        <v>7</v>
      </c>
      <c r="B16" s="256" t="s">
        <v>169</v>
      </c>
      <c r="C16" s="384">
        <v>2335316.9797999999</v>
      </c>
      <c r="D16" s="387"/>
      <c r="E16" s="384">
        <v>2335316.9797999999</v>
      </c>
      <c r="F16" s="385">
        <v>142100.5062</v>
      </c>
      <c r="G16" s="386">
        <v>2477417.486</v>
      </c>
    </row>
    <row r="17" spans="1:9">
      <c r="A17" s="352">
        <v>8</v>
      </c>
      <c r="B17" s="256" t="s">
        <v>170</v>
      </c>
      <c r="C17" s="384">
        <v>0</v>
      </c>
      <c r="D17" s="384"/>
      <c r="E17" s="384">
        <v>0</v>
      </c>
      <c r="F17" s="385"/>
      <c r="G17" s="386">
        <v>0</v>
      </c>
      <c r="H17" s="6"/>
      <c r="I17" s="6"/>
    </row>
    <row r="18" spans="1:9">
      <c r="A18" s="352">
        <v>9</v>
      </c>
      <c r="B18" s="256" t="s">
        <v>171</v>
      </c>
      <c r="C18" s="384">
        <v>0</v>
      </c>
      <c r="D18" s="384"/>
      <c r="E18" s="384">
        <v>0</v>
      </c>
      <c r="F18" s="385"/>
      <c r="G18" s="386">
        <v>0</v>
      </c>
      <c r="I18" s="6"/>
    </row>
    <row r="19" spans="1:9" ht="25.5">
      <c r="A19" s="352">
        <v>10</v>
      </c>
      <c r="B19" s="256" t="s">
        <v>172</v>
      </c>
      <c r="C19" s="384">
        <v>3074486.09</v>
      </c>
      <c r="D19" s="411">
        <v>2085956.12</v>
      </c>
      <c r="E19" s="384">
        <v>988529.96999999974</v>
      </c>
      <c r="F19" s="385"/>
      <c r="G19" s="386">
        <v>988529.96999999974</v>
      </c>
      <c r="I19" s="6"/>
    </row>
    <row r="20" spans="1:9">
      <c r="A20" s="352">
        <v>11</v>
      </c>
      <c r="B20" s="256" t="s">
        <v>173</v>
      </c>
      <c r="C20" s="384">
        <v>4927479.3605000004</v>
      </c>
      <c r="D20" s="384"/>
      <c r="E20" s="384">
        <v>4927479.3605000004</v>
      </c>
      <c r="F20" s="385"/>
      <c r="G20" s="386">
        <v>4927479.3605000004</v>
      </c>
    </row>
    <row r="21" spans="1:9" ht="51.75" thickBot="1">
      <c r="A21" s="263"/>
      <c r="B21" s="262" t="s">
        <v>392</v>
      </c>
      <c r="C21" s="355">
        <f>SUM(C8:C12, C15:C20)</f>
        <v>250923035.1453</v>
      </c>
      <c r="D21" s="355">
        <f>SUM(D8:D12, D15:D20)</f>
        <v>2085956.12</v>
      </c>
      <c r="E21" s="355">
        <f>SUM(E8:E12, E15:E20)</f>
        <v>248837079.0253</v>
      </c>
      <c r="F21" s="355">
        <f>SUM(F8:F12, F15:F20)</f>
        <v>47784591.170500003</v>
      </c>
      <c r="G21" s="355">
        <f>SUM(G8:G12, G15:G20)</f>
        <v>296621670.19580001</v>
      </c>
    </row>
    <row r="22" spans="1:9">
      <c r="A22"/>
      <c r="B22"/>
      <c r="C22"/>
      <c r="D22"/>
      <c r="E22"/>
      <c r="F22"/>
    </row>
    <row r="23" spans="1:9">
      <c r="A23"/>
      <c r="B23"/>
      <c r="C23"/>
      <c r="D23"/>
      <c r="E23"/>
      <c r="F23"/>
    </row>
    <row r="25" spans="1:9" s="2" customFormat="1">
      <c r="B25" s="75"/>
      <c r="G25"/>
      <c r="H25"/>
      <c r="I25"/>
    </row>
    <row r="26" spans="1:9" s="2" customFormat="1">
      <c r="B26" s="76"/>
      <c r="G26"/>
      <c r="H26"/>
      <c r="I26"/>
    </row>
    <row r="27" spans="1:9" s="2" customFormat="1">
      <c r="B27" s="75"/>
      <c r="G27"/>
      <c r="H27"/>
      <c r="I27"/>
    </row>
    <row r="28" spans="1:9" s="2" customFormat="1">
      <c r="B28" s="75"/>
      <c r="G28"/>
      <c r="H28"/>
      <c r="I28"/>
    </row>
    <row r="29" spans="1:9" s="2" customFormat="1">
      <c r="B29" s="75"/>
      <c r="G29"/>
      <c r="H29"/>
      <c r="I29"/>
    </row>
    <row r="30" spans="1:9" s="2" customFormat="1">
      <c r="B30" s="75"/>
      <c r="G30"/>
      <c r="H30"/>
      <c r="I30"/>
    </row>
    <row r="31" spans="1:9" s="2" customFormat="1">
      <c r="B31" s="75"/>
      <c r="G31"/>
      <c r="H31"/>
      <c r="I31"/>
    </row>
    <row r="32" spans="1:9" s="2" customFormat="1">
      <c r="B32" s="76"/>
      <c r="G32"/>
      <c r="H32"/>
      <c r="I32"/>
    </row>
    <row r="33" spans="2:9" s="2" customFormat="1">
      <c r="B33" s="76"/>
      <c r="G33"/>
      <c r="H33"/>
      <c r="I33"/>
    </row>
    <row r="34" spans="2:9" s="2" customFormat="1">
      <c r="B34" s="76"/>
      <c r="G34"/>
      <c r="H34"/>
      <c r="I34"/>
    </row>
    <row r="35" spans="2:9" s="2" customFormat="1">
      <c r="B35" s="76"/>
      <c r="G35"/>
      <c r="H35"/>
      <c r="I35"/>
    </row>
    <row r="36" spans="2:9" s="2" customFormat="1">
      <c r="B36" s="76"/>
      <c r="G36"/>
      <c r="H36"/>
      <c r="I36"/>
    </row>
    <row r="37" spans="2:9" s="2" customFormat="1">
      <c r="B37" s="76"/>
      <c r="G37"/>
      <c r="H37"/>
      <c r="I37"/>
    </row>
  </sheetData>
  <mergeCells count="4">
    <mergeCell ref="B6:B7"/>
    <mergeCell ref="C6:C7"/>
    <mergeCell ref="D6:F6"/>
    <mergeCell ref="G6:G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3"/>
  <sheetViews>
    <sheetView zoomScaleNormal="100" workbookViewId="0">
      <pane xSplit="1" ySplit="4" topLeftCell="B5" activePane="bottomRight" state="frozen"/>
      <selection pane="topRight"/>
      <selection pane="bottomLeft"/>
      <selection pane="bottomRight" activeCell="C24" sqref="C23:C24"/>
    </sheetView>
  </sheetViews>
  <sheetFormatPr defaultColWidth="9.140625"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199</v>
      </c>
      <c r="B1" s="408" t="str">
        <f>'2. RC'!B1</f>
        <v>სს " პაშა ბანკი საქართველო"</v>
      </c>
    </row>
    <row r="2" spans="1:6" s="21" customFormat="1" ht="15.75" customHeight="1">
      <c r="A2" s="21" t="s">
        <v>200</v>
      </c>
      <c r="B2" s="408" t="str">
        <f>'2. RC'!B2</f>
        <v>30.09.2017</v>
      </c>
      <c r="C2"/>
      <c r="D2"/>
      <c r="E2"/>
      <c r="F2"/>
    </row>
    <row r="3" spans="1:6" s="21" customFormat="1" ht="15.75" customHeight="1">
      <c r="C3"/>
      <c r="D3"/>
      <c r="E3"/>
      <c r="F3"/>
    </row>
    <row r="4" spans="1:6" s="21" customFormat="1" ht="26.25" thickBot="1">
      <c r="A4" s="21" t="s">
        <v>355</v>
      </c>
      <c r="B4" s="226" t="s">
        <v>284</v>
      </c>
      <c r="C4" s="220" t="s">
        <v>101</v>
      </c>
      <c r="D4"/>
      <c r="E4"/>
      <c r="F4"/>
    </row>
    <row r="5" spans="1:6" ht="26.25">
      <c r="A5" s="221">
        <v>1</v>
      </c>
      <c r="B5" s="222" t="s">
        <v>365</v>
      </c>
      <c r="C5" s="307">
        <f>'7. LI1'!G21</f>
        <v>296621670.19580001</v>
      </c>
    </row>
    <row r="6" spans="1:6" s="207" customFormat="1">
      <c r="A6" s="132">
        <v>2.1</v>
      </c>
      <c r="B6" s="228" t="s">
        <v>286</v>
      </c>
      <c r="C6" s="416">
        <v>19394470.2848</v>
      </c>
    </row>
    <row r="7" spans="1:6" s="4" customFormat="1" ht="25.5" outlineLevel="1">
      <c r="A7" s="227">
        <v>2.2000000000000002</v>
      </c>
      <c r="B7" s="223" t="s">
        <v>287</v>
      </c>
      <c r="C7" s="415">
        <v>0</v>
      </c>
    </row>
    <row r="8" spans="1:6" s="4" customFormat="1" ht="26.25">
      <c r="A8" s="227">
        <v>3</v>
      </c>
      <c r="B8" s="224" t="s">
        <v>366</v>
      </c>
      <c r="C8" s="309">
        <f>SUM(C5:C7)</f>
        <v>316016140.4806</v>
      </c>
    </row>
    <row r="9" spans="1:6" s="207" customFormat="1">
      <c r="A9" s="132">
        <v>4</v>
      </c>
      <c r="B9" s="231" t="s">
        <v>281</v>
      </c>
      <c r="C9" s="308">
        <v>3365060.0325000002</v>
      </c>
      <c r="D9" s="405"/>
    </row>
    <row r="10" spans="1:6" s="4" customFormat="1" ht="25.5" outlineLevel="1">
      <c r="A10" s="227">
        <v>5.0999999999999996</v>
      </c>
      <c r="B10" s="223" t="s">
        <v>293</v>
      </c>
      <c r="C10" s="415">
        <v>-6943280.6832999997</v>
      </c>
    </row>
    <row r="11" spans="1:6" s="4" customFormat="1" ht="25.5" outlineLevel="1">
      <c r="A11" s="227">
        <v>5.2</v>
      </c>
      <c r="B11" s="223" t="s">
        <v>294</v>
      </c>
      <c r="C11" s="414">
        <v>0</v>
      </c>
    </row>
    <row r="12" spans="1:6" s="4" customFormat="1">
      <c r="A12" s="227">
        <v>6</v>
      </c>
      <c r="B12" s="229" t="s">
        <v>282</v>
      </c>
      <c r="C12" s="308"/>
    </row>
    <row r="13" spans="1:6" s="4" customFormat="1" ht="15.75" thickBot="1">
      <c r="A13" s="230">
        <v>7</v>
      </c>
      <c r="B13" s="225" t="s">
        <v>283</v>
      </c>
      <c r="C13" s="310">
        <f>SUM(C8:C12)</f>
        <v>312437919.82980001</v>
      </c>
    </row>
    <row r="17" spans="2:9" s="2" customFormat="1">
      <c r="B17" s="77"/>
      <c r="C17"/>
      <c r="D17"/>
      <c r="E17"/>
      <c r="F17"/>
      <c r="G17"/>
      <c r="H17"/>
      <c r="I17"/>
    </row>
    <row r="18" spans="2:9" s="2" customFormat="1">
      <c r="B18" s="74"/>
      <c r="C18"/>
      <c r="D18"/>
      <c r="E18"/>
      <c r="F18"/>
      <c r="G18"/>
      <c r="H18"/>
      <c r="I18"/>
    </row>
    <row r="19" spans="2:9" s="2" customFormat="1">
      <c r="B19" s="74"/>
      <c r="C19"/>
      <c r="D19"/>
      <c r="E19"/>
      <c r="F19"/>
      <c r="G19"/>
      <c r="H19"/>
      <c r="I19"/>
    </row>
    <row r="20" spans="2:9" s="2" customFormat="1">
      <c r="B20" s="76"/>
      <c r="C20"/>
      <c r="D20"/>
      <c r="E20"/>
      <c r="F20"/>
      <c r="G20"/>
      <c r="H20"/>
      <c r="I20"/>
    </row>
    <row r="21" spans="2:9" s="2" customFormat="1">
      <c r="B21" s="75"/>
      <c r="C21"/>
      <c r="D21"/>
      <c r="E21"/>
      <c r="F21"/>
      <c r="G21"/>
      <c r="H21"/>
      <c r="I21"/>
    </row>
    <row r="22" spans="2:9" s="2" customFormat="1">
      <c r="B22" s="76"/>
      <c r="C22"/>
      <c r="D22"/>
      <c r="E22"/>
      <c r="F22"/>
      <c r="G22"/>
      <c r="H22"/>
      <c r="I22"/>
    </row>
    <row r="23" spans="2:9" s="2" customFormat="1">
      <c r="B23" s="75"/>
      <c r="C23"/>
      <c r="D23"/>
      <c r="E23"/>
      <c r="F23"/>
      <c r="G23"/>
      <c r="H23"/>
      <c r="I23"/>
    </row>
    <row r="24" spans="2:9" s="2" customFormat="1">
      <c r="B24" s="75"/>
      <c r="C24"/>
      <c r="D24"/>
      <c r="E24"/>
      <c r="F24"/>
      <c r="G24"/>
      <c r="H24"/>
      <c r="I24"/>
    </row>
    <row r="25" spans="2:9" s="2" customFormat="1">
      <c r="B25" s="75"/>
      <c r="C25"/>
      <c r="D25"/>
      <c r="E25"/>
      <c r="F25"/>
      <c r="G25"/>
      <c r="H25"/>
      <c r="I25"/>
    </row>
    <row r="26" spans="2:9" s="2" customFormat="1">
      <c r="B26" s="75"/>
      <c r="C26"/>
      <c r="D26"/>
      <c r="E26"/>
      <c r="F26"/>
      <c r="G26"/>
      <c r="H26"/>
      <c r="I26"/>
    </row>
    <row r="27" spans="2:9" s="2" customFormat="1">
      <c r="B27" s="75"/>
      <c r="C27"/>
      <c r="D27"/>
      <c r="E27"/>
      <c r="F27"/>
      <c r="G27"/>
      <c r="H27"/>
      <c r="I27"/>
    </row>
    <row r="28" spans="2:9" s="2" customFormat="1">
      <c r="B28" s="76"/>
      <c r="C28"/>
      <c r="D28"/>
      <c r="E28"/>
      <c r="F28"/>
      <c r="G28"/>
      <c r="H28"/>
      <c r="I28"/>
    </row>
    <row r="29" spans="2:9" s="2" customFormat="1">
      <c r="B29" s="76"/>
      <c r="C29"/>
      <c r="D29"/>
      <c r="E29"/>
      <c r="F29"/>
      <c r="G29"/>
      <c r="H29"/>
      <c r="I29"/>
    </row>
    <row r="30" spans="2:9" s="2" customFormat="1">
      <c r="B30" s="76"/>
      <c r="C30"/>
      <c r="D30"/>
      <c r="E30"/>
      <c r="F30"/>
      <c r="G30"/>
      <c r="H30"/>
      <c r="I30"/>
    </row>
    <row r="31" spans="2:9" s="2" customFormat="1">
      <c r="B31" s="76"/>
      <c r="C31"/>
      <c r="D31"/>
      <c r="E31"/>
      <c r="F31"/>
      <c r="G31"/>
      <c r="H31"/>
      <c r="I31"/>
    </row>
    <row r="32" spans="2:9" s="2" customFormat="1">
      <c r="B32" s="76"/>
      <c r="C32"/>
      <c r="D32"/>
      <c r="E32"/>
      <c r="F32"/>
      <c r="G32"/>
      <c r="H32"/>
      <c r="I32"/>
    </row>
    <row r="33" spans="2:9" s="2" customFormat="1">
      <c r="B33" s="76"/>
      <c r="C33"/>
      <c r="D33"/>
      <c r="E33"/>
      <c r="F33"/>
      <c r="G33"/>
      <c r="H33"/>
      <c r="I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7sSZLov5kSEIIVAH5B4VVZDPzEE=</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dHKq9MFJu5Vgc7Z++lchF/tqMUg=</DigestValue>
    </Reference>
  </SignedInfo>
  <SignatureValue>UfX6CSWMLHGesnFANGTfBg+QS3JD+i0HaJLPwVcIa+qHFE7M8Nn4cBe/MaCTjJi/spEJhb8bTpp4
cGGfj4U3VA6jB4SiZNGoOCzmHYrcd7W8zHrDCsyQi4QKTP8NEyk+x2b1rjBpev5Ly5GJs21JApI3
odqP2/sSShKQh+i5ZP7VdmaBHSlJEgLlfd1ahcRqVsaze2pGjeqCVgMoz5HgRUelupBw2EtI/lW/
GAxGVOh7g6fvD8lwUhOkeWvjTSqrDIsoxHEp05tz09IqcXf6yY/Qd0tgVVlwidxhsmK88+TSNYFd
h5PKrKRpjcjkflUmg/U5fIae8IOSg+YyR1YH8Q==</SignatureValue>
  <KeyInfo>
    <X509Data>
      <X509Certificate>MIIGRjCCBS6gAwIBAgIKesnavgACAAAc1TANBgkqhkiG9w0BAQsFADBKMRIwEAYKCZImiZPyLGQB
GRYCZ2UxEzARBgoJkiaJk/IsZAEZFgNuYmcxHzAdBgNVBAMTFk5CRyBDbGFzcyAyIElOVCBTdWIg
Q0EwHhcNMTcwMjE1MDcyMjU4WhcNMTkwMjE1MDcyMjU4WjBEMR8wHQYDVQQKExZKU0MgUGFzaGEg
QmFuayBHZW9yZ2lhMSEwHwYDVQQDExhCUEIgLSBNYXJnYXJpdGEgU3ZhbmlkemUwggEiMA0GCSqG
SIb3DQEBAQUAA4IBDwAwggEKAoIBAQDwVjBqqMrDMQLZ0bO0mzBu+mMPv7pJzrYDLxfHxgnywgWk
1XGO3jN74Ul6Hn9MtNoUuzSw1Tq9P9NY4Pn9ojwuHPzZq3SLAGltd4JIRYTcgvje3vwdRBvA9GA3
7U+wrirs2CPOE77gm1Zq7/FN+nLmUni/lNNgoz2rihTq9KwsBfrNaPXKYv56X3xU7WaEH5GLA9hH
fenpwZjnZb7c9jIdTYK9yrUIeMAiqFYVlQ4sLj8mnWoDGz37/02z7WPruDTk6KNNbZmpPYCe7cPf
6LBqUM8hcXaZFA5EuEbd/BtMMyLS1wTy0N7eQ6gO9bUDMnduD22MkYyJVOskQHWVNGHnAgMBAAGj
ggMyMIIDLjA8BgkrBgEEAYI3FQcELzAtBiUrBgEEAYI3FQjmsmCDjfVEhoGZCYO4oUqDvoRxBIPE
kTOEg4hdAgFkAgEdMB0GA1UdJQQWMBQGCCsGAQUFBwMCBggrBgEFBQcDBDALBgNVHQ8EBAMCB4Aw
JwYJKwYBBAGCNxUKBBowGDAKBggrBgEFBQcDAjAKBggrBgEFBQcDBDAdBgNVHQ4EFgQUbfepM37/
b04GOkuRptsSc+QhTg0wHwYDVR0jBBgwFoAUwy7SL/BMLxnCJ4L89i6sarBJz8EwggElBgNVHR8E
ggEcMIIBGDCCARSgggEQoIIBDIaBx2xkYXA6Ly8vQ049TkJHJTIwQ2xhc3MlMjAyJTIwSU5UJTIw
U3ViJTIwQ0EoMSksQ049bmJnLXN1YkNBLENOPUNEUCxDTj1QdWJsaWMlMjBLZXklMjBTZXJ2aWNl
cyxDTj1TZXJ2aWNlcyxDTj1Db25maWd1cmF0aW9uLERDPW5iZyxEQz1nZT9jZXJ0aWZpY2F0ZVJl
dm9jYXRpb25MaXN0P2Jhc2U/b2JqZWN0Q2xhc3M9Y1JMRGlzdHJpYnV0aW9uUG9pbnSGQGh0dHA6
Ly9jcmwubmJnLmdvdi5nZS9jYS9OQkclMjBDbGFzcyUyMDIlMjBJTlQlMjBTdWIlMjBDQSgxKS5j
cmwwggEuBggrBgEFBQcBAQSCASAwggEcMIG6BggrBgEFBQcwAoaBrWxkYXA6Ly8vQ049TkJHJTIw
Q2xhc3MlMjAyJTIwSU5UJTIwU3ViJTIwQ0EsQ049QUlBLENOPVB1YmxpYyUyMEtleSUyMFNlcnZp
Y2VzLENOPVNlcnZpY2VzLENOPUNvbmZpZ3VyYXRpb24sREM9bmJnLERDPWdlP2NBQ2VydGlmaWNh
dGU/YmFzZT9vYmplY3RDbGFzcz1jZXJ0aWZpY2F0aW9uQXV0aG9yaXR5MF0GCCsGAQUFBzAChlFo
dHRwOi8vY3JsLm5iZy5nb3YuZ2UvY2EvbmJnLXN1YkNBLm5iZy5nZV9OQkclMjBDbGFzcyUyMDIl
MjBJTlQlMjBTdWIlMjBDQSgyKS5jcnQwDQYJKoZIhvcNAQELBQADggEBABTEvO+NrMMxNXC2k7wb
wI8r5x+UyDjJ4GVk5NCn3IBFHQfugK3eBU1vbjCj3fvVxVzV4WoAnGFlH3rWXzqzLae/OQOZYRiZ
O7Ku/jwLFx1VXDsfIkl1lMJXJtNw3fnVIuVK2wrXxfOYdOYwHZNDxV0mirX1t/k01ofSwdI2gnto
ZRgLLYZTIdHGhC6d9nJzO9nLz3W0F31O8Mrldt9rzbz//JF9lDandyzVwobwgByBJbxtvny1sJnv
BmR7G2IUzKlMhifYkIUUjlZ7Syj+/ZkxFjXvHhhc+iv+fp06KlNxbQrpqHR3e3Pn7M8gaYosLLf1
AFjRWrPqBgNaViN4cJs=</X509Certificate>
    </X509Data>
  </KeyInfo>
  <Object xmlns:mdssi="http://schemas.openxmlformats.org/package/2006/digital-signature" Id="idPackageObject">
    <Manifest>
      <Reference URI="/xl/printerSettings/printerSettings5.bin?ContentType=application/vnd.openxmlformats-officedocument.spreadsheetml.printerSettings">
        <DigestMethod Algorithm="http://www.w3.org/2000/09/xmldsig#sha1"/>
        <DigestValue>0fOQWZyNvHu5m3ZMv6Ygnk6TDsA=</DigestValue>
      </Reference>
      <Reference URI="/xl/worksheets/sheet10.xml?ContentType=application/vnd.openxmlformats-officedocument.spreadsheetml.worksheet+xml">
        <DigestMethod Algorithm="http://www.w3.org/2000/09/xmldsig#sha1"/>
        <DigestValue>UB4De4uF1nAQzxxcVrL+IMvmY7w=</DigestValue>
      </Reference>
      <Reference URI="/xl/worksheets/sheet18.xml?ContentType=application/vnd.openxmlformats-officedocument.spreadsheetml.worksheet+xml">
        <DigestMethod Algorithm="http://www.w3.org/2000/09/xmldsig#sha1"/>
        <DigestValue>+ZJD3JuJwdIFoFxhTTVFIrRBLpk=</DigestValue>
      </Reference>
      <Reference URI="/xl/worksheets/sheet16.xml?ContentType=application/vnd.openxmlformats-officedocument.spreadsheetml.worksheet+xml">
        <DigestMethod Algorithm="http://www.w3.org/2000/09/xmldsig#sha1"/>
        <DigestValue>5NbieE0VCgjawRUeoCu0j414SFY=</DigestValue>
      </Reference>
      <Reference URI="/xl/printerSettings/printerSettings6.bin?ContentType=application/vnd.openxmlformats-officedocument.spreadsheetml.printerSettings">
        <DigestMethod Algorithm="http://www.w3.org/2000/09/xmldsig#sha1"/>
        <DigestValue>4uWAmxZMpFBE+/JDugAdMjuTKKw=</DigestValue>
      </Reference>
      <Reference URI="/xl/worksheets/sheet15.xml?ContentType=application/vnd.openxmlformats-officedocument.spreadsheetml.worksheet+xml">
        <DigestMethod Algorithm="http://www.w3.org/2000/09/xmldsig#sha1"/>
        <DigestValue>BE3m3fr357FjcV4vRNiJniLP9rE=</DigestValue>
      </Reference>
      <Reference URI="/xl/worksheets/sheet14.xml?ContentType=application/vnd.openxmlformats-officedocument.spreadsheetml.worksheet+xml">
        <DigestMethod Algorithm="http://www.w3.org/2000/09/xmldsig#sha1"/>
        <DigestValue>Cg1vnDyRA9cpd2vffikfmb54ZWc=</DigestValue>
      </Reference>
      <Reference URI="/xl/printerSettings/printerSettings7.bin?ContentType=application/vnd.openxmlformats-officedocument.spreadsheetml.printerSettings">
        <DigestMethod Algorithm="http://www.w3.org/2000/09/xmldsig#sha1"/>
        <DigestValue>gGm5PNNoB9jSCxwkaHZTNo4FllE=</DigestValue>
      </Reference>
      <Reference URI="/xl/worksheets/sheet13.xml?ContentType=application/vnd.openxmlformats-officedocument.spreadsheetml.worksheet+xml">
        <DigestMethod Algorithm="http://www.w3.org/2000/09/xmldsig#sha1"/>
        <DigestValue>INCwRzEbptZGccAzoYLm0MS/dz8=</DigestValue>
      </Reference>
      <Reference URI="/xl/worksheets/sheet8.xml?ContentType=application/vnd.openxmlformats-officedocument.spreadsheetml.worksheet+xml">
        <DigestMethod Algorithm="http://www.w3.org/2000/09/xmldsig#sha1"/>
        <DigestValue>JkRb635GKIHH6RBdhWC7OnAX61Q=</DigestValue>
      </Reference>
      <Reference URI="/xl/worksheets/sheet5.xml?ContentType=application/vnd.openxmlformats-officedocument.spreadsheetml.worksheet+xml">
        <DigestMethod Algorithm="http://www.w3.org/2000/09/xmldsig#sha1"/>
        <DigestValue>8GzG7/6KquzMC/DKBaIEM2UKCrQ=</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3.bin?ContentType=application/vnd.openxmlformats-officedocument.spreadsheetml.printerSettings">
        <DigestMethod Algorithm="http://www.w3.org/2000/09/xmldsig#sha1"/>
        <DigestValue>ZjYF1rngT8+3SuHmWZ9lPAE7NMg=</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2.bin?ContentType=application/vnd.openxmlformats-officedocument.spreadsheetml.printerSettings">
        <DigestMethod Algorithm="http://www.w3.org/2000/09/xmldsig#sha1"/>
        <DigestValue>4uWAmxZMpFBE+/JDugAdMjuTKKw=</DigestValue>
      </Reference>
      <Reference URI="/xl/worksheets/sheet6.xml?ContentType=application/vnd.openxmlformats-officedocument.spreadsheetml.worksheet+xml">
        <DigestMethod Algorithm="http://www.w3.org/2000/09/xmldsig#sha1"/>
        <DigestValue>8sM57WC0JRK/bJoLSc+tIYSpFmo=</DigestValue>
      </Reference>
      <Reference URI="/xl/worksheets/sheet7.xml?ContentType=application/vnd.openxmlformats-officedocument.spreadsheetml.worksheet+xml">
        <DigestMethod Algorithm="http://www.w3.org/2000/09/xmldsig#sha1"/>
        <DigestValue>o/8VvVlqI5Knbu4J/1brMAB3AMY=</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CDD2RTZeJiFOgyOI5ixCu8iMRZM=</DigestValue>
      </Reference>
      <Reference URI="/xl/printerSettings/printerSettings4.bin?ContentType=application/vnd.openxmlformats-officedocument.spreadsheetml.printerSettings">
        <DigestMethod Algorithm="http://www.w3.org/2000/09/xmldsig#sha1"/>
        <DigestValue>ZjYF1rngT8+3SuHmWZ9lPAE7NMg=</DigestValue>
      </Reference>
      <Reference URI="/xl/worksheets/sheet19.xml?ContentType=application/vnd.openxmlformats-officedocument.spreadsheetml.worksheet+xml">
        <DigestMethod Algorithm="http://www.w3.org/2000/09/xmldsig#sha1"/>
        <DigestValue>51ebC+A+oCUNbkWuQPd0F/Vu0zc=</DigestValue>
      </Reference>
      <Reference URI="/xl/worksheets/sheet12.xml?ContentType=application/vnd.openxmlformats-officedocument.spreadsheetml.worksheet+xml">
        <DigestMethod Algorithm="http://www.w3.org/2000/09/xmldsig#sha1"/>
        <DigestValue>NidAULnDOPX+NAcPB3yQSFfPKL4=</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r85+ffokEW5O01sK97VvKOowa0Y=</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worksheets/sheet2.xml?ContentType=application/vnd.openxmlformats-officedocument.spreadsheetml.worksheet+xml">
        <DigestMethod Algorithm="http://www.w3.org/2000/09/xmldsig#sha1"/>
        <DigestValue>/mAmju53qbcaBGDX8MTkOj6iZ2o=</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4.xml?ContentType=application/vnd.openxmlformats-officedocument.spreadsheetml.worksheet+xml">
        <DigestMethod Algorithm="http://www.w3.org/2000/09/xmldsig#sha1"/>
        <DigestValue>uLY6ki8zN7YxS3dKKMiycIFW0PY=</DigestValue>
      </Reference>
      <Reference URI="/xl/externalLinks/externalLink3.xml?ContentType=application/vnd.openxmlformats-officedocument.spreadsheetml.externalLink+xml">
        <DigestMethod Algorithm="http://www.w3.org/2000/09/xmldsig#sha1"/>
        <DigestValue>QhugS1S28tuOnkKtxQIotaaiM+w=</DigestValue>
      </Reference>
      <Reference URI="/xl/workbook.xml?ContentType=application/vnd.openxmlformats-officedocument.spreadsheetml.sheet.main+xml">
        <DigestMethod Algorithm="http://www.w3.org/2000/09/xmldsig#sha1"/>
        <DigestValue>0M+tvI49lKgtn9bKkGjM3nigEHM=</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drawings/drawing1.xml?ContentType=application/vnd.openxmlformats-officedocument.drawing+xml">
        <DigestMethod Algorithm="http://www.w3.org/2000/09/xmldsig#sha1"/>
        <DigestValue>MhmTSdEu56laBuPLIJgMghbMdD8=</DigestValue>
      </Reference>
      <Reference URI="/xl/sharedStrings.xml?ContentType=application/vnd.openxmlformats-officedocument.spreadsheetml.sharedStrings+xml">
        <DigestMethod Algorithm="http://www.w3.org/2000/09/xmldsig#sha1"/>
        <DigestValue>G4tuYD58mKUC12H/0mNRkpCYrDg=</DigestValue>
      </Reference>
      <Reference URI="/xl/calcChain.xml?ContentType=application/vnd.openxmlformats-officedocument.spreadsheetml.calcChain+xml">
        <DigestMethod Algorithm="http://www.w3.org/2000/09/xmldsig#sha1"/>
        <DigestValue>aKI5/TH0NJiKxa0/i3Vy07tsX4s=</DigestValue>
      </Reference>
      <Reference URI="/xl/worksheets/sheet11.xml?ContentType=application/vnd.openxmlformats-officedocument.spreadsheetml.worksheet+xml">
        <DigestMethod Algorithm="http://www.w3.org/2000/09/xmldsig#sha1"/>
        <DigestValue>FIE7yCQaDYM1Vj+IkHMGugnILb8=</DigestValue>
      </Reference>
      <Reference URI="/xl/worksheets/sheet17.xml?ContentType=application/vnd.openxmlformats-officedocument.spreadsheetml.worksheet+xml">
        <DigestMethod Algorithm="http://www.w3.org/2000/09/xmldsig#sha1"/>
        <DigestValue>LOUuvjpNcdGu5MXMovQ1FeTEO/I=</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ooh/TKebcen8vGxgQSOcq2e2Sfc=</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/nXHCtU7fGIpL0oNvSGtRVWmH2Q=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B9rIMn8oRkijQxrA3nxbNn1mZQA=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D3aQ/Xi0pGPzu8sDemrZB9jUH6E=</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2017-10-20T14:07:35Z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2017-10-20T14:07:35Z</xd:SigningTime>
          <xd:SigningCertificate>
            <xd:Cert>
              <xd:CertDigest>
                <DigestMethod Algorithm="http://www.w3.org/2000/09/xmldsig#sha1"/>
                <DigestValue>oRTaHoIlDgHtX/xJU9V4LH4gucI=</DigestValue>
              </xd:CertDigest>
              <xd:IssuerSerial>
                <X509IssuerName>CN=NBG Class 2 INT Sub CA, DC=nbg, DC=ge</X509IssuerName>
                <X509SerialNumber>579852268504666769202389</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KxqJKDZiEH/kN/2BlOUQu9LFSeA=</DigestValue>
    </Reference>
    <Reference URI="#idOfficeObject" Type="http://www.w3.org/2000/09/xmldsig#Object">
      <DigestMethod Algorithm="http://www.w3.org/2000/09/xmldsig#sha1"/>
      <DigestValue>5Wov1gsJxgYKXgFalq/R1XDbt4o=</DigestValue>
    </Reference>
    <Reference URI="#idSignedProperties" Type="http://uri.etsi.org/01903#SignedProperties">
      <Transforms>
        <Transform Algorithm="http://www.w3.org/TR/2001/REC-xml-c14n-20010315"/>
      </Transforms>
      <DigestMethod Algorithm="http://www.w3.org/2000/09/xmldsig#sha1"/>
      <DigestValue>j41MIdYJ4ghWUBmuBpWeajmmCz0=</DigestValue>
    </Reference>
  </SignedInfo>
  <SignatureValue>dpRrCKNjDtzRwD3+kgOyjJS/+BJznCyRyfa8VQ960bxV1cnGvUGNeiL2rUHyn4yJLlB4w5Z0V4kd
mwdwrQACdKyhYJVStqNdX2KBs8Y4NQix/9+PFcBtpX3qInsVjH14S5/xHBKjBriWCxuMqxoZaQhD
eO+vOjWw7pfz4OwtD23e6IIHRoR4podpMyS8BQq5BeOwrBQtgYPwi7Hf16wFXvruvvAycgYXD6JN
8stZ69gzpGIs3lRUkqnN+KBiyQGfKGvWnjR8qEh6LIgGIxZAZdfrtTdwWivTWW9XxS3418iJVXFu
bJt6FhxQZ/V8v8sxARsKOFZsG9HWNUXozikokA==</SignatureValue>
  <KeyInfo>
    <X509Data>
      <X509Certificate>MIIGRDCCBSygAwIBAgIKesuBSgACAAAc1jANBgkqhkiG9w0BAQsFADBKMRIwEAYKCZImiZPyLGQB
GRYCZ2UxEzARBgoJkiaJk/IsZAEZFgNuYmcxHzAdBgNVBAMTFk5CRyBDbGFzcyAyIElOVCBTdWIg
Q0EwHhcNMTcwMjE1MDcyNDQ2WhcNMTkwMjE1MDcyNDQ2WjBCMR8wHQYDVQQKExZKU0MgUGFzaGEg
QmFuayBHZW9yZ2lhMR8wHQYDVQQDExZCUEIgLSBMZWxhIEdvZ2lhc2h2aWxpMIIBIjANBgkqhkiG
9w0BAQEFAAOCAQ8AMIIBCgKCAQEA8Hc+aRhWLz2Qk1D+GRP8opFNsSeOa1xEKhRTUlMKfFGzrZVt
CywOtfkaEViChSKY3P+4qBCM9AyWRrPGu1xyfJWUgYpYz6UkklEO3G54OgB+FtQ/CVfQ3A72rEoV
IlkhmTsFfvfobOyRC5JAANQ31L6jARKLVYViChfjhq4JHyUfLDJQC5ccAWtSiAJ165H7x1D50zrr
PYW3XJtKBjAHKKI5zVUb5PAjzkr4gnEApHrDVygDY1C7jdi5ThECs0fneFk0ZZrJ1Z2a7Vs/bCTC
y22HAFA1O5GsLLhEViB+CldQl+7KcDhsYlrY85mT1KJFWEcBZc5gqrpH6QexVDhIwwIDAQABo4ID
MjCCAy4wPAYJKwYBBAGCNxUHBC8wLQYlKwYBBAGCNxUI5rJgg431RIaBmQmDuKFKg76EcQSDxJEz
hIOIXQIBZAIBHTAdBgNVHSUEFjAUBggrBgEFBQcDAgYIKwYBBQUHAwQwCwYDVR0PBAQDAgeAMCcG
CSsGAQQBgjcVCgQaMBgwCgYIKwYBBQUHAwIwCgYIKwYBBQUHAwQwHQYDVR0OBBYEFN0sxcMFVeIs
O8LMk8ZJFVv/U2deMB8GA1UdIwQYMBaAFMMu0i/wTC8ZwieC/PYurGqwSc/BMIIBJQYDVR0fBIIB
HDCCARgwggEUoIIBEKCCAQyGgcdsZGFwOi8vL0NOPU5CRyUyMENsYXNzJTIwMiUyMElOVCUyMFN1
YiUyMENBKDEpLENOPW5iZy1zdWJDQSxDTj1DRFAsQ049UHVibGljJTIwS2V5JTIwU2VydmljZXMs
Q049U2VydmljZXMsQ049Q29uZmlndXJhdGlvbixEQz1uYmcsREM9Z2U/Y2VydGlmaWNhdGVSZXZv
Y2F0aW9uTGlzdD9iYXNlP29iamVjdENsYXNzPWNSTERpc3RyaWJ1dGlvblBvaW50hkBodHRwOi8v
Y3JsLm5iZy5nb3YuZ2UvY2EvTkJHJTIwQ2xhc3MlMjAyJTIwSU5UJTIwU3ViJTIwQ0EoMSkuY3Js
MIIBLgYIKwYBBQUHAQEEggEgMIIBHDCBugYIKwYBBQUHMAKGga1sZGFwOi8vL0NOPU5CRyUyMENs
YXNzJTIwMiUyMElOVCUyMFN1YiUyMENBLENOPUFJQSxDTj1QdWJsaWMlMjBLZXklMjBTZXJ2aWNl
cyxDTj1TZXJ2aWNlcyxDTj1Db25maWd1cmF0aW9uLERDPW5iZyxEQz1nZT9jQUNlcnRpZmljYXRl
P2Jhc2U/b2JqZWN0Q2xhc3M9Y2VydGlmaWNhdGlvbkF1dGhvcml0eTBdBggrBgEFBQcwAoZRaHR0
cDovL2NybC5uYmcuZ292LmdlL2NhL25iZy1zdWJDQS5uYmcuZ2VfTkJHJTIwQ2xhc3MlMjAyJTIw
SU5UJTIwU3ViJTIwQ0EoMikuY3J0MA0GCSqGSIb3DQEBCwUAA4IBAQAy4fNEzOSCHUgSguiaisUI
ieC0fZ3N+/QU5oyEz9uArgzZAEbY+qf33KdPPJ6u8GLpu5Tom59H1fKbSCBpLCWKrGWbWC35sAWU
0j22P8j0WBx/oMEkbWPTS6S28yvxOzPQb8XjxT63Elc9a5/iW3HhoLcrNUQ5/lUY9AHiAu+2aSxM
a1Z5d82lt17xhLhHB+Tr8PiXQuvlFdXF2t1P7q6nyOKr7EKaGkzX/erlnDr0ZbnXhIccxgnreopq
PzqoS4A0wCe5N936u96EE+fTvZWt1j6x5iES0S9/EuxeqBgpSrW+C1AWdr9Pdk4vD90729e16V/+
bFSelprjQatjI4s2</X509Certificate>
    </X509Data>
  </KeyInfo>
  <Object xmlns:mdssi="http://schemas.openxmlformats.org/package/2006/digital-signature" Id="idPackageObject">
    <Manifest>
      <Reference URI="/xl/printerSettings/printerSettings5.bin?ContentType=application/vnd.openxmlformats-officedocument.spreadsheetml.printerSettings">
        <DigestMethod Algorithm="http://www.w3.org/2000/09/xmldsig#sha1"/>
        <DigestValue>0fOQWZyNvHu5m3ZMv6Ygnk6TDsA=</DigestValue>
      </Reference>
      <Reference URI="/xl/worksheets/sheet10.xml?ContentType=application/vnd.openxmlformats-officedocument.spreadsheetml.worksheet+xml">
        <DigestMethod Algorithm="http://www.w3.org/2000/09/xmldsig#sha1"/>
        <DigestValue>UB4De4uF1nAQzxxcVrL+IMvmY7w=</DigestValue>
      </Reference>
      <Reference URI="/xl/worksheets/sheet18.xml?ContentType=application/vnd.openxmlformats-officedocument.spreadsheetml.worksheet+xml">
        <DigestMethod Algorithm="http://www.w3.org/2000/09/xmldsig#sha1"/>
        <DigestValue>+ZJD3JuJwdIFoFxhTTVFIrRBLpk=</DigestValue>
      </Reference>
      <Reference URI="/xl/worksheets/sheet16.xml?ContentType=application/vnd.openxmlformats-officedocument.spreadsheetml.worksheet+xml">
        <DigestMethod Algorithm="http://www.w3.org/2000/09/xmldsig#sha1"/>
        <DigestValue>5NbieE0VCgjawRUeoCu0j414SFY=</DigestValue>
      </Reference>
      <Reference URI="/xl/printerSettings/printerSettings6.bin?ContentType=application/vnd.openxmlformats-officedocument.spreadsheetml.printerSettings">
        <DigestMethod Algorithm="http://www.w3.org/2000/09/xmldsig#sha1"/>
        <DigestValue>4uWAmxZMpFBE+/JDugAdMjuTKKw=</DigestValue>
      </Reference>
      <Reference URI="/xl/worksheets/sheet15.xml?ContentType=application/vnd.openxmlformats-officedocument.spreadsheetml.worksheet+xml">
        <DigestMethod Algorithm="http://www.w3.org/2000/09/xmldsig#sha1"/>
        <DigestValue>BE3m3fr357FjcV4vRNiJniLP9rE=</DigestValue>
      </Reference>
      <Reference URI="/xl/worksheets/sheet14.xml?ContentType=application/vnd.openxmlformats-officedocument.spreadsheetml.worksheet+xml">
        <DigestMethod Algorithm="http://www.w3.org/2000/09/xmldsig#sha1"/>
        <DigestValue>Cg1vnDyRA9cpd2vffikfmb54ZWc=</DigestValue>
      </Reference>
      <Reference URI="/xl/printerSettings/printerSettings7.bin?ContentType=application/vnd.openxmlformats-officedocument.spreadsheetml.printerSettings">
        <DigestMethod Algorithm="http://www.w3.org/2000/09/xmldsig#sha1"/>
        <DigestValue>gGm5PNNoB9jSCxwkaHZTNo4FllE=</DigestValue>
      </Reference>
      <Reference URI="/xl/worksheets/sheet13.xml?ContentType=application/vnd.openxmlformats-officedocument.spreadsheetml.worksheet+xml">
        <DigestMethod Algorithm="http://www.w3.org/2000/09/xmldsig#sha1"/>
        <DigestValue>INCwRzEbptZGccAzoYLm0MS/dz8=</DigestValue>
      </Reference>
      <Reference URI="/xl/worksheets/sheet8.xml?ContentType=application/vnd.openxmlformats-officedocument.spreadsheetml.worksheet+xml">
        <DigestMethod Algorithm="http://www.w3.org/2000/09/xmldsig#sha1"/>
        <DigestValue>JkRb635GKIHH6RBdhWC7OnAX61Q=</DigestValue>
      </Reference>
      <Reference URI="/xl/worksheets/sheet5.xml?ContentType=application/vnd.openxmlformats-officedocument.spreadsheetml.worksheet+xml">
        <DigestMethod Algorithm="http://www.w3.org/2000/09/xmldsig#sha1"/>
        <DigestValue>8GzG7/6KquzMC/DKBaIEM2UKCrQ=</DigestValue>
      </Reference>
      <Reference URI="/xl/externalLinks/externalLink1.xml?ContentType=application/vnd.openxmlformats-officedocument.spreadsheetml.externalLink+xml">
        <DigestMethod Algorithm="http://www.w3.org/2000/09/xmldsig#sha1"/>
        <DigestValue>5INcEJ1eQDgw22QA4kay85oIaqo=</DigestValue>
      </Reference>
      <Reference URI="/xl/printerSettings/printerSettings3.bin?ContentType=application/vnd.openxmlformats-officedocument.spreadsheetml.printerSettings">
        <DigestMethod Algorithm="http://www.w3.org/2000/09/xmldsig#sha1"/>
        <DigestValue>ZjYF1rngT8+3SuHmWZ9lPAE7NMg=</DigestValue>
      </Reference>
      <Reference URI="/xl/externalLinks/externalLink2.xml?ContentType=application/vnd.openxmlformats-officedocument.spreadsheetml.externalLink+xml">
        <DigestMethod Algorithm="http://www.w3.org/2000/09/xmldsig#sha1"/>
        <DigestValue>e4tpTd2JEeHxDbOXHYPqIzXdeNs=</DigestValue>
      </Reference>
      <Reference URI="/xl/printerSettings/printerSettings2.bin?ContentType=application/vnd.openxmlformats-officedocument.spreadsheetml.printerSettings">
        <DigestMethod Algorithm="http://www.w3.org/2000/09/xmldsig#sha1"/>
        <DigestValue>4uWAmxZMpFBE+/JDugAdMjuTKKw=</DigestValue>
      </Reference>
      <Reference URI="/xl/worksheets/sheet6.xml?ContentType=application/vnd.openxmlformats-officedocument.spreadsheetml.worksheet+xml">
        <DigestMethod Algorithm="http://www.w3.org/2000/09/xmldsig#sha1"/>
        <DigestValue>8sM57WC0JRK/bJoLSc+tIYSpFmo=</DigestValue>
      </Reference>
      <Reference URI="/xl/worksheets/sheet7.xml?ContentType=application/vnd.openxmlformats-officedocument.spreadsheetml.worksheet+xml">
        <DigestMethod Algorithm="http://www.w3.org/2000/09/xmldsig#sha1"/>
        <DigestValue>o/8VvVlqI5Knbu4J/1brMAB3AMY=</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9.xml?ContentType=application/vnd.openxmlformats-officedocument.spreadsheetml.worksheet+xml">
        <DigestMethod Algorithm="http://www.w3.org/2000/09/xmldsig#sha1"/>
        <DigestValue>CDD2RTZeJiFOgyOI5ixCu8iMRZM=</DigestValue>
      </Reference>
      <Reference URI="/xl/printerSettings/printerSettings4.bin?ContentType=application/vnd.openxmlformats-officedocument.spreadsheetml.printerSettings">
        <DigestMethod Algorithm="http://www.w3.org/2000/09/xmldsig#sha1"/>
        <DigestValue>ZjYF1rngT8+3SuHmWZ9lPAE7NMg=</DigestValue>
      </Reference>
      <Reference URI="/xl/worksheets/sheet19.xml?ContentType=application/vnd.openxmlformats-officedocument.spreadsheetml.worksheet+xml">
        <DigestMethod Algorithm="http://www.w3.org/2000/09/xmldsig#sha1"/>
        <DigestValue>51ebC+A+oCUNbkWuQPd0F/Vu0zc=</DigestValue>
      </Reference>
      <Reference URI="/xl/worksheets/sheet12.xml?ContentType=application/vnd.openxmlformats-officedocument.spreadsheetml.worksheet+xml">
        <DigestMethod Algorithm="http://www.w3.org/2000/09/xmldsig#sha1"/>
        <DigestValue>NidAULnDOPX+NAcPB3yQSFfPKL4=</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r85+ffokEW5O01sK97VvKOowa0Y=</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worksheets/sheet2.xml?ContentType=application/vnd.openxmlformats-officedocument.spreadsheetml.worksheet+xml">
        <DigestMethod Algorithm="http://www.w3.org/2000/09/xmldsig#sha1"/>
        <DigestValue>/mAmju53qbcaBGDX8MTkOj6iZ2o=</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4.xml?ContentType=application/vnd.openxmlformats-officedocument.spreadsheetml.worksheet+xml">
        <DigestMethod Algorithm="http://www.w3.org/2000/09/xmldsig#sha1"/>
        <DigestValue>uLY6ki8zN7YxS3dKKMiycIFW0PY=</DigestValue>
      </Reference>
      <Reference URI="/xl/externalLinks/externalLink3.xml?ContentType=application/vnd.openxmlformats-officedocument.spreadsheetml.externalLink+xml">
        <DigestMethod Algorithm="http://www.w3.org/2000/09/xmldsig#sha1"/>
        <DigestValue>QhugS1S28tuOnkKtxQIotaaiM+w=</DigestValue>
      </Reference>
      <Reference URI="/xl/workbook.xml?ContentType=application/vnd.openxmlformats-officedocument.spreadsheetml.sheet.main+xml">
        <DigestMethod Algorithm="http://www.w3.org/2000/09/xmldsig#sha1"/>
        <DigestValue>0M+tvI49lKgtn9bKkGjM3nigEHM=</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drawings/drawing1.xml?ContentType=application/vnd.openxmlformats-officedocument.drawing+xml">
        <DigestMethod Algorithm="http://www.w3.org/2000/09/xmldsig#sha1"/>
        <DigestValue>MhmTSdEu56laBuPLIJgMghbMdD8=</DigestValue>
      </Reference>
      <Reference URI="/xl/sharedStrings.xml?ContentType=application/vnd.openxmlformats-officedocument.spreadsheetml.sharedStrings+xml">
        <DigestMethod Algorithm="http://www.w3.org/2000/09/xmldsig#sha1"/>
        <DigestValue>G4tuYD58mKUC12H/0mNRkpCYrDg=</DigestValue>
      </Reference>
      <Reference URI="/xl/calcChain.xml?ContentType=application/vnd.openxmlformats-officedocument.spreadsheetml.calcChain+xml">
        <DigestMethod Algorithm="http://www.w3.org/2000/09/xmldsig#sha1"/>
        <DigestValue>aKI5/TH0NJiKxa0/i3Vy07tsX4s=</DigestValue>
      </Reference>
      <Reference URI="/xl/worksheets/sheet11.xml?ContentType=application/vnd.openxmlformats-officedocument.spreadsheetml.worksheet+xml">
        <DigestMethod Algorithm="http://www.w3.org/2000/09/xmldsig#sha1"/>
        <DigestValue>FIE7yCQaDYM1Vj+IkHMGugnILb8=</DigestValue>
      </Reference>
      <Reference URI="/xl/worksheets/sheet17.xml?ContentType=application/vnd.openxmlformats-officedocument.spreadsheetml.worksheet+xml">
        <DigestMethod Algorithm="http://www.w3.org/2000/09/xmldsig#sha1"/>
        <DigestValue>LOUuvjpNcdGu5MXMovQ1FeTEO/I=</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worksheets/sheet1.xml?ContentType=application/vnd.openxmlformats-officedocument.spreadsheetml.worksheet+xml">
        <DigestMethod Algorithm="http://www.w3.org/2000/09/xmldsig#sha1"/>
        <DigestValue>ooh/TKebcen8vGxgQSOcq2e2Sfc=</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/nXHCtU7fGIpL0oNvSGtRVWmH2Q=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B9rIMn8oRkijQxrA3nxbNn1mZQA=</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D3aQ/Xi0pGPzu8sDemrZB9jUH6E=</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9w9FI5gkK0sLFSA54vbW5SfEkNk=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2017-10-23T12:55:18Z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2017-10-23T12:55:18Z</xd:SigningTime>
          <xd:SigningCertificate>
            <xd:Cert>
              <xd:CertDigest>
                <DigestMethod Algorithm="http://www.w3.org/2000/09/xmldsig#sha1"/>
                <DigestValue>bXeVszmyKums/rJpaQrnkKSK0fc=</DigestValue>
              </xd:CertDigest>
              <xd:IssuerSerial>
                <X509IssuerName>CN=NBG Class 2 INT Sub CA, DC=nbg, DC=ge</X509IssuerName>
                <X509SerialNumber>579882716215847514283222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lpstr>Risk Weighted Risk Exposures</vt:lpstr>
      <vt:lpstr>Risk Weighted Risk ExposuresT1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2017-10-20T06:18:28Z</dcterms:modified>
</cp:coreProperties>
</file>