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xl/comments2.xml" ContentType="application/vnd.openxmlformats-officedocument.spreadsheetml.comment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483" documentId="11_8924E26B6714B975B224F76D40A3FD0B98CF8FA4" xr6:coauthVersionLast="47" xr6:coauthVersionMax="47" xr10:uidLastSave="{2FD59D1B-0D99-4B5B-985C-7025B5063EF2}"/>
  <bookViews>
    <workbookView xWindow="-108" yWindow="-108" windowWidth="23256" windowHeight="12456" tabRatio="919" activeTab="1"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externalReferences>
    <externalReference r:id="rId34"/>
    <externalReference r:id="rId35"/>
    <externalReference r:id="rId36"/>
    <externalReference r:id="rId37"/>
    <externalReference r:id="rId38"/>
  </externalReferences>
  <definedNames>
    <definedName name="_cur1">'[1]Appl (2)'!$F$2:$F$7200</definedName>
    <definedName name="_cur2">'[1]Appl (2)'!$H$2:$H$7200</definedName>
    <definedName name="_xlnm._FilterDatabase" localSheetId="32" hidden="1">Instruction!$A$108:$C$112</definedName>
    <definedName name="_sum1">'[1]Appl (2)'!$E$2:$E$7200</definedName>
    <definedName name="_sum2">'[1]Appl (2)'!$G$2:$G$7200</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80" l="1"/>
  <c r="C33" i="80" l="1"/>
  <c r="D33" i="80"/>
  <c r="E33" i="80"/>
  <c r="F33" i="80"/>
  <c r="H7" i="102" l="1"/>
  <c r="H8" i="102"/>
  <c r="H9" i="102"/>
  <c r="H10" i="102"/>
  <c r="H11" i="102"/>
  <c r="H12" i="102"/>
  <c r="H13" i="102"/>
  <c r="H14" i="102"/>
  <c r="H15" i="102"/>
  <c r="H16" i="102"/>
  <c r="H17" i="102"/>
  <c r="H18" i="102"/>
  <c r="H19" i="102"/>
  <c r="H20" i="102"/>
  <c r="H21" i="102"/>
  <c r="H22" i="102"/>
  <c r="H23" i="102"/>
  <c r="H24" i="102"/>
  <c r="H25" i="102"/>
  <c r="H26" i="102"/>
  <c r="H27" i="102"/>
  <c r="H28" i="102"/>
  <c r="H29" i="102"/>
  <c r="H30" i="102"/>
  <c r="H31" i="102"/>
  <c r="H32" i="102"/>
  <c r="D10" i="101" l="1"/>
  <c r="E10" i="101"/>
  <c r="F10" i="101"/>
  <c r="G10" i="101"/>
  <c r="H10" i="101"/>
  <c r="I10" i="101"/>
  <c r="J10" i="101"/>
  <c r="K10" i="101"/>
  <c r="L10" i="101"/>
  <c r="M10" i="101"/>
  <c r="N10" i="101"/>
  <c r="O10" i="101"/>
  <c r="P10" i="101"/>
  <c r="Q10" i="101"/>
  <c r="R10" i="101"/>
  <c r="S10" i="101"/>
  <c r="T10" i="101"/>
  <c r="U10" i="101"/>
  <c r="V10" i="101"/>
  <c r="W10" i="101"/>
  <c r="X10" i="101"/>
  <c r="Y10" i="101"/>
  <c r="Z10" i="101"/>
  <c r="AA10" i="101"/>
  <c r="G22" i="96" l="1"/>
  <c r="E22" i="96"/>
  <c r="D22" i="96"/>
  <c r="C22" i="96"/>
  <c r="G18" i="37" l="1"/>
  <c r="F18" i="37"/>
  <c r="E18" i="37"/>
  <c r="D18" i="37"/>
  <c r="C18" i="37"/>
  <c r="S21" i="35" l="1"/>
  <c r="S20" i="35"/>
  <c r="S19" i="35"/>
  <c r="S18" i="35"/>
  <c r="S17" i="35"/>
  <c r="S16" i="35"/>
  <c r="S15" i="35"/>
  <c r="S14" i="35"/>
  <c r="S13" i="35"/>
  <c r="S12" i="35"/>
  <c r="S11" i="35"/>
  <c r="S10" i="35"/>
  <c r="S22" i="35" s="1"/>
  <c r="S9" i="35"/>
  <c r="S8" i="35"/>
  <c r="G30" i="94" l="1"/>
  <c r="F30" i="94"/>
  <c r="D45" i="93"/>
  <c r="C45" i="93"/>
  <c r="G45" i="93"/>
  <c r="F45" i="93"/>
  <c r="G43" i="93"/>
  <c r="F43" i="93"/>
  <c r="F17" i="94" l="1"/>
  <c r="G29" i="93" l="1"/>
  <c r="F29" i="93"/>
  <c r="C16" i="100" l="1"/>
  <c r="C17" i="100"/>
  <c r="C13" i="100"/>
  <c r="C14" i="100"/>
  <c r="G36" i="80" l="1"/>
  <c r="G38" i="94" l="1"/>
  <c r="F38" i="94"/>
  <c r="Q13" i="104" l="1"/>
  <c r="Q19" i="104" s="1"/>
  <c r="P13" i="104"/>
  <c r="P19" i="104" s="1"/>
  <c r="O13" i="104"/>
  <c r="O19" i="104" s="1"/>
  <c r="N13" i="104"/>
  <c r="N19" i="104" s="1"/>
  <c r="M20" i="104"/>
  <c r="M18" i="104"/>
  <c r="M17" i="104"/>
  <c r="M16" i="104"/>
  <c r="M15" i="104"/>
  <c r="M14" i="104"/>
  <c r="M12" i="104"/>
  <c r="M11" i="104"/>
  <c r="M10" i="104"/>
  <c r="M9" i="104"/>
  <c r="M8" i="104"/>
  <c r="M7" i="104"/>
  <c r="L13" i="104"/>
  <c r="L19" i="104" s="1"/>
  <c r="K13" i="104"/>
  <c r="K19" i="104" s="1"/>
  <c r="J13" i="104"/>
  <c r="J19" i="104" s="1"/>
  <c r="I13" i="104"/>
  <c r="H20" i="104"/>
  <c r="H18" i="104"/>
  <c r="H17" i="104"/>
  <c r="H16" i="104"/>
  <c r="H15" i="104"/>
  <c r="H14" i="104"/>
  <c r="H12" i="104"/>
  <c r="H11" i="104"/>
  <c r="H10" i="104"/>
  <c r="H9" i="104"/>
  <c r="H8" i="104"/>
  <c r="H7" i="104"/>
  <c r="G13" i="104"/>
  <c r="G19" i="104" s="1"/>
  <c r="F13" i="104"/>
  <c r="F19" i="104" s="1"/>
  <c r="E13" i="104"/>
  <c r="E19" i="104" s="1"/>
  <c r="D13" i="104"/>
  <c r="D19" i="104" s="1"/>
  <c r="C20" i="104"/>
  <c r="C18" i="104"/>
  <c r="C17" i="104"/>
  <c r="C16" i="104"/>
  <c r="C15" i="104"/>
  <c r="C14" i="104"/>
  <c r="C12" i="104"/>
  <c r="C11" i="104"/>
  <c r="C10" i="104"/>
  <c r="C9" i="104"/>
  <c r="C8" i="104"/>
  <c r="C7" i="104"/>
  <c r="C13" i="104" l="1"/>
  <c r="M13" i="104"/>
  <c r="H13" i="104"/>
  <c r="I19" i="104"/>
  <c r="M19" i="104"/>
  <c r="H19" i="104"/>
  <c r="C19" i="104"/>
  <c r="C12" i="101" l="1"/>
  <c r="C13" i="101"/>
  <c r="C14" i="101"/>
  <c r="C15" i="101"/>
  <c r="C11" i="101"/>
  <c r="C22" i="101" l="1"/>
  <c r="C21" i="101"/>
  <c r="C20" i="101"/>
  <c r="C19" i="101"/>
  <c r="C18" i="101"/>
  <c r="C17" i="101"/>
  <c r="C10" i="101"/>
  <c r="C9" i="101"/>
  <c r="C8" i="101"/>
  <c r="I33" i="102" l="1"/>
  <c r="J33" i="102"/>
  <c r="K33" i="102"/>
  <c r="L33" i="102"/>
  <c r="H33" i="102"/>
  <c r="D33" i="102"/>
  <c r="E33" i="102"/>
  <c r="F33" i="102"/>
  <c r="G33" i="102"/>
  <c r="C8" i="102"/>
  <c r="C9" i="102"/>
  <c r="C10" i="102"/>
  <c r="C11" i="102"/>
  <c r="C12" i="102"/>
  <c r="C13" i="102"/>
  <c r="C14" i="102"/>
  <c r="C15" i="102"/>
  <c r="C16" i="102"/>
  <c r="C17" i="102"/>
  <c r="C18" i="102"/>
  <c r="C19" i="102"/>
  <c r="C20" i="102"/>
  <c r="C21" i="102"/>
  <c r="C22" i="102"/>
  <c r="C23" i="102"/>
  <c r="C24" i="102"/>
  <c r="C25" i="102"/>
  <c r="C26" i="102"/>
  <c r="C27" i="102"/>
  <c r="C28" i="102"/>
  <c r="C29" i="102"/>
  <c r="C30" i="102"/>
  <c r="C31" i="102"/>
  <c r="C32" i="102"/>
  <c r="C7" i="102"/>
  <c r="C33" i="102" l="1"/>
  <c r="D15" i="100"/>
  <c r="C15" i="100" s="1"/>
  <c r="C22" i="100"/>
  <c r="AA8" i="100"/>
  <c r="Z8" i="100"/>
  <c r="Y8" i="100"/>
  <c r="X8" i="100"/>
  <c r="W8" i="100"/>
  <c r="V8" i="100"/>
  <c r="U8" i="100"/>
  <c r="T8" i="100"/>
  <c r="S8" i="100"/>
  <c r="R8" i="100"/>
  <c r="Q8" i="100"/>
  <c r="P8" i="100"/>
  <c r="O8" i="100"/>
  <c r="N8" i="100"/>
  <c r="M8" i="100"/>
  <c r="L8" i="100"/>
  <c r="K8" i="100"/>
  <c r="J8" i="100"/>
  <c r="I8" i="100"/>
  <c r="H8" i="100"/>
  <c r="G8" i="100"/>
  <c r="F8" i="100"/>
  <c r="E8" i="100"/>
  <c r="D8" i="100"/>
  <c r="C8" i="100"/>
  <c r="G26" i="80" l="1"/>
  <c r="G16" i="80"/>
  <c r="G15" i="80" l="1"/>
  <c r="G13" i="80" l="1"/>
  <c r="G12" i="80"/>
  <c r="G10" i="80"/>
  <c r="G9" i="80" l="1"/>
  <c r="F8" i="107" l="1"/>
  <c r="F9" i="107"/>
  <c r="F7" i="107"/>
  <c r="F6" i="107" s="1"/>
  <c r="E6" i="107"/>
  <c r="D6" i="107"/>
  <c r="C31" i="79" l="1"/>
  <c r="C7" i="79"/>
  <c r="P9" i="37"/>
  <c r="O9" i="37"/>
  <c r="N9" i="37"/>
  <c r="M9" i="37"/>
  <c r="L9" i="37"/>
  <c r="K9" i="37"/>
  <c r="J9" i="37"/>
  <c r="P8" i="37"/>
  <c r="O8" i="37"/>
  <c r="O6" i="37" s="1"/>
  <c r="N8" i="37"/>
  <c r="M8" i="37"/>
  <c r="L8" i="37"/>
  <c r="K8" i="37"/>
  <c r="J8" i="37"/>
  <c r="P7" i="37"/>
  <c r="O7" i="37"/>
  <c r="N7" i="37"/>
  <c r="M7" i="37"/>
  <c r="M6" i="37" s="1"/>
  <c r="L7" i="37"/>
  <c r="K7" i="37"/>
  <c r="K6" i="37" s="1"/>
  <c r="J7" i="37"/>
  <c r="J6" i="37" s="1"/>
  <c r="P6" i="37"/>
  <c r="N6" i="37"/>
  <c r="E9" i="37"/>
  <c r="E8" i="37"/>
  <c r="E7" i="37"/>
  <c r="D9" i="37"/>
  <c r="D8" i="37"/>
  <c r="D7" i="37"/>
  <c r="D6" i="37" s="1"/>
  <c r="E6" i="37" l="1"/>
  <c r="L6" i="37"/>
  <c r="J23" i="36"/>
  <c r="I23" i="36"/>
  <c r="K23" i="36" s="1"/>
  <c r="G23" i="36"/>
  <c r="F23" i="36"/>
  <c r="H23" i="36" s="1"/>
  <c r="K18" i="36"/>
  <c r="J21" i="36"/>
  <c r="I21" i="36"/>
  <c r="K21" i="36" s="1"/>
  <c r="J16" i="36"/>
  <c r="I16" i="36"/>
  <c r="K10" i="36"/>
  <c r="K11" i="36"/>
  <c r="K12" i="36"/>
  <c r="K13" i="36"/>
  <c r="K14" i="36"/>
  <c r="K15" i="36"/>
  <c r="K8" i="36"/>
  <c r="H20" i="36"/>
  <c r="H19" i="36"/>
  <c r="H18" i="36"/>
  <c r="G21" i="36"/>
  <c r="F21" i="36"/>
  <c r="G16" i="36"/>
  <c r="F16" i="36"/>
  <c r="H15" i="36"/>
  <c r="H14" i="36"/>
  <c r="H13" i="36"/>
  <c r="H12" i="36"/>
  <c r="H11" i="36"/>
  <c r="H10" i="36"/>
  <c r="H8" i="36"/>
  <c r="D21" i="36"/>
  <c r="C21" i="36"/>
  <c r="E20" i="36"/>
  <c r="E19" i="36"/>
  <c r="E18" i="36"/>
  <c r="D16" i="36"/>
  <c r="C16" i="36"/>
  <c r="E11" i="36"/>
  <c r="E12" i="36"/>
  <c r="E13" i="36"/>
  <c r="E14" i="36"/>
  <c r="E15" i="36"/>
  <c r="E10" i="36"/>
  <c r="K16" i="36" l="1"/>
  <c r="E21" i="36"/>
  <c r="H21" i="36"/>
  <c r="H16" i="36"/>
  <c r="E16" i="36"/>
  <c r="F24" i="36"/>
  <c r="F25" i="36" s="1"/>
  <c r="I24" i="36"/>
  <c r="I25" i="36" s="1"/>
  <c r="J24" i="36"/>
  <c r="J25" i="36" s="1"/>
  <c r="K24" i="36"/>
  <c r="K25" i="36" s="1"/>
  <c r="G24" i="36"/>
  <c r="G25" i="36" s="1"/>
  <c r="H24" i="36"/>
  <c r="H25" i="36" s="1"/>
  <c r="C22" i="74" l="1"/>
  <c r="D29" i="93" l="1"/>
  <c r="C29" i="93"/>
  <c r="E35" i="72" l="1"/>
  <c r="E34" i="72"/>
  <c r="E32" i="72"/>
  <c r="E30" i="72"/>
  <c r="E26" i="72"/>
  <c r="E22" i="72"/>
  <c r="E23" i="72"/>
  <c r="E21" i="72"/>
  <c r="E12" i="72"/>
  <c r="E13" i="72"/>
  <c r="E10" i="72"/>
  <c r="E11" i="72"/>
  <c r="E9" i="72"/>
  <c r="G14" i="94" l="1"/>
  <c r="F14" i="94"/>
  <c r="G8" i="94"/>
  <c r="F8" i="94"/>
  <c r="G37" i="93"/>
  <c r="F37" i="93"/>
  <c r="G13" i="93"/>
  <c r="F13" i="93"/>
  <c r="C13" i="93"/>
  <c r="D13" i="93"/>
  <c r="G6" i="93"/>
  <c r="F6" i="93"/>
  <c r="F68" i="92"/>
  <c r="F47" i="92"/>
  <c r="G41" i="92"/>
  <c r="F41" i="92"/>
  <c r="F7" i="92"/>
  <c r="G7" i="92"/>
  <c r="C38" i="94" l="1"/>
  <c r="Q33" i="37" l="1"/>
  <c r="I33" i="37"/>
  <c r="Q32" i="37"/>
  <c r="I32" i="37"/>
  <c r="Q31" i="37"/>
  <c r="I31" i="37"/>
  <c r="I30" i="37"/>
  <c r="Q29" i="37"/>
  <c r="I29" i="37"/>
  <c r="Q28" i="37"/>
  <c r="I28" i="37"/>
  <c r="Q27" i="37"/>
  <c r="I27" i="37"/>
  <c r="I26" i="37"/>
  <c r="Q25" i="37"/>
  <c r="I25" i="37"/>
  <c r="Q24" i="37"/>
  <c r="I24" i="37"/>
  <c r="Q23" i="37"/>
  <c r="I23" i="37"/>
  <c r="I22" i="37"/>
  <c r="Q21" i="37"/>
  <c r="I21" i="37"/>
  <c r="Q20" i="37"/>
  <c r="I20" i="37"/>
  <c r="Q19" i="37"/>
  <c r="I19" i="37"/>
  <c r="I18" i="37"/>
  <c r="Q17" i="37"/>
  <c r="I17" i="37"/>
  <c r="Q16" i="37"/>
  <c r="I16" i="37"/>
  <c r="Q15" i="37"/>
  <c r="I15" i="37"/>
  <c r="I14" i="37"/>
  <c r="Q13" i="37"/>
  <c r="I13" i="37"/>
  <c r="Q12" i="37"/>
  <c r="I12" i="37"/>
  <c r="Q11" i="37"/>
  <c r="I11" i="37"/>
  <c r="I10" i="37"/>
  <c r="K34" i="37"/>
  <c r="G9" i="37"/>
  <c r="F9" i="37"/>
  <c r="C9" i="37"/>
  <c r="G8" i="37"/>
  <c r="F8" i="37"/>
  <c r="C8" i="37"/>
  <c r="O34" i="37"/>
  <c r="N34" i="37"/>
  <c r="M34" i="37"/>
  <c r="J34" i="37"/>
  <c r="G7" i="37"/>
  <c r="F7" i="37"/>
  <c r="C7" i="37"/>
  <c r="P34" i="37"/>
  <c r="L34" i="37"/>
  <c r="E34" i="37"/>
  <c r="C13" i="79" s="1"/>
  <c r="D34" i="37"/>
  <c r="B2" i="37"/>
  <c r="B1" i="37"/>
  <c r="C26" i="79"/>
  <c r="C22" i="79"/>
  <c r="Q26" i="37" l="1"/>
  <c r="Q14" i="37"/>
  <c r="I9" i="37"/>
  <c r="Q18" i="37"/>
  <c r="G6" i="37"/>
  <c r="G34" i="37" s="1"/>
  <c r="C11" i="79" s="1"/>
  <c r="I7" i="37"/>
  <c r="F6" i="37"/>
  <c r="F34" i="37" s="1"/>
  <c r="Q8" i="37"/>
  <c r="I8" i="37"/>
  <c r="Q22" i="37"/>
  <c r="Q30" i="37"/>
  <c r="Q10" i="37"/>
  <c r="C6" i="37"/>
  <c r="C34" i="37" s="1"/>
  <c r="Q9" i="37"/>
  <c r="Q7" i="37"/>
  <c r="Q6" i="37" l="1"/>
  <c r="Q34" i="37" s="1"/>
  <c r="I6" i="37"/>
  <c r="I34" i="37"/>
  <c r="C12" i="79" s="1"/>
  <c r="C14" i="79" s="1"/>
  <c r="C10" i="79"/>
  <c r="C6" i="107"/>
  <c r="B2" i="107"/>
  <c r="B1" i="107"/>
  <c r="H8" i="74" l="1"/>
  <c r="D38" i="94" l="1"/>
  <c r="B2" i="106" l="1"/>
  <c r="B1" i="106"/>
  <c r="B1" i="105"/>
  <c r="B2" i="105"/>
  <c r="E12" i="106" l="1"/>
  <c r="D12" i="106"/>
  <c r="C12" i="106"/>
  <c r="B12" i="106"/>
  <c r="E11" i="106"/>
  <c r="D11" i="106"/>
  <c r="C11" i="106"/>
  <c r="B11" i="106"/>
  <c r="E10" i="106"/>
  <c r="D10" i="106"/>
  <c r="C10" i="106"/>
  <c r="B10" i="106"/>
  <c r="F9" i="106"/>
  <c r="E9" i="106"/>
  <c r="D9" i="106"/>
  <c r="C9" i="106"/>
  <c r="B9" i="106"/>
  <c r="B11" i="105"/>
  <c r="F10" i="106" l="1"/>
  <c r="F12" i="106"/>
  <c r="F11" i="106"/>
  <c r="C22" i="95" l="1"/>
  <c r="H21" i="95"/>
  <c r="B1" i="94" l="1"/>
  <c r="B1" i="93"/>
  <c r="B1" i="92"/>
  <c r="B1" i="104" l="1"/>
  <c r="B1" i="103"/>
  <c r="B1" i="102"/>
  <c r="B1" i="101"/>
  <c r="B1" i="100"/>
  <c r="B1" i="99"/>
  <c r="B1" i="98"/>
  <c r="B1" i="97"/>
  <c r="B1" i="96"/>
  <c r="B1" i="95"/>
  <c r="C10" i="99" l="1"/>
  <c r="C18" i="99" s="1"/>
  <c r="C7" i="98"/>
  <c r="D7" i="98"/>
  <c r="C10" i="98"/>
  <c r="D10" i="98"/>
  <c r="D15" i="98"/>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C34" i="97"/>
  <c r="D34" i="97"/>
  <c r="E34" i="97"/>
  <c r="F34" i="97"/>
  <c r="G34" i="97"/>
  <c r="H7" i="96"/>
  <c r="H8" i="96"/>
  <c r="H9" i="96"/>
  <c r="H10" i="96"/>
  <c r="H11" i="96"/>
  <c r="H12" i="96"/>
  <c r="H13" i="96"/>
  <c r="H14" i="96"/>
  <c r="H15" i="96"/>
  <c r="H16" i="96"/>
  <c r="H17" i="96"/>
  <c r="H18" i="96"/>
  <c r="H19" i="96"/>
  <c r="H20" i="96"/>
  <c r="C21" i="96"/>
  <c r="D21" i="96"/>
  <c r="E21" i="96"/>
  <c r="F21" i="96"/>
  <c r="G21" i="96"/>
  <c r="H22" i="96"/>
  <c r="H23" i="96"/>
  <c r="H8" i="95"/>
  <c r="H9" i="95"/>
  <c r="H10" i="95"/>
  <c r="H11" i="95"/>
  <c r="H12" i="95"/>
  <c r="H13" i="95"/>
  <c r="H14" i="95"/>
  <c r="H15" i="95"/>
  <c r="H16" i="95"/>
  <c r="H17" i="95"/>
  <c r="H18" i="95"/>
  <c r="H19" i="95"/>
  <c r="H20" i="95"/>
  <c r="D22" i="95"/>
  <c r="E22" i="95"/>
  <c r="F22" i="95"/>
  <c r="G22" i="95"/>
  <c r="H34" i="97" l="1"/>
  <c r="H22" i="95"/>
  <c r="C15" i="98"/>
  <c r="H21" i="96"/>
  <c r="C62" i="69"/>
  <c r="C58" i="69"/>
  <c r="C67" i="69" s="1"/>
  <c r="C46" i="69"/>
  <c r="C40" i="69"/>
  <c r="C29" i="69"/>
  <c r="C26" i="69"/>
  <c r="C23" i="69"/>
  <c r="C18" i="69"/>
  <c r="C14" i="69"/>
  <c r="C6" i="69"/>
  <c r="D8" i="72"/>
  <c r="E8" i="72"/>
  <c r="D16" i="72"/>
  <c r="E16" i="72"/>
  <c r="D20" i="72"/>
  <c r="E20" i="72"/>
  <c r="D25" i="72"/>
  <c r="E25" i="72"/>
  <c r="D28" i="72"/>
  <c r="E28" i="72"/>
  <c r="D31" i="72"/>
  <c r="E31" i="72"/>
  <c r="C31" i="72"/>
  <c r="C28" i="72"/>
  <c r="C25" i="72"/>
  <c r="C20" i="72"/>
  <c r="C16" i="72"/>
  <c r="C8" i="72"/>
  <c r="C35" i="69" l="1"/>
  <c r="C52" i="69"/>
  <c r="C68" i="69" s="1"/>
  <c r="C37" i="72"/>
  <c r="E37" i="72"/>
  <c r="D37" i="72"/>
  <c r="H43" i="94"/>
  <c r="E43" i="94"/>
  <c r="H42" i="94"/>
  <c r="E42" i="94"/>
  <c r="H41" i="94"/>
  <c r="E41" i="94"/>
  <c r="H40" i="94"/>
  <c r="E40" i="94"/>
  <c r="H39" i="94"/>
  <c r="E39" i="94"/>
  <c r="E38" i="94"/>
  <c r="H37" i="94"/>
  <c r="E37" i="94"/>
  <c r="H36" i="94"/>
  <c r="E36" i="94"/>
  <c r="H35" i="94"/>
  <c r="E35" i="94"/>
  <c r="H34" i="94"/>
  <c r="E34" i="94"/>
  <c r="H33" i="94"/>
  <c r="E33" i="94"/>
  <c r="H32" i="94"/>
  <c r="E32" i="94"/>
  <c r="H31" i="94"/>
  <c r="E31" i="94"/>
  <c r="H30" i="94"/>
  <c r="D30" i="94"/>
  <c r="C30" i="94"/>
  <c r="H29" i="94"/>
  <c r="E29" i="94"/>
  <c r="H28" i="94"/>
  <c r="E28" i="94"/>
  <c r="H27" i="94"/>
  <c r="E27" i="94"/>
  <c r="H26" i="94"/>
  <c r="E26" i="94"/>
  <c r="H25" i="94"/>
  <c r="E25" i="94"/>
  <c r="H24" i="94"/>
  <c r="E24" i="94"/>
  <c r="H23" i="94"/>
  <c r="E23" i="94"/>
  <c r="H22" i="94"/>
  <c r="E22" i="94"/>
  <c r="H21" i="94"/>
  <c r="E21" i="94"/>
  <c r="H20" i="94"/>
  <c r="E20" i="94"/>
  <c r="H19" i="94"/>
  <c r="E19" i="94"/>
  <c r="H18" i="94"/>
  <c r="E18" i="94"/>
  <c r="H17" i="94"/>
  <c r="D17" i="94"/>
  <c r="D14" i="94" s="1"/>
  <c r="C17" i="94"/>
  <c r="C14" i="94" s="1"/>
  <c r="H16" i="94"/>
  <c r="E16" i="94"/>
  <c r="H15" i="94"/>
  <c r="E15" i="94"/>
  <c r="H13" i="94"/>
  <c r="E13" i="94"/>
  <c r="H12" i="94"/>
  <c r="E12" i="94"/>
  <c r="H10" i="94"/>
  <c r="E10" i="94"/>
  <c r="H9" i="94"/>
  <c r="E9" i="94"/>
  <c r="D8" i="94"/>
  <c r="C8" i="94"/>
  <c r="H7" i="94"/>
  <c r="E7" i="94"/>
  <c r="H6" i="94"/>
  <c r="E6" i="94"/>
  <c r="H44" i="93"/>
  <c r="E44" i="93"/>
  <c r="H42" i="93"/>
  <c r="E42" i="93"/>
  <c r="H41" i="93"/>
  <c r="E41" i="93"/>
  <c r="H40" i="93"/>
  <c r="E40" i="93"/>
  <c r="H39" i="93"/>
  <c r="E39" i="93"/>
  <c r="H38" i="93"/>
  <c r="E38" i="93"/>
  <c r="H37" i="93"/>
  <c r="D37" i="93"/>
  <c r="C37" i="93"/>
  <c r="H36" i="93"/>
  <c r="E36" i="93"/>
  <c r="H35" i="93"/>
  <c r="E35" i="93"/>
  <c r="G34" i="93"/>
  <c r="F34" i="93"/>
  <c r="D34" i="93"/>
  <c r="C34" i="93"/>
  <c r="H33" i="93"/>
  <c r="E33" i="93"/>
  <c r="H32" i="93"/>
  <c r="E32" i="93"/>
  <c r="H31" i="93"/>
  <c r="E31" i="93"/>
  <c r="H30" i="93"/>
  <c r="E30" i="93"/>
  <c r="H29" i="93"/>
  <c r="E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H13" i="93"/>
  <c r="E13" i="93"/>
  <c r="H12" i="93"/>
  <c r="E12" i="93"/>
  <c r="H11" i="93"/>
  <c r="E11" i="93"/>
  <c r="H10" i="93"/>
  <c r="E10" i="93"/>
  <c r="H9" i="93"/>
  <c r="E9" i="93"/>
  <c r="H8" i="93"/>
  <c r="E8" i="93"/>
  <c r="H7" i="93"/>
  <c r="E7" i="93"/>
  <c r="D6" i="93"/>
  <c r="C6" i="93"/>
  <c r="G68" i="92"/>
  <c r="H67" i="92"/>
  <c r="E67" i="92"/>
  <c r="H66" i="92"/>
  <c r="E66" i="92"/>
  <c r="H65" i="92"/>
  <c r="E65" i="92"/>
  <c r="H64" i="92"/>
  <c r="E64" i="92"/>
  <c r="H63" i="92"/>
  <c r="D63" i="92"/>
  <c r="E63" i="92"/>
  <c r="H62" i="92"/>
  <c r="E62" i="92"/>
  <c r="H61" i="92"/>
  <c r="E61" i="92"/>
  <c r="H60" i="92"/>
  <c r="E60" i="92"/>
  <c r="H59" i="92"/>
  <c r="D59" i="92"/>
  <c r="H58" i="92"/>
  <c r="E58" i="92"/>
  <c r="H57" i="92"/>
  <c r="E57" i="92"/>
  <c r="H56" i="92"/>
  <c r="E56" i="92"/>
  <c r="H55" i="92"/>
  <c r="E55" i="92"/>
  <c r="H52" i="92"/>
  <c r="E52" i="92"/>
  <c r="H51" i="92"/>
  <c r="E51" i="92"/>
  <c r="H50" i="92"/>
  <c r="E50" i="92"/>
  <c r="H49" i="92"/>
  <c r="E49" i="92"/>
  <c r="H48" i="92"/>
  <c r="E48" i="92"/>
  <c r="G47" i="92"/>
  <c r="D47" i="92"/>
  <c r="C47" i="92"/>
  <c r="H46" i="92"/>
  <c r="E46" i="92"/>
  <c r="H45" i="92"/>
  <c r="E45" i="92"/>
  <c r="H44" i="92"/>
  <c r="E44" i="92"/>
  <c r="H43" i="92"/>
  <c r="E43" i="92"/>
  <c r="H42" i="92"/>
  <c r="E42" i="92"/>
  <c r="H41" i="92"/>
  <c r="D41" i="92"/>
  <c r="C41" i="92"/>
  <c r="H40" i="92"/>
  <c r="E40" i="92"/>
  <c r="H39" i="92"/>
  <c r="E39" i="92"/>
  <c r="H38" i="92"/>
  <c r="E38" i="92"/>
  <c r="H35" i="92"/>
  <c r="E35" i="92"/>
  <c r="H34" i="92"/>
  <c r="E34" i="92"/>
  <c r="H33" i="92"/>
  <c r="E33" i="92"/>
  <c r="H32" i="92"/>
  <c r="E32" i="92"/>
  <c r="H31" i="92"/>
  <c r="E31" i="92"/>
  <c r="G30" i="92"/>
  <c r="F30" i="92"/>
  <c r="H30" i="92" s="1"/>
  <c r="D30" i="92"/>
  <c r="C30" i="92"/>
  <c r="H29" i="92"/>
  <c r="E29" i="92"/>
  <c r="H28" i="92"/>
  <c r="E28" i="92"/>
  <c r="G27" i="92"/>
  <c r="F27" i="92"/>
  <c r="H27" i="92" s="1"/>
  <c r="D27" i="92"/>
  <c r="C27" i="92"/>
  <c r="E27" i="92" s="1"/>
  <c r="H26" i="92"/>
  <c r="E26" i="92"/>
  <c r="H25" i="92"/>
  <c r="E25" i="92"/>
  <c r="G24" i="92"/>
  <c r="F24" i="92"/>
  <c r="D24" i="92"/>
  <c r="C24" i="92"/>
  <c r="E24" i="92" s="1"/>
  <c r="H23" i="92"/>
  <c r="E23" i="92"/>
  <c r="H22" i="92"/>
  <c r="E22" i="92"/>
  <c r="H21" i="92"/>
  <c r="E21" i="92"/>
  <c r="H20" i="92"/>
  <c r="E20" i="92"/>
  <c r="G19" i="92"/>
  <c r="F19" i="92"/>
  <c r="H19" i="92" s="1"/>
  <c r="D19" i="92"/>
  <c r="C19" i="92"/>
  <c r="H18" i="92"/>
  <c r="E18" i="92"/>
  <c r="H17" i="92"/>
  <c r="E17" i="92"/>
  <c r="H16" i="92"/>
  <c r="E16" i="92"/>
  <c r="G15" i="92"/>
  <c r="F15" i="92"/>
  <c r="H15" i="92" s="1"/>
  <c r="D15" i="92"/>
  <c r="C15" i="92"/>
  <c r="E15" i="92" s="1"/>
  <c r="H14" i="92"/>
  <c r="E14" i="92"/>
  <c r="H13" i="92"/>
  <c r="E13" i="92"/>
  <c r="H12" i="92"/>
  <c r="E12" i="92"/>
  <c r="H11" i="92"/>
  <c r="E11" i="92"/>
  <c r="H10" i="92"/>
  <c r="E10" i="92"/>
  <c r="H9" i="92"/>
  <c r="E9" i="92"/>
  <c r="H8" i="92"/>
  <c r="E8" i="92"/>
  <c r="H7" i="92"/>
  <c r="D7" i="92"/>
  <c r="C7" i="92"/>
  <c r="H34" i="93" l="1"/>
  <c r="D53" i="92"/>
  <c r="E47" i="92"/>
  <c r="E37" i="93"/>
  <c r="C43" i="93"/>
  <c r="G36" i="92"/>
  <c r="E41" i="92"/>
  <c r="E19" i="92"/>
  <c r="C68" i="92"/>
  <c r="E6" i="93"/>
  <c r="D68" i="92"/>
  <c r="F36" i="92"/>
  <c r="E59" i="92"/>
  <c r="C36" i="92"/>
  <c r="G53" i="92"/>
  <c r="G69" i="92" s="1"/>
  <c r="E34" i="93"/>
  <c r="D36" i="92"/>
  <c r="E30" i="92"/>
  <c r="H47" i="92"/>
  <c r="H8" i="94"/>
  <c r="E8" i="94"/>
  <c r="E14" i="94"/>
  <c r="H38" i="94"/>
  <c r="E30" i="94"/>
  <c r="E11" i="94"/>
  <c r="E17" i="94"/>
  <c r="H11" i="94"/>
  <c r="H14" i="94"/>
  <c r="H6" i="93"/>
  <c r="D43" i="93"/>
  <c r="C53" i="92"/>
  <c r="H68" i="92"/>
  <c r="F53" i="92"/>
  <c r="F69" i="92" s="1"/>
  <c r="E7" i="92"/>
  <c r="H24" i="92"/>
  <c r="H36" i="92" l="1"/>
  <c r="D69" i="92"/>
  <c r="H69" i="92"/>
  <c r="H43" i="93"/>
  <c r="H53" i="92"/>
  <c r="E36" i="92"/>
  <c r="H45" i="93"/>
  <c r="E68" i="92"/>
  <c r="E45" i="93"/>
  <c r="E43" i="93"/>
  <c r="C69" i="92"/>
  <c r="E69" i="92" s="1"/>
  <c r="C6" i="79" s="1"/>
  <c r="C8" i="79" s="1"/>
  <c r="C32" i="79" s="1"/>
  <c r="E53" i="92"/>
  <c r="C34" i="79" l="1"/>
  <c r="B19" i="105"/>
  <c r="B1" i="80"/>
  <c r="G33" i="80"/>
  <c r="G24" i="80"/>
  <c r="F24" i="80"/>
  <c r="E24" i="80"/>
  <c r="D24" i="80"/>
  <c r="C24" i="80"/>
  <c r="G18" i="80"/>
  <c r="F18" i="80"/>
  <c r="E18" i="80"/>
  <c r="D18" i="80"/>
  <c r="C18" i="80"/>
  <c r="G14" i="80"/>
  <c r="F14" i="80"/>
  <c r="E14" i="80"/>
  <c r="D14" i="80"/>
  <c r="C14" i="80"/>
  <c r="G11" i="80"/>
  <c r="F11" i="80"/>
  <c r="E11" i="80"/>
  <c r="D11" i="80"/>
  <c r="C11" i="80"/>
  <c r="G8" i="80"/>
  <c r="F8" i="80"/>
  <c r="E8" i="80"/>
  <c r="D8" i="80"/>
  <c r="C8" i="80"/>
  <c r="G37" i="80" l="1"/>
  <c r="G21" i="80"/>
  <c r="G6" i="71"/>
  <c r="G13" i="71" s="1"/>
  <c r="F6" i="71"/>
  <c r="F13" i="71" s="1"/>
  <c r="E6" i="71"/>
  <c r="E13" i="71" s="1"/>
  <c r="D6" i="71"/>
  <c r="D13" i="71" s="1"/>
  <c r="C6" i="71"/>
  <c r="C13" i="71" s="1"/>
  <c r="B18" i="105" s="1"/>
  <c r="G39" i="80" l="1"/>
  <c r="B1" i="79"/>
  <c r="B1" i="36"/>
  <c r="B1" i="74"/>
  <c r="B1" i="64"/>
  <c r="B1" i="35"/>
  <c r="B1" i="69"/>
  <c r="B1" i="77"/>
  <c r="B1" i="28"/>
  <c r="B1" i="73"/>
  <c r="B1" i="72"/>
  <c r="B1" i="52"/>
  <c r="B1" i="71"/>
  <c r="B1" i="6"/>
  <c r="C21" i="77" l="1"/>
  <c r="D16" i="77"/>
  <c r="D17" i="77"/>
  <c r="D15" i="77"/>
  <c r="D12" i="77"/>
  <c r="D13" i="77"/>
  <c r="D11" i="77"/>
  <c r="D8" i="77"/>
  <c r="D9" i="77"/>
  <c r="D7" i="77"/>
  <c r="C20" i="77"/>
  <c r="C19" i="77"/>
  <c r="D21" i="77" l="1"/>
  <c r="D19" i="77"/>
  <c r="D20" i="77"/>
  <c r="H14" i="74" l="1"/>
  <c r="C5" i="73" l="1"/>
  <c r="D22" i="35" l="1"/>
  <c r="E22" i="35"/>
  <c r="F22" i="35"/>
  <c r="G22" i="35"/>
  <c r="H22" i="35"/>
  <c r="I22" i="35"/>
  <c r="J22" i="35"/>
  <c r="K22" i="35"/>
  <c r="L22" i="35"/>
  <c r="M22" i="35"/>
  <c r="N22" i="35"/>
  <c r="O22" i="35"/>
  <c r="P22" i="35"/>
  <c r="Q22" i="35"/>
  <c r="R22" i="35"/>
  <c r="C22" i="35"/>
  <c r="G22" i="74" l="1"/>
  <c r="F22" i="74"/>
  <c r="V7" i="64" l="1"/>
  <c r="H13" i="74"/>
  <c r="H15" i="74"/>
  <c r="H16" i="74"/>
  <c r="H17" i="74"/>
  <c r="H21" i="74"/>
  <c r="T21" i="64" l="1"/>
  <c r="U21" i="64"/>
  <c r="V9" i="64"/>
  <c r="D22" i="74" l="1"/>
  <c r="E22" i="74"/>
  <c r="H22" i="74" s="1"/>
  <c r="C8" i="73" l="1"/>
  <c r="C13" i="73" s="1"/>
  <c r="C44" i="28"/>
  <c r="C32" i="28" l="1"/>
  <c r="C31" i="28" s="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48" i="28" l="1"/>
  <c r="C53" i="28" s="1"/>
  <c r="B10" i="105" s="1"/>
  <c r="C36" i="28"/>
  <c r="C42" i="28" s="1"/>
  <c r="B9" i="105" s="1"/>
  <c r="C12" i="28"/>
  <c r="C6" i="28" l="1"/>
  <c r="C29" i="28" s="1"/>
  <c r="B8" i="105" s="1"/>
  <c r="B7" i="105" s="1"/>
  <c r="B16" i="105" l="1"/>
  <c r="B14" i="105" s="1"/>
  <c r="B6" i="105"/>
  <c r="B2" i="93"/>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B21" i="105" l="1"/>
  <c r="B22" i="105"/>
  <c r="B23" i="105"/>
  <c r="C5" i="71"/>
  <c r="E5" i="71"/>
  <c r="F5" i="71"/>
  <c r="D5" i="7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48" authorId="0" shapeId="0" xr:uid="{00000000-0006-0000-0D00-000001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მათ შორის არამატერიალური აქტივებიდან წარმოშობილი გადავადებული საგადასახადო ვალდებულება 4 824 963</t>
        </r>
      </text>
    </comment>
    <comment ref="C49" authorId="0" shapeId="0" xr:uid="{00000000-0006-0000-0D00-00000200000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მათ შორის მეორად საზედამხედ-ველო კაპიტალში ჩასართავი ინსტრუმენტები -131 407 539 ლარი და
პირველად დამატებით კაპიტალში ჩასართავი ინსტრუმენტი - 26 998 000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<sst xmlns="http://schemas.openxmlformats.org/spreadsheetml/2006/main" count="1654" uniqueCount="1041">
  <si>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</si>
  <si>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</si>
  <si>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</si>
  <si>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</si>
  <si>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</si>
  <si>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</si>
  <si>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</si>
  <si>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</si>
  <si>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</si>
  <si>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</si>
  <si>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</si>
  <si>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</si>
  <si>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</si>
  <si>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</si>
  <si>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</si>
  <si>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</si>
  <si>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</si>
  <si>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</si>
  <si>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</si>
  <si>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</si>
  <si>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</si>
  <si>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</si>
  <si>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</si>
  <si>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</si>
  <si>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</si>
  <si>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</si>
  <si>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</si>
  <si>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</si>
  <si>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</si>
  <si>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</si>
  <si>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</si>
  <si>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</si>
  <si>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</si>
  <si>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</si>
  <si>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</si>
  <si>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</si>
  <si>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</si>
  <si>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</si>
  <si>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</si>
  <si>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</si>
  <si>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</si>
  <si>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</si>
  <si>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</si>
  <si>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</si>
  <si>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</si>
  <si>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</si>
  <si>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</si>
  <si>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</si>
  <si>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</si>
  <si>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</si>
  <si>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</si>
  <si>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</si>
  <si>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</si>
  <si>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</si>
  <si>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</si>
  <si>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</si>
  <si>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</si>
  <si>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</si>
  <si>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</si>
  <si>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</si>
  <si>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</si>
  <si>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</si>
  <si>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</si>
  <si>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</si>
  <si>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</si>
  <si>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</si>
  <si>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</si>
  <si>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</si>
  <si>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</si>
  <si>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</si>
  <si>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</si>
  <si>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</si>
  <si>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</si>
  <si>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</si>
  <si>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</si>
  <si>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</si>
  <si>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</si>
  <si>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</si>
  <si>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</si>
  <si>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</si>
  <si>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</si>
  <si>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</si>
  <si>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</si>
  <si>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</si>
  <si>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</si>
  <si>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</si>
  <si>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</si>
  <si>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</si>
  <si>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</si>
  <si>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</si>
  <si>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</si>
  <si>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</si>
  <si>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</si>
  <si>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</si>
  <si>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</si>
  <si>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</si>
  <si>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</si>
  <si>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</si>
  <si>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</si>
  <si>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</si>
  <si>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</si>
  <si>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</si>
  <si>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</si>
  <si>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</si>
  <si>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</si>
  <si>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</si>
  <si>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</si>
  <si>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</si>
  <si>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</si>
  <si>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</si>
  <si>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</si>
  <si>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</si>
  <si>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</si>
  <si>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</si>
  <si>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</si>
  <si>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</si>
  <si>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</si>
  <si>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</si>
  <si>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</si>
  <si>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</si>
  <si>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</si>
  <si>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</si>
  <si>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</si>
  <si>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</si>
  <si>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</si>
  <si>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</si>
  <si>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</si>
  <si>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</si>
  <si>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</si>
  <si>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</si>
  <si>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</si>
  <si>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</si>
  <si>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</si>
  <si>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</si>
  <si>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</si>
  <si>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</si>
  <si>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</si>
  <si>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</si>
  <si>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</si>
  <si>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</si>
  <si>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</si>
  <si>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</si>
  <si>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</si>
  <si>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</si>
  <si>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</si>
  <si>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</si>
  <si>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</si>
  <si>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</si>
  <si>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</si>
  <si>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</si>
  <si>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</si>
  <si>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</si>
  <si>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</si>
  <si>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</si>
  <si>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</si>
  <si>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</si>
  <si>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</si>
  <si>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</si>
  <si>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</si>
  <si>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</si>
  <si>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</si>
  <si>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</si>
  <si>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</si>
  <si>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</si>
  <si>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</si>
  <si>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</si>
  <si>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</si>
  <si>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</si>
  <si>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</si>
  <si>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</si>
  <si>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</si>
  <si>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</si>
  <si>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</si>
  <si>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</si>
  <si>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</si>
  <si>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</si>
  <si>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</si>
  <si>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</si>
  <si>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</si>
  <si>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</si>
  <si>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</si>
  <si>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</si>
  <si>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</si>
  <si>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</si>
  <si>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</si>
  <si>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</si>
  <si>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</si>
  <si>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</si>
  <si>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</si>
  <si>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</si>
  <si>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</si>
  <si>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</si>
  <si>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</si>
  <si>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</si>
  <si>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</si>
  <si>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</si>
  <si>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</si>
  <si>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</si>
  <si>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</si>
  <si>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</si>
  <si>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</si>
  <si>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</si>
  <si>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</si>
  <si>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</si>
  <si>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</si>
  <si>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</si>
  <si>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</si>
  <si>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</si>
  <si>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</si>
  <si>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</si>
  <si>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</si>
  <si>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</si>
  <si>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</si>
  <si>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</si>
  <si>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</si>
  <si>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</si>
  <si>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</si>
  <si>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</si>
  <si>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</si>
  <si>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</si>
  <si>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</si>
  <si>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</si>
  <si>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</si>
  <si>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</si>
  <si>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</si>
  <si>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</si>
  <si>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</si>
  <si>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</si>
  <si>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</si>
  <si>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</si>
  <si>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</si>
  <si>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</si>
  <si>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</si>
  <si>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</si>
  <si>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</si>
  <si>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</si>
  <si>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</si>
  <si>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</si>
  <si>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</si>
  <si>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</si>
  <si>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</si>
  <si>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</si>
  <si>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</si>
  <si>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</si>
  <si>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</si>
  <si>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</si>
  <si>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</si>
  <si>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</si>
  <si>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</si>
  <si>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</si>
  <si>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</si>
  <si>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</si>
  <si>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</si>
  <si>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</si>
  <si>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</si>
  <si>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</si>
  <si>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</si>
  <si>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</si>
  <si>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</si>
  <si>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</si>
  <si>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</si>
  <si>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</si>
  <si>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</si>
  <si>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</si>
  <si>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</si>
  <si>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</si>
  <si>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</si>
  <si>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</si>
  <si>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</si>
  <si>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</si>
  <si>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</si>
  <si>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</si>
  <si>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</si>
  <si>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</si>
  <si>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</si>
  <si>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</si>
  <si>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</si>
  <si>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</si>
  <si>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</si>
  <si>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</si>
  <si>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</si>
  <si>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</si>
  <si>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</si>
  <si>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</si>
  <si>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</si>
  <si>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</si>
  <si>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</si>
  <si>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</si>
  <si>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</si>
  <si>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</si>
  <si>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</si>
  <si>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</si>
  <si>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</si>
  <si>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</si>
  <si>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</si>
  <si>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</si>
  <si>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</si>
  <si>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</si>
  <si>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</si>
  <si>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</si>
  <si>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</si>
  <si>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</si>
  <si>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</si>
  <si>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</si>
  <si>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</si>
  <si>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</si>
  <si>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</si>
  <si>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</si>
  <si>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</si>
  <si>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</si>
  <si>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</si>
  <si>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</si>
  <si>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</si>
  <si>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</si>
  <si>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</si>
  <si>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</si>
  <si>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</si>
  <si>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</si>
  <si>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</si>
  <si>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</si>
  <si>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</si>
  <si>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</si>
  <si>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</si>
  <si>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</si>
  <si>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</si>
  <si>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</si>
  <si>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</si>
  <si>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</si>
  <si>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</si>
  <si>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</si>
  <si>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</si>
  <si>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</si>
  <si>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</si>
  <si>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</si>
  <si>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</si>
  <si>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</si>
  <si>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</si>
  <si>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</si>
  <si>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</si>
  <si>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</si>
  <si>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</si>
  <si>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</si>
  <si>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</si>
  <si>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</si>
  <si>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</si>
  <si>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</si>
  <si>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</si>
  <si>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</si>
  <si>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</si>
  <si>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</si>
  <si>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</si>
  <si>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</si>
  <si>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</si>
  <si>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</si>
  <si>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</si>
  <si>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</si>
  <si>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</si>
  <si>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</si>
  <si>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</si>
  <si>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</si>
  <si>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</si>
  <si>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</si>
  <si>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</si>
  <si>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</si>
  <si>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</si>
  <si>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</si>
  <si>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</si>
  <si>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</si>
  <si>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</si>
  <si>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</si>
  <si>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</si>
  <si>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</si>
  <si>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</si>
  <si>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</si>
  <si>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</si>
  <si>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</si>
  <si>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</si>
  <si>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</si>
  <si>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</si>
  <si>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</si>
  <si>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</si>
  <si>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</si>
  <si>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</si>
  <si>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</si>
  <si>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</si>
  <si>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</si>
  <si>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</si>
  <si>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</si>
  <si>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</si>
  <si>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</si>
  <si>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</si>
  <si>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</si>
  <si>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</si>
  <si>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</si>
  <si>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</si>
  <si>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</si>
  <si>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</si>
  <si>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</si>
  <si>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</si>
  <si>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</si>
  <si>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</si>
  <si>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</si>
  <si>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</si>
  <si>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</si>
  <si>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</si>
  <si>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</si>
  <si>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</si>
  <si>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</si>
  <si>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</si>
  <si>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</si>
  <si>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</si>
  <si>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</si>
  <si>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</si>
  <si>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</si>
  <si>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</si>
  <si>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</si>
  <si>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</si>
  <si>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</si>
  <si>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</si>
  <si>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</si>
  <si>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</si>
  <si>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</si>
  <si>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</si>
  <si>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</si>
  <si>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</si>
  <si>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</si>
  <si>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</si>
  <si>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</si>
  <si>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</si>
  <si>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</si>
  <si>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</si>
  <si>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</si>
  <si>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</si>
  <si>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</si>
  <si>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</si>
  <si>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</si>
  <si>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</si>
  <si>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</si>
  <si>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</si>
  <si>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</si>
  <si>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</si>
  <si>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</si>
  <si>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</si>
  <si>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</si>
  <si>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</si>
  <si>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</si>
  <si>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</si>
  <si>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</si>
  <si>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</si>
  <si>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</si>
  <si>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</si>
  <si>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</si>
  <si>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</si>
  <si>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</si>
  <si>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</si>
  <si>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</si>
  <si>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</si>
  <si>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</si>
  <si>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</si>
  <si>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</si>
  <si>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</si>
  <si>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</si>
  <si>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</si>
  <si>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</si>
  <si>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</si>
  <si>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</si>
  <si>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</si>
  <si>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</si>
  <si>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</si>
  <si>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</si>
  <si>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</si>
  <si>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</si>
  <si>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</si>
  <si>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</si>
  <si>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</si>
  <si>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</si>
  <si>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</si>
  <si>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</si>
  <si>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</si>
  <si>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</si>
  <si>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</si>
  <si>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</si>
  <si>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</si>
  <si>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</si>
  <si>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</si>
  <si>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</si>
  <si>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</si>
  <si>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</si>
  <si>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</si>
  <si>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</si>
  <si>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</si>
  <si>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</si>
  <si>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</si>
  <si>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</si>
  <si>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</si>
  <si>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</si>
  <si>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</si>
  <si>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</si>
  <si>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</si>
  <si>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</si>
  <si>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</si>
  <si>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</si>
  <si>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</si>
  <si>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</si>
  <si>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</si>
  <si>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</si>
  <si>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</si>
  <si>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</si>
  <si>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</si>
  <si>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</si>
  <si>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</si>
  <si>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</si>
  <si>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</si>
  <si>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</si>
  <si>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</si>
  <si>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</si>
  <si>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</si>
  <si>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</si>
  <si>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</si>
  <si>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</si>
  <si>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</si>
  <si>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</si>
  <si>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</si>
  <si>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</si>
  <si>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</si>
  <si>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</si>
  <si>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</si>
  <si>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</si>
  <si>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</si>
  <si>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</si>
  <si>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</si>
  <si>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</si>
  <si>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</si>
  <si>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</si>
  <si>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</si>
  <si>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</si>
  <si>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</si>
  <si>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</si>
  <si>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</si>
  <si>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</si>
  <si>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</si>
  <si>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</si>
  <si>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</si>
  <si>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</si>
  <si>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</si>
  <si>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</si>
  <si>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</si>
  <si>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</si>
  <si>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</si>
  <si>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</si>
  <si>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</si>
  <si>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</si>
  <si>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</si>
  <si>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</si>
  <si>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</si>
  <si>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</si>
  <si>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</si>
  <si>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</si>
  <si>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</si>
  <si>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</si>
  <si>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</si>
  <si>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</si>
  <si>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</si>
  <si>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</si>
  <si>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</si>
  <si>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</si>
  <si>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</si>
  <si>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</si>
  <si>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</si>
  <si>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</si>
  <si>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</si>
  <si>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</si>
  <si>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</si>
  <si>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</si>
  <si>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</si>
  <si>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</si>
  <si>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</si>
  <si>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</si>
  <si>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</si>
  <si>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</si>
  <si>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</si>
  <si>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</si>
  <si>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</si>
  <si>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</si>
  <si>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</si>
  <si>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</si>
  <si>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</si>
  <si>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</si>
  <si>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</si>
  <si>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</si>
  <si>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</si>
  <si>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</si>
  <si>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</si>
  <si>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</si>
  <si>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</si>
  <si>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</si>
  <si>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</si>
  <si>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</si>
  <si>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</si>
  <si>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</si>
  <si>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</si>
  <si>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</si>
  <si>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</si>
  <si>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</si>
  <si>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</si>
  <si>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</si>
  <si>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</si>
  <si>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</si>
  <si>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</si>
  <si>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</si>
  <si>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</si>
  <si>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</si>
  <si>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</si>
  <si>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</si>
  <si>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</si>
  <si>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</si>
  <si>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</si>
  <si>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</si>
  <si>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</si>
  <si>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</si>
  <si>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</si>
  <si>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</si>
  <si>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</si>
  <si>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</si>
  <si>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</si>
  <si>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</si>
  <si>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</si>
  <si>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</si>
  <si>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</si>
  <si>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</si>
  <si>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</si>
  <si>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</si>
  <si>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</si>
  <si>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</si>
  <si>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</si>
  <si>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</si>
  <si>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</si>
  <si>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</si>
  <si>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</si>
  <si>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</si>
  <si>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</si>
  <si>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</si>
  <si>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</si>
  <si>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</si>
  <si>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</si>
  <si>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</si>
  <si>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</si>
  <si>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</si>
  <si>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</si>
  <si>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</si>
  <si>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</si>
  <si>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</si>
  <si>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</si>
  <si>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</si>
  <si>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</si>
  <si>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</si>
  <si>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</si>
  <si>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</si>
  <si>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</si>
  <si>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</si>
  <si>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</si>
  <si>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</si>
  <si>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</si>
  <si>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</si>
  <si>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</si>
  <si>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</si>
  <si>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</si>
  <si>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</si>
  <si>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</si>
  <si>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</si>
  <si>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</si>
  <si>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</si>
  <si>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</si>
  <si>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</si>
  <si>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</si>
  <si>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</si>
  <si>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</si>
  <si>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</si>
  <si>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</si>
  <si>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</si>
  <si>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</si>
  <si>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</si>
  <si>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</si>
  <si>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</si>
  <si>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</si>
  <si>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</si>
  <si>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</si>
  <si>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</si>
  <si>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</si>
  <si>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</si>
  <si>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</si>
  <si>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</si>
  <si>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</si>
  <si>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</si>
  <si>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</si>
  <si>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</si>
  <si>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</si>
  <si>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</si>
  <si>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</si>
  <si>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</si>
  <si>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</si>
  <si>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</si>
  <si>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</si>
  <si>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</si>
  <si>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</si>
  <si>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</si>
  <si>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</si>
  <si>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</si>
  <si>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</si>
  <si>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</si>
  <si>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</si>
  <si>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</si>
  <si>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</si>
  <si>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</si>
  <si>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</si>
  <si>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</si>
  <si>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</si>
  <si>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</si>
  <si>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</si>
  <si>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</si>
  <si>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</si>
  <si>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</si>
  <si>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</si>
  <si>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</si>
  <si>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</si>
  <si>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</si>
  <si>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</si>
  <si>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</si>
  <si>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</si>
  <si>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</si>
  <si>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</si>
  <si>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</si>
  <si>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</si>
  <si>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</si>
  <si>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</si>
  <si>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</si>
  <si>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</si>
  <si>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</si>
  <si>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</si>
  <si>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</si>
  <si>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</si>
  <si>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</si>
  <si>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</si>
  <si>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</si>
  <si>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</si>
  <si>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</si>
  <si>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</si>
  <si>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</si>
  <si>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</si>
  <si>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</si>
  <si>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</si>
  <si>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</si>
  <si>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</si>
  <si>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</si>
  <si>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</si>
  <si>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</si>
  <si>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</si>
  <si>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</si>
  <si>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</si>
  <si>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</si>
  <si>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</si>
  <si>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</si>
  <si>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</si>
  <si>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</si>
  <si>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</si>
  <si>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</si>
  <si>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</si>
  <si>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</si>
  <si>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</si>
  <si>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</si>
  <si>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</si>
  <si>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</si>
  <si>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</si>
  <si>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</si>
  <si>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</si>
  <si>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</si>
  <si>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</si>
  <si>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</si>
  <si>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</si>
  <si>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</si>
  <si>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</si>
  <si>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</si>
  <si>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</si>
  <si>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</si>
  <si>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</si>
  <si>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</si>
  <si>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</si>
  <si>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</si>
  <si>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</si>
  <si>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</si>
  <si>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</si>
  <si>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</si>
  <si>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</si>
  <si>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</si>
  <si>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</si>
  <si>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</si>
  <si>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</si>
  <si>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</si>
  <si>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</si>
  <si>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</si>
  <si>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</si>
  <si>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</si>
  <si>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</si>
  <si>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</si>
  <si>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</si>
  <si>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</si>
  <si>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</si>
  <si>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</si>
  <si>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</si>
  <si>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</si>
  <si>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</si>
  <si>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</si>
  <si>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</si>
  <si>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</si>
  <si>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</si>
  <si>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</si>
  <si>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</si>
  <si>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</si>
  <si>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</si>
  <si>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</si>
  <si>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</si>
  <si>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</si>
  <si>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</si>
  <si>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</si>
  <si>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</si>
  <si>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</si>
  <si>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</si>
  <si>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</si>
  <si>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</si>
  <si>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</si>
  <si>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</si>
  <si>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</si>
  <si>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</si>
  <si>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</si>
  <si>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</si>
  <si>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</si>
  <si>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</si>
  <si>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</si>
  <si>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</si>
  <si>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</si>
  <si>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</si>
  <si>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</si>
  <si>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</si>
  <si>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</si>
  <si>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</si>
  <si>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</si>
  <si>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</si>
  <si>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</si>
  <si>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</si>
  <si>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</si>
  <si>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</si>
  <si>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</si>
  <si>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</si>
  <si>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</si>
  <si>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</si>
  <si>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</si>
  <si>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</si>
  <si>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</si>
  <si>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</si>
  <si>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</si>
  <si>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</si>
  <si>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</si>
  <si>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</si>
  <si>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</si>
  <si>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</si>
  <si>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</si>
  <si>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</si>
  <si>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</si>
  <si>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</si>
  <si>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</si>
  <si>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</si>
  <si>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</si>
  <si>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</si>
  <si>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</si>
  <si>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</si>
  <si>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</si>
  <si>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</si>
  <si>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</si>
  <si>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</si>
  <si>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</si>
  <si>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</si>
  <si>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</si>
  <si>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</si>
  <si>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</si>
  <si>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</si>
  <si>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</si>
  <si>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</si>
  <si>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</si>
  <si>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</si>
  <si>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</si>
  <si>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</si>
  <si>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</si>
  <si>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</si>
  <si>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</si>
  <si>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</si>
  <si>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</si>
  <si>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</si>
  <si>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</si>
  <si>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</si>
  <si>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</si>
  <si>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</si>
  <si>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</si>
  <si>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</si>
  <si>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</si>
  <si>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</si>
  <si>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</si>
  <si>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</si>
  <si>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</si>
  <si>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</si>
  <si>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</si>
  <si>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</si>
  <si>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</si>
  <si>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</si>
  <si>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</si>
  <si>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</si>
  <si>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</si>
  <si>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</si>
  <si>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</si>
  <si>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</si>
  <si>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</si>
  <si>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</si>
  <si>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</si>
  <si>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</si>
  <si>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</si>
  <si>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</si>
  <si>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</si>
  <si>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</si>
  <si>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</si>
  <si>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</si>
  <si>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</si>
  <si>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</si>
  <si>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</si>
  <si>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</si>
  <si>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</si>
  <si>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</si>
  <si>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</si>
  <si>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</si>
  <si>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</si>
  <si>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</si>
  <si>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</si>
  <si>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</si>
  <si>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</si>
  <si>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</si>
  <si>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</si>
  <si>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</si>
  <si>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</si>
  <si>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</si>
  <si>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</si>
  <si>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</si>
  <si>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</si>
  <si>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</si>
  <si>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</si>
  <si>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</si>
  <si>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</si>
  <si>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</si>
  <si>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</si>
  <si>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</si>
  <si>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</si>
  <si>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</si>
  <si>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</si>
  <si>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</si>
  <si>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</si>
  <si>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</si>
  <si>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</si>
  <si>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</si>
  <si>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</si>
  <si>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</si>
  <si>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</si>
  <si>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</si>
  <si>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</si>
  <si>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</si>
  <si>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</si>
  <si>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</si>
  <si>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</si>
  <si>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</si>
  <si>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</si>
  <si>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</si>
  <si>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</si>
  <si>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</si>
  <si>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</si>
  <si>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</si>
  <si>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</si>
  <si>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</si>
  <si>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</si>
  <si>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</si>
  <si>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</si>
  <si>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</si>
  <si>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</si>
  <si>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</si>
  <si>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</si>
  <si>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</si>
  <si>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</si>
  <si>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</si>
  <si>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</si>
  <si>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</si>
  <si>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</si>
  <si>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</si>
  <si>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</si>
  <si>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</si>
  <si>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</si>
  <si>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</si>
  <si>
    <t>Thomas Engelhardt (Germany)</t>
  </si>
  <si>
    <t>Johannes Mainhardt (Germany)</t>
  </si>
  <si>
    <t>Andrew Pospielovsky (Great Britain)</t>
  </si>
  <si>
    <t>Almira Zejnilagic (Great Britain)</t>
  </si>
  <si>
    <t>არადამოუკიდებელი თავმჯდომარე</t>
  </si>
  <si>
    <t>არადამოუკიდებელ წევრი</t>
  </si>
  <si>
    <t>დამოუკიდებელი წევრი</t>
  </si>
  <si>
    <t>Margarita Cherikbaeva (Kyrgyzstan)</t>
  </si>
  <si>
    <t>ზაალ ფირცხელავა</t>
  </si>
  <si>
    <t>გენერალური დირექტორი</t>
  </si>
  <si>
    <t>ერეკლე ზათიაშვილი</t>
  </si>
  <si>
    <t>ფინანსური დირექტორი</t>
  </si>
  <si>
    <t>ზაზა ტყეშელაშვილი</t>
  </si>
  <si>
    <t>ნიკოლოზ ქუთათელაძე</t>
  </si>
  <si>
    <t>კომერციული დირექტორი</t>
  </si>
  <si>
    <t>ალექსანდრე ქუმსიაშვილი</t>
  </si>
  <si>
    <t>საინფორმაციო ტექნოლოგიების დირექტორი</t>
  </si>
  <si>
    <t>გიორგი ნადარეიშვილი</t>
  </si>
  <si>
    <t>რისკების დირექტორი</t>
  </si>
  <si>
    <t xml:space="preserve">Access Credo GmbH (Germany) </t>
  </si>
  <si>
    <t>Gojo &amp; C0mpant Inc.</t>
  </si>
  <si>
    <t>Societe de Promotion et de Participation pour la Cooperation Economique (Proparco)</t>
  </si>
  <si>
    <t>British International Investment PLC (UK)</t>
  </si>
  <si>
    <t xml:space="preserve">European Investment Bank (Luxembourg) </t>
  </si>
  <si>
    <t xml:space="preserve">International Finance Corporation (USA) </t>
  </si>
  <si>
    <t xml:space="preserve">Kreditanstalt für Wiederaufbau (Germany) </t>
  </si>
  <si>
    <t xml:space="preserve">LFS Advisory GmbH (Germany) </t>
  </si>
  <si>
    <t>Omidyar Tufts Active Citizenship Trust (USA)</t>
  </si>
  <si>
    <t>Agence Francaise de developpement</t>
  </si>
  <si>
    <t xml:space="preserve"> ცხრილი 9 (Capital), C10 </t>
  </si>
  <si>
    <t xml:space="preserve"> ცხრილი 9 (Capital), C28 და C38</t>
  </si>
  <si>
    <t xml:space="preserve"> ცხრილი 9 (Capital), C2</t>
  </si>
  <si>
    <t xml:space="preserve"> ცხრილი 9 (Capital), C3</t>
  </si>
  <si>
    <t xml:space="preserve"> ცხრილი 9 (Capital), C6</t>
  </si>
  <si>
    <t>სს "კრედო ბანკი"</t>
  </si>
  <si>
    <t>ტომას ენგელჰარდტი</t>
  </si>
  <si>
    <t>www.credo.ge</t>
  </si>
  <si>
    <t>Satyagraha Inc.</t>
  </si>
  <si>
    <t>Dr. Bernd Zattler</t>
  </si>
  <si>
    <t>ბიზნეს მიმართულების დირექტორი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</si>
</sst>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
  </numFmts>
  <fonts count="168">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sz val="8"/>
      <color theme="1"/>
      <name val="Verdana"/>
      <family val="2"/>
    </font>
    <font>
      <b/>
      <sz val="11"/>
      <color theme="1"/>
      <name val="Sylfaen"/>
      <family val="1"/>
    </font>
    <font>
      <sz val="11"/>
      <name val="Sylfaen"/>
      <family val="1"/>
    </font>
    <font>
      <b/>
      <sz val="9"/>
      <name val="Calibri"/>
      <family val="2"/>
      <scheme val="minor"/>
    </font>
    <font>
      <sz val="10"/>
      <name val="Cambria"/>
      <family val="2"/>
      <scheme val="major"/>
    </font>
  </fonts>
  <fills count="8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00"/>
        <bgColor indexed="64"/>
      </patternFill>
    </fill>
  </fills>
  <borders count="163">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s>
  <cellStyleXfs count="21417">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6"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5" fillId="0" borderId="0"/>
    <xf numFmtId="168" fontId="26" fillId="36" borderId="0"/>
    <xf numFmtId="169" fontId="26" fillId="36" borderId="0"/>
    <xf numFmtId="168" fontId="26" fillId="36" borderId="0"/>
    <xf numFmtId="0" fontId="27" fillId="37"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0" fontId="27"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0" fontId="27" fillId="46"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0" fontId="29" fillId="47"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0" fontId="29"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7" fillId="54" borderId="0" applyNumberFormat="0" applyBorder="0" applyAlignment="0" applyProtection="0"/>
    <xf numFmtId="0" fontId="27" fillId="58" borderId="0" applyNumberFormat="0" applyBorder="0" applyAlignment="0" applyProtection="0"/>
    <xf numFmtId="0" fontId="29" fillId="55"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7" fillId="51" borderId="0" applyNumberFormat="0" applyBorder="0" applyAlignment="0" applyProtection="0"/>
    <xf numFmtId="0" fontId="27" fillId="55" borderId="0" applyNumberFormat="0" applyBorder="0" applyAlignment="0" applyProtection="0"/>
    <xf numFmtId="0" fontId="29" fillId="55"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7" fillId="60"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7" fillId="54" borderId="0" applyNumberFormat="0" applyBorder="0" applyAlignment="0" applyProtection="0"/>
    <xf numFmtId="0" fontId="27"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0" fontId="32" fillId="38" borderId="0" applyNumberFormat="0" applyBorder="0" applyAlignment="0" applyProtection="0"/>
    <xf numFmtId="170" fontId="35"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1" fontId="37" fillId="0" borderId="0" applyFill="0" applyBorder="0" applyAlignment="0"/>
    <xf numFmtId="171" fontId="37"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2" fontId="37" fillId="0" borderId="0" applyFill="0" applyBorder="0" applyAlignment="0"/>
    <xf numFmtId="173" fontId="37" fillId="0" borderId="0" applyFill="0" applyBorder="0" applyAlignment="0"/>
    <xf numFmtId="174" fontId="37" fillId="0" borderId="0" applyFill="0" applyBorder="0" applyAlignment="0"/>
    <xf numFmtId="175"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68" fontId="40"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68" fontId="40"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69" fontId="40"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68" fontId="40" fillId="63" borderId="38" applyNumberFormat="0" applyAlignment="0" applyProtection="0"/>
    <xf numFmtId="169" fontId="40" fillId="63" borderId="38" applyNumberFormat="0" applyAlignment="0" applyProtection="0"/>
    <xf numFmtId="168" fontId="40" fillId="63" borderId="38" applyNumberFormat="0" applyAlignment="0" applyProtection="0"/>
    <xf numFmtId="168" fontId="40" fillId="63" borderId="38" applyNumberFormat="0" applyAlignment="0" applyProtection="0"/>
    <xf numFmtId="169" fontId="40" fillId="63" borderId="38" applyNumberFormat="0" applyAlignment="0" applyProtection="0"/>
    <xf numFmtId="168" fontId="40" fillId="63" borderId="38" applyNumberFormat="0" applyAlignment="0" applyProtection="0"/>
    <xf numFmtId="168" fontId="40" fillId="63" borderId="38" applyNumberFormat="0" applyAlignment="0" applyProtection="0"/>
    <xf numFmtId="169" fontId="40" fillId="63" borderId="38" applyNumberFormat="0" applyAlignment="0" applyProtection="0"/>
    <xf numFmtId="168" fontId="40" fillId="63" borderId="38" applyNumberFormat="0" applyAlignment="0" applyProtection="0"/>
    <xf numFmtId="168" fontId="40" fillId="63" borderId="38" applyNumberFormat="0" applyAlignment="0" applyProtection="0"/>
    <xf numFmtId="169" fontId="40" fillId="63" borderId="38" applyNumberFormat="0" applyAlignment="0" applyProtection="0"/>
    <xf numFmtId="168" fontId="40" fillId="63" borderId="38" applyNumberFormat="0" applyAlignment="0" applyProtection="0"/>
    <xf numFmtId="0" fontId="38" fillId="63" borderId="38" applyNumberFormat="0" applyAlignment="0" applyProtection="0"/>
    <xf numFmtId="0" fontId="41" fillId="64" borderId="39" applyNumberFormat="0" applyAlignment="0" applyProtection="0"/>
    <xf numFmtId="0" fontId="42" fillId="9" borderId="34" applyNumberFormat="0" applyAlignment="0" applyProtection="0"/>
    <xf numFmtId="168"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0" fontId="41"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0" fontId="42" fillId="9" borderId="34"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0" fontId="41" fillId="64" borderId="39"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5" fillId="0" borderId="0"/>
    <xf numFmtId="172" fontId="37"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5" fillId="0" borderId="0"/>
    <xf numFmtId="14" fontId="46" fillId="0" borderId="0" applyFill="0" applyBorder="0" applyAlignment="0"/>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0" applyFont="0" applyFill="0" applyBorder="0" applyAlignment="0" applyProtection="0"/>
    <xf numFmtId="180" fontId="2" fillId="0" borderId="0" applyFont="0" applyFill="0" applyBorder="0" applyAlignment="0" applyProtection="0"/>
    <xf numFmtId="0" fontId="47" fillId="65"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0" fontId="48" fillId="0" borderId="0" applyNumberFormat="0" applyFill="0" applyBorder="0" applyAlignment="0" applyProtection="0"/>
    <xf numFmtId="168" fontId="2" fillId="0" borderId="0"/>
    <xf numFmtId="0" fontId="2" fillId="0" borderId="0"/>
    <xf numFmtId="168" fontId="2" fillId="0" borderId="0"/>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51" fillId="39"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0" fontId="51" fillId="39"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0" fontId="51" fillId="39" borderId="0" applyNumberFormat="0" applyBorder="0" applyAlignment="0" applyProtection="0"/>
    <xf numFmtId="0" fontId="2" fillId="68" borderId="3" applyNumberFormat="0" applyFont="0" applyBorder="0" applyProtection="0">
      <alignment horizontal="center" vertical="center"/>
    </xf>
    <xf numFmtId="0" fontId="54" fillId="0" borderId="29" applyNumberFormat="0" applyAlignment="0" applyProtection="0">
      <alignment horizontal="left" vertical="center"/>
    </xf>
    <xf numFmtId="0" fontId="54" fillId="0" borderId="29" applyNumberFormat="0" applyAlignment="0" applyProtection="0">
      <alignment horizontal="left" vertical="center"/>
    </xf>
    <xf numFmtId="168" fontId="54" fillId="0" borderId="29" applyNumberFormat="0" applyAlignment="0" applyProtection="0">
      <alignment horizontal="left" vertical="center"/>
    </xf>
    <xf numFmtId="0" fontId="54" fillId="0" borderId="9">
      <alignment horizontal="left" vertical="center"/>
    </xf>
    <xf numFmtId="0" fontId="54" fillId="0" borderId="9">
      <alignment horizontal="left" vertical="center"/>
    </xf>
    <xf numFmtId="168" fontId="54" fillId="0" borderId="9">
      <alignment horizontal="left" vertical="center"/>
    </xf>
    <xf numFmtId="0" fontId="55" fillId="0" borderId="41" applyNumberFormat="0" applyFill="0" applyAlignment="0" applyProtection="0"/>
    <xf numFmtId="169" fontId="55" fillId="0" borderId="41" applyNumberFormat="0" applyFill="0" applyAlignment="0" applyProtection="0"/>
    <xf numFmtId="0"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0" fontId="55" fillId="0" borderId="41" applyNumberFormat="0" applyFill="0" applyAlignment="0" applyProtection="0"/>
    <xf numFmtId="0" fontId="56" fillId="0" borderId="42" applyNumberFormat="0" applyFill="0" applyAlignment="0" applyProtection="0"/>
    <xf numFmtId="169" fontId="56" fillId="0" borderId="42" applyNumberFormat="0" applyFill="0" applyAlignment="0" applyProtection="0"/>
    <xf numFmtId="0"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0" fontId="56" fillId="0" borderId="42" applyNumberFormat="0" applyFill="0" applyAlignment="0" applyProtection="0"/>
    <xf numFmtId="0" fontId="57" fillId="0" borderId="43" applyNumberFormat="0" applyFill="0" applyAlignment="0" applyProtection="0"/>
    <xf numFmtId="169" fontId="57" fillId="0" borderId="43" applyNumberFormat="0" applyFill="0" applyAlignment="0" applyProtection="0"/>
    <xf numFmtId="0" fontId="57" fillId="0" borderId="43" applyNumberFormat="0" applyFill="0" applyAlignment="0" applyProtection="0"/>
    <xf numFmtId="168" fontId="57" fillId="0" borderId="43" applyNumberFormat="0" applyFill="0" applyAlignment="0" applyProtection="0"/>
    <xf numFmtId="0" fontId="57" fillId="0" borderId="43" applyNumberFormat="0" applyFill="0" applyAlignment="0" applyProtection="0"/>
    <xf numFmtId="168" fontId="57" fillId="0" borderId="43" applyNumberFormat="0" applyFill="0" applyAlignment="0" applyProtection="0"/>
    <xf numFmtId="0" fontId="57" fillId="0" borderId="43" applyNumberFormat="0" applyFill="0" applyAlignment="0" applyProtection="0"/>
    <xf numFmtId="0" fontId="57" fillId="0" borderId="43" applyNumberFormat="0" applyFill="0" applyAlignment="0" applyProtection="0"/>
    <xf numFmtId="168" fontId="57" fillId="0" borderId="43" applyNumberFormat="0" applyFill="0" applyAlignment="0" applyProtection="0"/>
    <xf numFmtId="169" fontId="57" fillId="0" borderId="43" applyNumberFormat="0" applyFill="0" applyAlignment="0" applyProtection="0"/>
    <xf numFmtId="168" fontId="57" fillId="0" borderId="43" applyNumberFormat="0" applyFill="0" applyAlignment="0" applyProtection="0"/>
    <xf numFmtId="168" fontId="57" fillId="0" borderId="43" applyNumberFormat="0" applyFill="0" applyAlignment="0" applyProtection="0"/>
    <xf numFmtId="169" fontId="57" fillId="0" borderId="43" applyNumberFormat="0" applyFill="0" applyAlignment="0" applyProtection="0"/>
    <xf numFmtId="168" fontId="57" fillId="0" borderId="43" applyNumberFormat="0" applyFill="0" applyAlignment="0" applyProtection="0"/>
    <xf numFmtId="168" fontId="57" fillId="0" borderId="43" applyNumberFormat="0" applyFill="0" applyAlignment="0" applyProtection="0"/>
    <xf numFmtId="169" fontId="57" fillId="0" borderId="43" applyNumberFormat="0" applyFill="0" applyAlignment="0" applyProtection="0"/>
    <xf numFmtId="168" fontId="57" fillId="0" borderId="43" applyNumberFormat="0" applyFill="0" applyAlignment="0" applyProtection="0"/>
    <xf numFmtId="168" fontId="57" fillId="0" borderId="43" applyNumberFormat="0" applyFill="0" applyAlignment="0" applyProtection="0"/>
    <xf numFmtId="169" fontId="57" fillId="0" borderId="43" applyNumberFormat="0" applyFill="0" applyAlignment="0" applyProtection="0"/>
    <xf numFmtId="168" fontId="57" fillId="0" borderId="43" applyNumberFormat="0" applyFill="0" applyAlignment="0" applyProtection="0"/>
    <xf numFmtId="0" fontId="57" fillId="0" borderId="43" applyNumberFormat="0" applyFill="0" applyAlignment="0" applyProtection="0"/>
    <xf numFmtId="0" fontId="57" fillId="0" borderId="0" applyNumberFormat="0" applyFill="0" applyBorder="0" applyAlignment="0" applyProtection="0"/>
    <xf numFmtId="169" fontId="57" fillId="0" borderId="0" applyNumberFormat="0" applyFill="0" applyBorder="0" applyAlignment="0" applyProtection="0"/>
    <xf numFmtId="0"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0" fontId="57" fillId="0" borderId="0" applyNumberFormat="0" applyFill="0" applyBorder="0" applyAlignment="0" applyProtection="0"/>
    <xf numFmtId="37" fontId="58" fillId="0" borderId="0"/>
    <xf numFmtId="168" fontId="59" fillId="0" borderId="0"/>
    <xf numFmtId="0" fontId="59" fillId="0" borderId="0"/>
    <xf numFmtId="168" fontId="59" fillId="0" borderId="0"/>
    <xf numFmtId="168" fontId="54" fillId="0" borderId="0"/>
    <xf numFmtId="0" fontId="54" fillId="0" borderId="0"/>
    <xf numFmtId="168" fontId="54"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168" fontId="63" fillId="0" borderId="0"/>
    <xf numFmtId="0" fontId="63" fillId="0" borderId="0"/>
    <xf numFmtId="168" fontId="63" fillId="0" borderId="0"/>
    <xf numFmtId="0" fontId="62"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4" fillId="0" borderId="0" applyNumberFormat="0" applyFill="0" applyBorder="0" applyAlignment="0" applyProtection="0">
      <alignment vertical="top"/>
      <protection locked="0"/>
    </xf>
    <xf numFmtId="169" fontId="64" fillId="0" borderId="0" applyNumberFormat="0" applyFill="0" applyBorder="0" applyAlignment="0" applyProtection="0">
      <alignment vertical="top"/>
      <protection locked="0"/>
    </xf>
    <xf numFmtId="168" fontId="64" fillId="0" borderId="0" applyNumberFormat="0" applyFill="0" applyBorder="0" applyAlignment="0" applyProtection="0">
      <alignment vertical="top"/>
      <protection locked="0"/>
    </xf>
    <xf numFmtId="168" fontId="65" fillId="0" borderId="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68" fontId="68"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68" fontId="68"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69" fontId="68"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68" fontId="68" fillId="42" borderId="38" applyNumberFormat="0" applyAlignment="0" applyProtection="0"/>
    <xf numFmtId="169" fontId="68" fillId="42" borderId="38" applyNumberFormat="0" applyAlignment="0" applyProtection="0"/>
    <xf numFmtId="168" fontId="68" fillId="42" borderId="38" applyNumberFormat="0" applyAlignment="0" applyProtection="0"/>
    <xf numFmtId="168" fontId="68" fillId="42" borderId="38" applyNumberFormat="0" applyAlignment="0" applyProtection="0"/>
    <xf numFmtId="169" fontId="68" fillId="42" borderId="38" applyNumberFormat="0" applyAlignment="0" applyProtection="0"/>
    <xf numFmtId="168" fontId="68" fillId="42" borderId="38" applyNumberFormat="0" applyAlignment="0" applyProtection="0"/>
    <xf numFmtId="168" fontId="68" fillId="42" borderId="38" applyNumberFormat="0" applyAlignment="0" applyProtection="0"/>
    <xf numFmtId="169" fontId="68" fillId="42" borderId="38" applyNumberFormat="0" applyAlignment="0" applyProtection="0"/>
    <xf numFmtId="168" fontId="68" fillId="42" borderId="38" applyNumberFormat="0" applyAlignment="0" applyProtection="0"/>
    <xf numFmtId="168" fontId="68" fillId="42" borderId="38" applyNumberFormat="0" applyAlignment="0" applyProtection="0"/>
    <xf numFmtId="169" fontId="68" fillId="42" borderId="38" applyNumberFormat="0" applyAlignment="0" applyProtection="0"/>
    <xf numFmtId="168" fontId="68" fillId="42" borderId="38" applyNumberFormat="0" applyAlignment="0" applyProtection="0"/>
    <xf numFmtId="0" fontId="66" fillId="42" borderId="38" applyNumberFormat="0" applyAlignment="0" applyProtection="0"/>
    <xf numFmtId="3" fontId="2" fillId="71" borderId="3" applyFont="0">
      <alignment horizontal="right" vertical="center"/>
      <protection locked="0"/>
    </xf>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69" fillId="0" borderId="44" applyNumberFormat="0" applyFill="0" applyAlignment="0" applyProtection="0"/>
    <xf numFmtId="0" fontId="70" fillId="0" borderId="33" applyNumberFormat="0" applyFill="0" applyAlignment="0" applyProtection="0"/>
    <xf numFmtId="168" fontId="71" fillId="0" borderId="44" applyNumberFormat="0" applyFill="0" applyAlignment="0" applyProtection="0"/>
    <xf numFmtId="168" fontId="71" fillId="0" borderId="44" applyNumberFormat="0" applyFill="0" applyAlignment="0" applyProtection="0"/>
    <xf numFmtId="169" fontId="71" fillId="0" borderId="44" applyNumberFormat="0" applyFill="0" applyAlignment="0" applyProtection="0"/>
    <xf numFmtId="0" fontId="69" fillId="0" borderId="44"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168" fontId="71" fillId="0" borderId="44" applyNumberFormat="0" applyFill="0" applyAlignment="0" applyProtection="0"/>
    <xf numFmtId="169" fontId="71" fillId="0" borderId="44" applyNumberFormat="0" applyFill="0" applyAlignment="0" applyProtection="0"/>
    <xf numFmtId="168" fontId="71" fillId="0" borderId="44" applyNumberFormat="0" applyFill="0" applyAlignment="0" applyProtection="0"/>
    <xf numFmtId="168" fontId="71" fillId="0" borderId="44" applyNumberFormat="0" applyFill="0" applyAlignment="0" applyProtection="0"/>
    <xf numFmtId="169" fontId="71" fillId="0" borderId="44" applyNumberFormat="0" applyFill="0" applyAlignment="0" applyProtection="0"/>
    <xf numFmtId="168" fontId="71" fillId="0" borderId="44" applyNumberFormat="0" applyFill="0" applyAlignment="0" applyProtection="0"/>
    <xf numFmtId="168" fontId="71" fillId="0" borderId="44" applyNumberFormat="0" applyFill="0" applyAlignment="0" applyProtection="0"/>
    <xf numFmtId="169" fontId="71" fillId="0" borderId="44" applyNumberFormat="0" applyFill="0" applyAlignment="0" applyProtection="0"/>
    <xf numFmtId="168" fontId="71" fillId="0" borderId="44" applyNumberFormat="0" applyFill="0" applyAlignment="0" applyProtection="0"/>
    <xf numFmtId="168" fontId="71" fillId="0" borderId="44" applyNumberFormat="0" applyFill="0" applyAlignment="0" applyProtection="0"/>
    <xf numFmtId="169" fontId="71" fillId="0" borderId="44" applyNumberFormat="0" applyFill="0" applyAlignment="0" applyProtection="0"/>
    <xf numFmtId="168" fontId="71" fillId="0" borderId="44" applyNumberFormat="0" applyFill="0" applyAlignment="0" applyProtection="0"/>
    <xf numFmtId="0" fontId="69" fillId="0" borderId="44"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2" fillId="72"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0" fontId="72" fillId="72"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0" fontId="72" fillId="72" borderId="0" applyNumberFormat="0" applyBorder="0" applyAlignment="0" applyProtection="0"/>
    <xf numFmtId="1" fontId="75" fillId="0" borderId="0" applyProtection="0"/>
    <xf numFmtId="168" fontId="26" fillId="0" borderId="45"/>
    <xf numFmtId="169" fontId="26" fillId="0" borderId="45"/>
    <xf numFmtId="168" fontId="26"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6" fillId="0" borderId="0"/>
    <xf numFmtId="181" fontId="2"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7" fillId="0" borderId="0"/>
    <xf numFmtId="0" fontId="77" fillId="0" borderId="0"/>
    <xf numFmtId="0" fontId="76" fillId="0" borderId="0"/>
    <xf numFmtId="179" fontId="28" fillId="0" borderId="0"/>
    <xf numFmtId="179" fontId="2" fillId="0" borderId="0"/>
    <xf numFmtId="179" fontId="2" fillId="0" borderId="0"/>
    <xf numFmtId="0" fontId="2" fillId="0" borderId="0"/>
    <xf numFmtId="0" fontId="2"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8"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8" fillId="0" borderId="0"/>
    <xf numFmtId="0" fontId="28" fillId="0" borderId="0"/>
    <xf numFmtId="168" fontId="28" fillId="0" borderId="0"/>
    <xf numFmtId="0" fontId="28"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68" fontId="28" fillId="0" borderId="0"/>
    <xf numFmtId="0" fontId="28" fillId="0" borderId="0"/>
    <xf numFmtId="0" fontId="28"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179" fontId="28" fillId="0" borderId="0"/>
    <xf numFmtId="179" fontId="28"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28" fillId="0" borderId="0"/>
    <xf numFmtId="179" fontId="28" fillId="0" borderId="0"/>
    <xf numFmtId="179" fontId="28" fillId="0" borderId="0"/>
    <xf numFmtId="179"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79" fontId="2"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8"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28" fillId="0" borderId="0"/>
    <xf numFmtId="0" fontId="2" fillId="0" borderId="0"/>
    <xf numFmtId="0" fontId="27" fillId="0" borderId="0"/>
    <xf numFmtId="168" fontId="25" fillId="0" borderId="0"/>
    <xf numFmtId="0" fontId="2"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79" fontId="2" fillId="0" borderId="0"/>
    <xf numFmtId="0" fontId="28" fillId="0" borderId="0"/>
    <xf numFmtId="0" fontId="28" fillId="0" borderId="0"/>
    <xf numFmtId="168" fontId="25" fillId="0" borderId="0"/>
    <xf numFmtId="0" fontId="65" fillId="0" borderId="0"/>
    <xf numFmtId="0" fontId="2" fillId="0" borderId="0"/>
    <xf numFmtId="168" fontId="25" fillId="0" borderId="0"/>
    <xf numFmtId="0" fontId="1"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179" fontId="2" fillId="0" borderId="0"/>
    <xf numFmtId="0" fontId="2" fillId="0" borderId="0"/>
    <xf numFmtId="179" fontId="2" fillId="0" borderId="0"/>
    <xf numFmtId="0" fontId="2" fillId="0" borderId="0"/>
    <xf numFmtId="179"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179" fontId="28"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79" fontId="2"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79" fontId="26" fillId="0" borderId="0"/>
    <xf numFmtId="0" fontId="8"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179" fontId="8" fillId="0" borderId="0"/>
    <xf numFmtId="0" fontId="26" fillId="0" borderId="0"/>
    <xf numFmtId="179" fontId="26" fillId="0" borderId="0"/>
    <xf numFmtId="0" fontId="26" fillId="0" borderId="0"/>
    <xf numFmtId="0" fontId="2" fillId="0" borderId="0"/>
    <xf numFmtId="0" fontId="26"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6" fillId="0" borderId="0"/>
    <xf numFmtId="179" fontId="8"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6" fillId="0" borderId="0"/>
    <xf numFmtId="0" fontId="26" fillId="0" borderId="0"/>
    <xf numFmtId="168" fontId="26" fillId="0" borderId="0"/>
    <xf numFmtId="0" fontId="76"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6" fillId="0" borderId="0"/>
    <xf numFmtId="0" fontId="8" fillId="0" borderId="0"/>
    <xf numFmtId="0" fontId="76" fillId="0" borderId="0"/>
    <xf numFmtId="168" fontId="8" fillId="0" borderId="0"/>
    <xf numFmtId="0" fontId="76" fillId="0" borderId="0"/>
    <xf numFmtId="168" fontId="8"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179"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179" fontId="2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179" fontId="26"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179" fontId="26" fillId="0" borderId="0"/>
    <xf numFmtId="179" fontId="26"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4" fillId="0" borderId="0"/>
    <xf numFmtId="0" fontId="2" fillId="0" borderId="0"/>
    <xf numFmtId="0" fontId="76" fillId="0" borderId="0"/>
    <xf numFmtId="168" fontId="44"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2"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2"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69"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168" fontId="2"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0" fillId="0" borderId="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168" fontId="2" fillId="0" borderId="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7" fillId="73" borderId="46" applyNumberFormat="0" applyFont="0" applyAlignment="0" applyProtection="0"/>
    <xf numFmtId="168" fontId="2" fillId="0" borderId="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169" fontId="2" fillId="0" borderId="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 fillId="0" borderId="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69"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0" fontId="2" fillId="73" borderId="46" applyNumberFormat="0" applyFont="0" applyAlignment="0" applyProtection="0"/>
    <xf numFmtId="169" fontId="2" fillId="0" borderId="0"/>
    <xf numFmtId="168"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0" fontId="2" fillId="73" borderId="46" applyNumberFormat="0" applyFont="0" applyAlignment="0" applyProtection="0"/>
    <xf numFmtId="169"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0" fontId="2" fillId="73" borderId="46" applyNumberFormat="0" applyFont="0" applyAlignment="0" applyProtection="0"/>
    <xf numFmtId="169" fontId="2" fillId="0" borderId="0"/>
    <xf numFmtId="168" fontId="2" fillId="0" borderId="0"/>
    <xf numFmtId="168" fontId="2" fillId="0" borderId="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1"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2" fillId="0" borderId="0"/>
    <xf numFmtId="0" fontId="82" fillId="0" borderId="0"/>
    <xf numFmtId="168" fontId="82" fillId="0" borderId="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68" fontId="85"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68" fontId="85"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69" fontId="85"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68" fontId="85" fillId="63" borderId="47" applyNumberFormat="0" applyAlignment="0" applyProtection="0"/>
    <xf numFmtId="169" fontId="85" fillId="63" borderId="47" applyNumberFormat="0" applyAlignment="0" applyProtection="0"/>
    <xf numFmtId="168" fontId="85" fillId="63" borderId="47" applyNumberFormat="0" applyAlignment="0" applyProtection="0"/>
    <xf numFmtId="168" fontId="85" fillId="63" borderId="47" applyNumberFormat="0" applyAlignment="0" applyProtection="0"/>
    <xf numFmtId="169" fontId="85" fillId="63" borderId="47" applyNumberFormat="0" applyAlignment="0" applyProtection="0"/>
    <xf numFmtId="168" fontId="85" fillId="63" borderId="47" applyNumberFormat="0" applyAlignment="0" applyProtection="0"/>
    <xf numFmtId="168" fontId="85" fillId="63" borderId="47" applyNumberFormat="0" applyAlignment="0" applyProtection="0"/>
    <xf numFmtId="169" fontId="85" fillId="63" borderId="47" applyNumberFormat="0" applyAlignment="0" applyProtection="0"/>
    <xf numFmtId="168" fontId="85" fillId="63" borderId="47" applyNumberFormat="0" applyAlignment="0" applyProtection="0"/>
    <xf numFmtId="168" fontId="85" fillId="63" borderId="47" applyNumberFormat="0" applyAlignment="0" applyProtection="0"/>
    <xf numFmtId="169" fontId="85" fillId="63" borderId="47" applyNumberFormat="0" applyAlignment="0" applyProtection="0"/>
    <xf numFmtId="168" fontId="85" fillId="63" borderId="47" applyNumberFormat="0" applyAlignment="0" applyProtection="0"/>
    <xf numFmtId="0" fontId="83" fillId="63" borderId="47" applyNumberFormat="0" applyAlignment="0" applyProtection="0"/>
    <xf numFmtId="0" fontId="25" fillId="0" borderId="0"/>
    <xf numFmtId="175" fontId="37" fillId="0" borderId="0" applyFont="0" applyFill="0" applyBorder="0" applyAlignment="0" applyProtection="0"/>
    <xf numFmtId="186"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86"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xf numFmtId="0" fontId="2" fillId="0" borderId="0"/>
    <xf numFmtId="168" fontId="2" fillId="0" borderId="0"/>
    <xf numFmtId="187" fontId="65" fillId="0" borderId="3" applyNumberFormat="0">
      <alignment horizontal="center" vertical="top" wrapText="1"/>
    </xf>
    <xf numFmtId="0" fontId="87"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8" fillId="0" borderId="0"/>
    <xf numFmtId="0" fontId="25" fillId="0" borderId="0"/>
    <xf numFmtId="0" fontId="89" fillId="0" borderId="0"/>
    <xf numFmtId="0" fontId="89" fillId="0" borderId="0"/>
    <xf numFmtId="168" fontId="25" fillId="0" borderId="0"/>
    <xf numFmtId="168" fontId="25" fillId="0" borderId="0"/>
    <xf numFmtId="0" fontId="90" fillId="0" borderId="0"/>
    <xf numFmtId="0" fontId="91" fillId="0" borderId="0"/>
    <xf numFmtId="0" fontId="90" fillId="0" borderId="0"/>
    <xf numFmtId="0" fontId="90" fillId="0" borderId="0"/>
    <xf numFmtId="0" fontId="90" fillId="0" borderId="0"/>
    <xf numFmtId="0" fontId="90" fillId="0" borderId="0"/>
    <xf numFmtId="0" fontId="90" fillId="0" borderId="0"/>
    <xf numFmtId="49" fontId="46" fillId="0" borderId="0" applyFill="0" applyBorder="0" applyAlignment="0"/>
    <xf numFmtId="189" fontId="37" fillId="0" borderId="0" applyFill="0" applyBorder="0" applyAlignment="0"/>
    <xf numFmtId="190" fontId="37" fillId="0" borderId="0" applyFill="0" applyBorder="0" applyAlignment="0"/>
    <xf numFmtId="0" fontId="92" fillId="0" borderId="0">
      <alignment horizontal="center" vertical="top"/>
    </xf>
    <xf numFmtId="0" fontId="93" fillId="0" borderId="0" applyNumberFormat="0" applyFill="0" applyBorder="0" applyAlignment="0" applyProtection="0"/>
    <xf numFmtId="169" fontId="93" fillId="0" borderId="0" applyNumberFormat="0" applyFill="0" applyBorder="0" applyAlignment="0" applyProtection="0"/>
    <xf numFmtId="0"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0" fontId="93" fillId="0" borderId="0" applyNumberFormat="0" applyFill="0" applyBorder="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68" fontId="94"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68" fontId="94"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69" fontId="94"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68" fontId="94" fillId="0" borderId="48" applyNumberFormat="0" applyFill="0" applyAlignment="0" applyProtection="0"/>
    <xf numFmtId="169" fontId="94" fillId="0" borderId="48" applyNumberFormat="0" applyFill="0" applyAlignment="0" applyProtection="0"/>
    <xf numFmtId="168" fontId="94" fillId="0" borderId="48" applyNumberFormat="0" applyFill="0" applyAlignment="0" applyProtection="0"/>
    <xf numFmtId="168" fontId="94" fillId="0" borderId="48" applyNumberFormat="0" applyFill="0" applyAlignment="0" applyProtection="0"/>
    <xf numFmtId="169" fontId="94" fillId="0" borderId="48" applyNumberFormat="0" applyFill="0" applyAlignment="0" applyProtection="0"/>
    <xf numFmtId="168" fontId="94" fillId="0" borderId="48" applyNumberFormat="0" applyFill="0" applyAlignment="0" applyProtection="0"/>
    <xf numFmtId="168" fontId="94" fillId="0" borderId="48" applyNumberFormat="0" applyFill="0" applyAlignment="0" applyProtection="0"/>
    <xf numFmtId="169" fontId="94" fillId="0" borderId="48" applyNumberFormat="0" applyFill="0" applyAlignment="0" applyProtection="0"/>
    <xf numFmtId="168" fontId="94" fillId="0" borderId="48" applyNumberFormat="0" applyFill="0" applyAlignment="0" applyProtection="0"/>
    <xf numFmtId="168" fontId="94" fillId="0" borderId="48" applyNumberFormat="0" applyFill="0" applyAlignment="0" applyProtection="0"/>
    <xf numFmtId="169" fontId="94" fillId="0" borderId="48" applyNumberFormat="0" applyFill="0" applyAlignment="0" applyProtection="0"/>
    <xf numFmtId="168" fontId="94" fillId="0" borderId="48" applyNumberFormat="0" applyFill="0" applyAlignment="0" applyProtection="0"/>
    <xf numFmtId="0" fontId="47" fillId="0" borderId="48" applyNumberFormat="0" applyFill="0" applyAlignment="0" applyProtection="0"/>
    <xf numFmtId="0" fontId="25" fillId="0" borderId="49"/>
    <xf numFmtId="185" fontId="81"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6" fillId="0" borderId="0" applyFont="0" applyFill="0" applyBorder="0" applyAlignment="0" applyProtection="0"/>
    <xf numFmtId="192" fontId="2" fillId="0" borderId="0" applyFon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0" fontId="95" fillId="0" borderId="0" applyNumberFormat="0" applyFill="0" applyBorder="0" applyAlignment="0" applyProtection="0"/>
    <xf numFmtId="1" fontId="97" fillId="0" borderId="0" applyFill="0" applyProtection="0">
      <alignment horizontal="right"/>
    </xf>
    <xf numFmtId="42" fontId="98" fillId="0" borderId="0" applyFont="0" applyFill="0" applyBorder="0" applyAlignment="0" applyProtection="0"/>
    <xf numFmtId="44" fontId="98" fillId="0" borderId="0" applyFont="0" applyFill="0" applyBorder="0" applyAlignment="0" applyProtection="0"/>
    <xf numFmtId="0" fontId="99" fillId="0" borderId="0"/>
    <xf numFmtId="0" fontId="100" fillId="0" borderId="0"/>
    <xf numFmtId="38" fontId="26" fillId="0" borderId="0" applyFont="0" applyFill="0" applyBorder="0" applyAlignment="0" applyProtection="0"/>
    <xf numFmtId="40" fontId="26"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0" fontId="2" fillId="0" borderId="0"/>
    <xf numFmtId="9" fontId="1" fillId="0" borderId="0" applyFont="0" applyFill="0" applyBorder="0" applyAlignment="0" applyProtection="0"/>
    <xf numFmtId="0" fontId="47" fillId="0" borderId="104" applyNumberFormat="0" applyFill="0" applyAlignment="0" applyProtection="0"/>
    <xf numFmtId="168" fontId="94" fillId="0" borderId="104" applyNumberFormat="0" applyFill="0" applyAlignment="0" applyProtection="0"/>
    <xf numFmtId="169" fontId="94" fillId="0" borderId="104" applyNumberFormat="0" applyFill="0" applyAlignment="0" applyProtection="0"/>
    <xf numFmtId="168" fontId="94" fillId="0" borderId="104" applyNumberFormat="0" applyFill="0" applyAlignment="0" applyProtection="0"/>
    <xf numFmtId="168" fontId="94" fillId="0" borderId="104" applyNumberFormat="0" applyFill="0" applyAlignment="0" applyProtection="0"/>
    <xf numFmtId="169" fontId="94" fillId="0" borderId="104" applyNumberFormat="0" applyFill="0" applyAlignment="0" applyProtection="0"/>
    <xf numFmtId="168" fontId="94" fillId="0" borderId="104" applyNumberFormat="0" applyFill="0" applyAlignment="0" applyProtection="0"/>
    <xf numFmtId="168" fontId="94" fillId="0" borderId="104" applyNumberFormat="0" applyFill="0" applyAlignment="0" applyProtection="0"/>
    <xf numFmtId="169" fontId="94" fillId="0" borderId="104" applyNumberFormat="0" applyFill="0" applyAlignment="0" applyProtection="0"/>
    <xf numFmtId="168" fontId="94" fillId="0" borderId="104" applyNumberFormat="0" applyFill="0" applyAlignment="0" applyProtection="0"/>
    <xf numFmtId="168" fontId="94" fillId="0" borderId="104" applyNumberFormat="0" applyFill="0" applyAlignment="0" applyProtection="0"/>
    <xf numFmtId="169" fontId="94" fillId="0" borderId="104" applyNumberFormat="0" applyFill="0" applyAlignment="0" applyProtection="0"/>
    <xf numFmtId="168" fontId="94"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169" fontId="94"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168" fontId="94"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168" fontId="94"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0" fontId="47" fillId="0" borderId="104" applyNumberFormat="0" applyFill="0" applyAlignment="0" applyProtection="0"/>
    <xf numFmtId="188" fontId="2" fillId="69" borderId="98" applyFont="0">
      <alignment horizontal="right" vertical="center"/>
    </xf>
    <xf numFmtId="3" fontId="2" fillId="69" borderId="98" applyFont="0">
      <alignment horizontal="right" vertical="center"/>
    </xf>
    <xf numFmtId="0" fontId="83" fillId="63" borderId="103" applyNumberFormat="0" applyAlignment="0" applyProtection="0"/>
    <xf numFmtId="168" fontId="85" fillId="63" borderId="103" applyNumberFormat="0" applyAlignment="0" applyProtection="0"/>
    <xf numFmtId="169" fontId="85" fillId="63" borderId="103" applyNumberFormat="0" applyAlignment="0" applyProtection="0"/>
    <xf numFmtId="168" fontId="85" fillId="63" borderId="103" applyNumberFormat="0" applyAlignment="0" applyProtection="0"/>
    <xf numFmtId="168" fontId="85" fillId="63" borderId="103" applyNumberFormat="0" applyAlignment="0" applyProtection="0"/>
    <xf numFmtId="169" fontId="85" fillId="63" borderId="103" applyNumberFormat="0" applyAlignment="0" applyProtection="0"/>
    <xf numFmtId="168" fontId="85" fillId="63" borderId="103" applyNumberFormat="0" applyAlignment="0" applyProtection="0"/>
    <xf numFmtId="168" fontId="85" fillId="63" borderId="103" applyNumberFormat="0" applyAlignment="0" applyProtection="0"/>
    <xf numFmtId="169" fontId="85" fillId="63" borderId="103" applyNumberFormat="0" applyAlignment="0" applyProtection="0"/>
    <xf numFmtId="168" fontId="85" fillId="63" borderId="103" applyNumberFormat="0" applyAlignment="0" applyProtection="0"/>
    <xf numFmtId="168" fontId="85" fillId="63" borderId="103" applyNumberFormat="0" applyAlignment="0" applyProtection="0"/>
    <xf numFmtId="169" fontId="85" fillId="63" borderId="103" applyNumberFormat="0" applyAlignment="0" applyProtection="0"/>
    <xf numFmtId="168" fontId="85"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169" fontId="85"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168" fontId="85"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168" fontId="85"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0" fontId="83" fillId="63" borderId="103" applyNumberFormat="0" applyAlignment="0" applyProtection="0"/>
    <xf numFmtId="3" fontId="2" fillId="74" borderId="98" applyFont="0">
      <alignment horizontal="right" vertical="center"/>
      <protection locked="0"/>
    </xf>
    <xf numFmtId="0" fontId="2"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 fillId="73" borderId="102" applyNumberFormat="0" applyFont="0" applyAlignment="0" applyProtection="0"/>
    <xf numFmtId="0" fontId="27" fillId="73" borderId="102" applyNumberFormat="0" applyFont="0" applyAlignment="0" applyProtection="0"/>
    <xf numFmtId="0" fontId="2" fillId="73" borderId="102" applyNumberFormat="0" applyFont="0" applyAlignment="0" applyProtection="0"/>
    <xf numFmtId="0" fontId="2"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0" fontId="27" fillId="73" borderId="102" applyNumberFormat="0" applyFont="0" applyAlignment="0" applyProtection="0"/>
    <xf numFmtId="3" fontId="2" fillId="71" borderId="98" applyFont="0">
      <alignment horizontal="right" vertical="center"/>
      <protection locked="0"/>
    </xf>
    <xf numFmtId="0" fontId="66" fillId="42" borderId="101" applyNumberFormat="0" applyAlignment="0" applyProtection="0"/>
    <xf numFmtId="168" fontId="68" fillId="42" borderId="101" applyNumberFormat="0" applyAlignment="0" applyProtection="0"/>
    <xf numFmtId="169" fontId="68" fillId="42" borderId="101" applyNumberFormat="0" applyAlignment="0" applyProtection="0"/>
    <xf numFmtId="168" fontId="68" fillId="42" borderId="101" applyNumberFormat="0" applyAlignment="0" applyProtection="0"/>
    <xf numFmtId="168" fontId="68" fillId="42" borderId="101" applyNumberFormat="0" applyAlignment="0" applyProtection="0"/>
    <xf numFmtId="169" fontId="68" fillId="42" borderId="101" applyNumberFormat="0" applyAlignment="0" applyProtection="0"/>
    <xf numFmtId="168" fontId="68" fillId="42" borderId="101" applyNumberFormat="0" applyAlignment="0" applyProtection="0"/>
    <xf numFmtId="168" fontId="68" fillId="42" borderId="101" applyNumberFormat="0" applyAlignment="0" applyProtection="0"/>
    <xf numFmtId="169" fontId="68" fillId="42" borderId="101" applyNumberFormat="0" applyAlignment="0" applyProtection="0"/>
    <xf numFmtId="168" fontId="68" fillId="42" borderId="101" applyNumberFormat="0" applyAlignment="0" applyProtection="0"/>
    <xf numFmtId="168" fontId="68" fillId="42" borderId="101" applyNumberFormat="0" applyAlignment="0" applyProtection="0"/>
    <xf numFmtId="169" fontId="68" fillId="42" borderId="101" applyNumberFormat="0" applyAlignment="0" applyProtection="0"/>
    <xf numFmtId="168" fontId="68"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169" fontId="68"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168" fontId="68"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168" fontId="68"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66" fillId="42" borderId="101" applyNumberFormat="0" applyAlignment="0" applyProtection="0"/>
    <xf numFmtId="0" fontId="2" fillId="70" borderId="99" applyNumberFormat="0" applyFont="0" applyBorder="0" applyProtection="0">
      <alignment horizontal="left" vertical="center"/>
    </xf>
    <xf numFmtId="9" fontId="2" fillId="70" borderId="98" applyFont="0" applyProtection="0">
      <alignment horizontal="right" vertical="center"/>
    </xf>
    <xf numFmtId="3" fontId="2" fillId="70" borderId="98" applyFont="0" applyProtection="0">
      <alignment horizontal="right" vertical="center"/>
    </xf>
    <xf numFmtId="0" fontId="62" fillId="69" borderId="99" applyFont="0" applyBorder="0">
      <alignment horizontal="center" wrapText="1"/>
    </xf>
    <xf numFmtId="168" fontId="54" fillId="0" borderId="96">
      <alignment horizontal="left" vertical="center"/>
    </xf>
    <xf numFmtId="0" fontId="54" fillId="0" borderId="96">
      <alignment horizontal="left" vertical="center"/>
    </xf>
    <xf numFmtId="0" fontId="54" fillId="0" borderId="96">
      <alignment horizontal="left" vertical="center"/>
    </xf>
    <xf numFmtId="0" fontId="2" fillId="68" borderId="98" applyNumberFormat="0" applyFont="0" applyBorder="0" applyProtection="0">
      <alignment horizontal="center" vertical="center"/>
    </xf>
    <xf numFmtId="0" fontId="36" fillId="0" borderId="98" applyNumberFormat="0" applyAlignment="0">
      <alignment horizontal="right"/>
      <protection locked="0"/>
    </xf>
    <xf numFmtId="0" fontId="36" fillId="0" borderId="98" applyNumberFormat="0" applyAlignment="0">
      <alignment horizontal="right"/>
      <protection locked="0"/>
    </xf>
    <xf numFmtId="0" fontId="36" fillId="0" borderId="98" applyNumberFormat="0" applyAlignment="0">
      <alignment horizontal="right"/>
      <protection locked="0"/>
    </xf>
    <xf numFmtId="0" fontId="36" fillId="0" borderId="98" applyNumberFormat="0" applyAlignment="0">
      <alignment horizontal="right"/>
      <protection locked="0"/>
    </xf>
    <xf numFmtId="0" fontId="36" fillId="0" borderId="98" applyNumberFormat="0" applyAlignment="0">
      <alignment horizontal="right"/>
      <protection locked="0"/>
    </xf>
    <xf numFmtId="0" fontId="36" fillId="0" borderId="98" applyNumberFormat="0" applyAlignment="0">
      <alignment horizontal="right"/>
      <protection locked="0"/>
    </xf>
    <xf numFmtId="0" fontId="36" fillId="0" borderId="98" applyNumberFormat="0" applyAlignment="0">
      <alignment horizontal="right"/>
      <protection locked="0"/>
    </xf>
    <xf numFmtId="0" fontId="36" fillId="0" borderId="98" applyNumberFormat="0" applyAlignment="0">
      <alignment horizontal="right"/>
      <protection locked="0"/>
    </xf>
    <xf numFmtId="0" fontId="36" fillId="0" borderId="98" applyNumberFormat="0" applyAlignment="0">
      <alignment horizontal="right"/>
      <protection locked="0"/>
    </xf>
    <xf numFmtId="0" fontId="36" fillId="0" borderId="98" applyNumberFormat="0" applyAlignment="0">
      <alignment horizontal="right"/>
      <protection locked="0"/>
    </xf>
    <xf numFmtId="0" fontId="38" fillId="63" borderId="101" applyNumberFormat="0" applyAlignment="0" applyProtection="0"/>
    <xf numFmtId="168" fontId="40" fillId="63" borderId="101" applyNumberFormat="0" applyAlignment="0" applyProtection="0"/>
    <xf numFmtId="169" fontId="40" fillId="63" borderId="101" applyNumberFormat="0" applyAlignment="0" applyProtection="0"/>
    <xf numFmtId="168" fontId="40" fillId="63" borderId="101" applyNumberFormat="0" applyAlignment="0" applyProtection="0"/>
    <xf numFmtId="168" fontId="40" fillId="63" borderId="101" applyNumberFormat="0" applyAlignment="0" applyProtection="0"/>
    <xf numFmtId="169" fontId="40" fillId="63" borderId="101" applyNumberFormat="0" applyAlignment="0" applyProtection="0"/>
    <xf numFmtId="168" fontId="40" fillId="63" borderId="101" applyNumberFormat="0" applyAlignment="0" applyProtection="0"/>
    <xf numFmtId="168" fontId="40" fillId="63" borderId="101" applyNumberFormat="0" applyAlignment="0" applyProtection="0"/>
    <xf numFmtId="169" fontId="40" fillId="63" borderId="101" applyNumberFormat="0" applyAlignment="0" applyProtection="0"/>
    <xf numFmtId="168" fontId="40" fillId="63" borderId="101" applyNumberFormat="0" applyAlignment="0" applyProtection="0"/>
    <xf numFmtId="168" fontId="40" fillId="63" borderId="101" applyNumberFormat="0" applyAlignment="0" applyProtection="0"/>
    <xf numFmtId="169" fontId="40" fillId="63" borderId="101" applyNumberFormat="0" applyAlignment="0" applyProtection="0"/>
    <xf numFmtId="168" fontId="40"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169" fontId="40"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168" fontId="40"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168" fontId="40"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38" fillId="63" borderId="101" applyNumberFormat="0" applyAlignment="0" applyProtection="0"/>
    <xf numFmtId="0" fontId="1" fillId="0" borderId="0"/>
    <xf numFmtId="169" fontId="26" fillId="36" borderId="0"/>
    <xf numFmtId="0" fontId="2" fillId="0" borderId="0">
      <alignment vertical="center"/>
    </xf>
    <xf numFmtId="166" fontId="1" fillId="0" borderId="0" applyFont="0" applyFill="0" applyBorder="0" applyAlignment="0" applyProtection="0"/>
    <xf numFmtId="0" fontId="129" fillId="0" borderId="0"/>
    <xf numFmtId="0" fontId="1" fillId="0" borderId="0"/>
    <xf numFmtId="0" fontId="1" fillId="0" borderId="0"/>
  </cellStyleXfs>
  <cellXfs count="955">
    <xf numFmtId="0" fontId="0" fillId="0" borderId="0" xfId="0"/>
    <xf numFmtId="0" fontId="4" fillId="0" borderId="0" xfId="0" applyFont="1"/>
    <xf numFmtId="0" fontId="0" fillId="0" borderId="0" xfId="0" applyAlignment="1">
      <alignment wrapText="1"/>
    </xf>
    <xf numFmtId="167" fontId="3" fillId="0" borderId="0" xfId="0" applyNumberFormat="1" applyFont="1" applyAlignment="1">
      <alignment horizontal="center"/>
    </xf>
    <xf numFmtId="167" fontId="0" fillId="0" borderId="0" xfId="0" applyNumberFormat="1" applyAlignment="1">
      <alignment horizontal="center"/>
    </xf>
    <xf numFmtId="167" fontId="5" fillId="0" borderId="0" xfId="0" applyNumberFormat="1" applyFont="1" applyAlignment="1">
      <alignment horizontal="center"/>
    </xf>
    <xf numFmtId="0" fontId="4" fillId="0" borderId="3" xfId="0" applyFont="1" applyBorder="1"/>
    <xf numFmtId="0" fontId="9" fillId="0" borderId="16" xfId="0" applyFont="1" applyBorder="1"/>
    <xf numFmtId="0" fontId="12" fillId="0" borderId="0" xfId="0" applyFont="1"/>
    <xf numFmtId="0" fontId="9" fillId="0" borderId="0" xfId="0" applyFont="1" applyAlignment="1">
      <alignment horizontal="right" wrapText="1"/>
    </xf>
    <xf numFmtId="0" fontId="9" fillId="0" borderId="19" xfId="0" applyFont="1" applyBorder="1" applyAlignment="1">
      <alignment vertical="center"/>
    </xf>
    <xf numFmtId="0" fontId="9" fillId="0" borderId="22" xfId="0" applyFont="1" applyBorder="1"/>
    <xf numFmtId="0" fontId="7" fillId="0" borderId="0" xfId="0" applyFont="1"/>
    <xf numFmtId="0" fontId="9" fillId="0" borderId="0" xfId="11" applyFont="1"/>
    <xf numFmtId="0" fontId="9" fillId="0" borderId="0" xfId="0" applyFont="1"/>
    <xf numFmtId="0" fontId="9" fillId="0" borderId="0" xfId="0" applyFont="1" applyAlignment="1">
      <alignment horizontal="right"/>
    </xf>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xf numFmtId="0" fontId="9" fillId="0" borderId="8" xfId="0" applyFont="1" applyBorder="1" applyAlignment="1">
      <alignment wrapText="1"/>
    </xf>
    <xf numFmtId="0" fontId="9" fillId="0" borderId="21" xfId="0" applyFont="1" applyBorder="1" applyAlignment="1">
      <alignment wrapText="1"/>
    </xf>
    <xf numFmtId="0" fontId="6" fillId="0" borderId="0" xfId="0" applyFont="1" applyAlignment="1">
      <alignment horizontal="center"/>
    </xf>
    <xf numFmtId="0" fontId="10" fillId="0" borderId="0" xfId="0" applyFont="1" applyAlignment="1">
      <alignment horizontal="center" wrapText="1"/>
    </xf>
    <xf numFmtId="0" fontId="13" fillId="0" borderId="8" xfId="0" applyFont="1" applyBorder="1" applyAlignment="1">
      <alignment wrapText="1"/>
    </xf>
    <xf numFmtId="0" fontId="4" fillId="0" borderId="21" xfId="0" applyFont="1" applyBorder="1"/>
    <xf numFmtId="0" fontId="23" fillId="0" borderId="0" xfId="0" applyFont="1" applyAlignment="1">
      <alignment horizontal="center" vertical="center"/>
    </xf>
    <xf numFmtId="0" fontId="2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3" fillId="0" borderId="0" xfId="0" applyFont="1"/>
    <xf numFmtId="0" fontId="9" fillId="0" borderId="1" xfId="0" applyFont="1" applyBorder="1"/>
    <xf numFmtId="0" fontId="4" fillId="0" borderId="0" xfId="0" applyFont="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9" xfId="0" applyFont="1" applyBorder="1"/>
    <xf numFmtId="0" fontId="23" fillId="0" borderId="3" xfId="0" applyFont="1" applyBorder="1"/>
    <xf numFmtId="0" fontId="7" fillId="0" borderId="3" xfId="13" applyFont="1" applyBorder="1" applyAlignment="1" applyProtection="1">
      <alignment horizontal="center" vertical="center" wrapText="1"/>
      <protection locked="0"/>
    </xf>
    <xf numFmtId="0" fontId="4" fillId="0" borderId="0" xfId="0" applyFont="1" applyAlignment="1">
      <alignment vertical="center" wrapText="1"/>
    </xf>
    <xf numFmtId="164" fontId="7" fillId="3" borderId="3" xfId="1" applyNumberFormat="1" applyFont="1" applyFill="1" applyBorder="1" applyAlignment="1" applyProtection="1">
      <alignment horizontal="center" vertical="center" wrapText="1"/>
      <protection locked="0"/>
    </xf>
    <xf numFmtId="164" fontId="7" fillId="3" borderId="19" xfId="1" applyNumberFormat="1" applyFont="1" applyFill="1" applyBorder="1" applyAlignment="1" applyProtection="1">
      <alignment horizontal="center" vertical="center" wrapText="1"/>
      <protection locked="0"/>
    </xf>
    <xf numFmtId="164"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Protection="1">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Alignment="1">
      <alignment vertical="center"/>
    </xf>
    <xf numFmtId="0" fontId="4" fillId="0" borderId="19" xfId="0" applyFont="1" applyBorder="1" applyAlignment="1">
      <alignment vertical="center"/>
    </xf>
    <xf numFmtId="0" fontId="9" fillId="2" borderId="22" xfId="0" applyFont="1" applyFill="1" applyBorder="1" applyAlignment="1">
      <alignment horizontal="right" vertical="center"/>
    </xf>
    <xf numFmtId="0" fontId="4" fillId="0" borderId="54" xfId="0" applyFont="1" applyBorder="1"/>
    <xf numFmtId="0" fontId="20" fillId="0" borderId="22" xfId="0" applyFont="1" applyBorder="1" applyAlignment="1">
      <alignment horizontal="center" vertical="center" wrapText="1"/>
    </xf>
    <xf numFmtId="0" fontId="4" fillId="0" borderId="55" xfId="0" applyFont="1" applyBorder="1"/>
    <xf numFmtId="0" fontId="7" fillId="0" borderId="16" xfId="9" applyFont="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4" fontId="7" fillId="3" borderId="18" xfId="2" applyNumberFormat="1" applyFont="1" applyFill="1" applyBorder="1" applyAlignment="1" applyProtection="1">
      <alignment horizontal="center" vertical="center"/>
      <protection locked="0"/>
    </xf>
    <xf numFmtId="0" fontId="7" fillId="0" borderId="19" xfId="9" applyFont="1" applyBorder="1" applyAlignment="1" applyProtection="1">
      <alignment horizontal="center" vertical="center"/>
      <protection locked="0"/>
    </xf>
    <xf numFmtId="0" fontId="7" fillId="0" borderId="0" xfId="13" applyFont="1" applyAlignment="1" applyProtection="1">
      <alignment wrapText="1"/>
      <protection locked="0"/>
    </xf>
    <xf numFmtId="0" fontId="7" fillId="0" borderId="19" xfId="9" applyFont="1" applyBorder="1" applyAlignment="1" applyProtection="1">
      <alignment horizontal="center" vertical="center" wrapText="1"/>
      <protection locked="0"/>
    </xf>
    <xf numFmtId="0" fontId="15" fillId="35" borderId="23" xfId="13" applyFont="1" applyFill="1" applyBorder="1" applyAlignment="1" applyProtection="1">
      <alignment vertical="center" wrapText="1"/>
      <protection locked="0"/>
    </xf>
    <xf numFmtId="167" fontId="23" fillId="0" borderId="60" xfId="0" applyNumberFormat="1" applyFont="1" applyBorder="1" applyAlignment="1">
      <alignment horizontal="center"/>
    </xf>
    <xf numFmtId="167" fontId="23" fillId="0" borderId="58" xfId="0" applyNumberFormat="1" applyFont="1" applyBorder="1" applyAlignment="1">
      <alignment horizontal="center"/>
    </xf>
    <xf numFmtId="167" fontId="19" fillId="0" borderId="58" xfId="0" applyNumberFormat="1" applyFont="1" applyBorder="1" applyAlignment="1">
      <alignment horizontal="center"/>
    </xf>
    <xf numFmtId="167" fontId="23" fillId="0" borderId="61" xfId="0" applyNumberFormat="1" applyFont="1" applyBorder="1" applyAlignment="1">
      <alignment horizontal="center"/>
    </xf>
    <xf numFmtId="167" fontId="23" fillId="0" borderId="62" xfId="0" applyNumberFormat="1"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3" xfId="0" applyFont="1" applyBorder="1"/>
    <xf numFmtId="0" fontId="4" fillId="0" borderId="17" xfId="0" applyFont="1" applyBorder="1"/>
    <xf numFmtId="0" fontId="4" fillId="0" borderId="22" xfId="0" applyFont="1" applyBorder="1"/>
    <xf numFmtId="0" fontId="7" fillId="3" borderId="19" xfId="5" applyFont="1" applyFill="1" applyBorder="1" applyAlignment="1" applyProtection="1">
      <alignment horizontal="right" vertical="center"/>
      <protection locked="0"/>
    </xf>
    <xf numFmtId="0" fontId="15" fillId="3" borderId="23" xfId="16" applyFont="1" applyFill="1" applyBorder="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1" fillId="0" borderId="0" xfId="0" applyFont="1"/>
    <xf numFmtId="0" fontId="9" fillId="3" borderId="3" xfId="20960" applyFont="1" applyFill="1" applyBorder="1" applyAlignment="1">
      <alignment horizontal="left" wrapText="1" indent="1"/>
    </xf>
    <xf numFmtId="0" fontId="9" fillId="0" borderId="3" xfId="20960" applyFont="1" applyBorder="1" applyAlignment="1">
      <alignment horizontal="left" wrapText="1" indent="1"/>
    </xf>
    <xf numFmtId="0" fontId="103" fillId="0" borderId="3" xfId="20960" applyFont="1" applyBorder="1" applyAlignment="1">
      <alignment horizontal="center" vertical="center"/>
    </xf>
    <xf numFmtId="0" fontId="104" fillId="0" borderId="0" xfId="0" applyFont="1" applyAlignment="1">
      <alignment wrapText="1"/>
    </xf>
    <xf numFmtId="0" fontId="9" fillId="0" borderId="2" xfId="20960" applyFont="1" applyBorder="1" applyAlignment="1">
      <alignment horizontal="left" wrapText="1" indent="1"/>
    </xf>
    <xf numFmtId="0" fontId="15" fillId="0" borderId="17" xfId="11" applyFont="1" applyBorder="1" applyAlignment="1">
      <alignment horizontal="center" vertical="center"/>
    </xf>
    <xf numFmtId="0" fontId="9" fillId="0" borderId="0" xfId="11" applyFont="1" applyAlignment="1">
      <alignment horizontal="left"/>
    </xf>
    <xf numFmtId="0" fontId="18" fillId="0" borderId="0" xfId="11" applyFont="1" applyAlignment="1">
      <alignment horizontal="right"/>
    </xf>
    <xf numFmtId="0" fontId="0" fillId="0" borderId="16" xfId="0" applyBorder="1" applyAlignment="1">
      <alignment horizontal="center" vertical="center"/>
    </xf>
    <xf numFmtId="0" fontId="6" fillId="35" borderId="27" xfId="0" applyFont="1" applyFill="1" applyBorder="1" applyAlignment="1">
      <alignment wrapText="1"/>
    </xf>
    <xf numFmtId="0" fontId="4" fillId="0" borderId="9" xfId="0" applyFont="1" applyBorder="1" applyAlignment="1">
      <alignment vertical="center" wrapText="1"/>
    </xf>
    <xf numFmtId="0" fontId="6" fillId="35" borderId="9" xfId="0" applyFont="1" applyFill="1" applyBorder="1" applyAlignment="1">
      <alignment wrapText="1"/>
    </xf>
    <xf numFmtId="0" fontId="6" fillId="35" borderId="68" xfId="0" applyFont="1" applyFill="1" applyBorder="1" applyAlignment="1">
      <alignment wrapText="1"/>
    </xf>
    <xf numFmtId="0" fontId="15" fillId="0" borderId="0" xfId="11" applyFont="1" applyAlignment="1">
      <alignment horizontal="center" vertical="center" wrapText="1"/>
    </xf>
    <xf numFmtId="0" fontId="4" fillId="0" borderId="19" xfId="0" applyFont="1" applyBorder="1" applyAlignment="1">
      <alignment horizontal="center" vertical="center" wrapText="1"/>
    </xf>
    <xf numFmtId="0" fontId="4" fillId="0" borderId="9" xfId="0" applyFont="1" applyBorder="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Border="1" applyAlignment="1">
      <alignment vertical="center"/>
    </xf>
    <xf numFmtId="0" fontId="10" fillId="0" borderId="0" xfId="11" applyFont="1" applyAlignment="1">
      <alignment horizontal="center"/>
    </xf>
    <xf numFmtId="0" fontId="4" fillId="0" borderId="6" xfId="0" applyFont="1" applyBorder="1" applyAlignment="1">
      <alignment horizontal="center" vertical="center" wrapText="1"/>
    </xf>
    <xf numFmtId="0" fontId="18" fillId="0" borderId="0" xfId="0" applyFont="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9"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8" fillId="0" borderId="1" xfId="0" applyFont="1" applyBorder="1" applyAlignment="1">
      <alignment horizontal="center"/>
    </xf>
    <xf numFmtId="0" fontId="4" fillId="0" borderId="22" xfId="0" applyFont="1" applyBorder="1" applyAlignment="1">
      <alignment horizontal="center" vertical="center"/>
    </xf>
    <xf numFmtId="0" fontId="106" fillId="0" borderId="0" xfId="0" applyFont="1"/>
    <xf numFmtId="49" fontId="106" fillId="0" borderId="7" xfId="0" applyNumberFormat="1" applyFont="1" applyBorder="1" applyAlignment="1">
      <alignment horizontal="right" vertical="center"/>
    </xf>
    <xf numFmtId="49" fontId="106" fillId="0" borderId="76" xfId="0" applyNumberFormat="1" applyFont="1" applyBorder="1" applyAlignment="1">
      <alignment horizontal="right" vertical="center"/>
    </xf>
    <xf numFmtId="49" fontId="106" fillId="0" borderId="79" xfId="0" applyNumberFormat="1" applyFont="1" applyBorder="1" applyAlignment="1">
      <alignment horizontal="right" vertical="center"/>
    </xf>
    <xf numFmtId="49" fontId="106" fillId="0" borderId="84" xfId="0" applyNumberFormat="1" applyFont="1" applyBorder="1" applyAlignment="1">
      <alignment horizontal="right" vertical="center"/>
    </xf>
    <xf numFmtId="0" fontId="106" fillId="0" borderId="0" xfId="0" applyFont="1" applyAlignment="1">
      <alignment horizontal="left"/>
    </xf>
    <xf numFmtId="0" fontId="106" fillId="0" borderId="84" xfId="0" applyFont="1" applyBorder="1" applyAlignment="1">
      <alignment horizontal="right" vertical="center"/>
    </xf>
    <xf numFmtId="49" fontId="106" fillId="0" borderId="0" xfId="0" applyNumberFormat="1" applyFont="1" applyAlignment="1">
      <alignment horizontal="right" vertical="center"/>
    </xf>
    <xf numFmtId="0" fontId="106" fillId="0" borderId="0" xfId="0" applyFont="1" applyAlignment="1">
      <alignment vertical="center" wrapText="1"/>
    </xf>
    <xf numFmtId="0" fontId="106" fillId="0" borderId="0" xfId="0" applyFont="1" applyAlignment="1">
      <alignment horizontal="left" vertical="center" wrapText="1"/>
    </xf>
    <xf numFmtId="0" fontId="9" fillId="0" borderId="0" xfId="0" applyFont="1" applyAlignment="1">
      <alignment horizontal="left" wrapText="1"/>
    </xf>
    <xf numFmtId="0" fontId="9" fillId="0" borderId="1" xfId="11" applyFont="1" applyBorder="1"/>
    <xf numFmtId="0" fontId="15" fillId="0" borderId="1" xfId="11" applyFont="1" applyBorder="1" applyAlignment="1">
      <alignment horizontal="left" vertical="center"/>
    </xf>
    <xf numFmtId="0" fontId="7" fillId="3" borderId="3" xfId="20960" applyFont="1" applyFill="1" applyBorder="1" applyAlignment="1">
      <alignment horizontal="right" indent="1"/>
    </xf>
    <xf numFmtId="0" fontId="7" fillId="3" borderId="2" xfId="20960" applyFont="1" applyFill="1" applyBorder="1" applyAlignment="1">
      <alignment horizontal="right" indent="1"/>
    </xf>
    <xf numFmtId="193" fontId="9" fillId="2" borderId="23" xfId="0" applyNumberFormat="1" applyFont="1" applyFill="1" applyBorder="1" applyAlignment="1" applyProtection="1">
      <alignment vertical="center"/>
      <protection locked="0"/>
    </xf>
    <xf numFmtId="3" fontId="21" fillId="35" borderId="23" xfId="0" applyNumberFormat="1" applyFont="1" applyFill="1" applyBorder="1" applyAlignment="1">
      <alignment vertical="center" wrapText="1"/>
    </xf>
    <xf numFmtId="3" fontId="21" fillId="35" borderId="24" xfId="0" applyNumberFormat="1" applyFont="1" applyFill="1" applyBorder="1" applyAlignment="1">
      <alignment vertical="center" wrapText="1"/>
    </xf>
    <xf numFmtId="193" fontId="0" fillId="35" borderId="18" xfId="0" applyNumberFormat="1" applyFill="1" applyBorder="1" applyAlignment="1">
      <alignment horizontal="center" vertical="center"/>
    </xf>
    <xf numFmtId="193" fontId="0" fillId="0" borderId="20" xfId="0" applyNumberFormat="1" applyBorder="1"/>
    <xf numFmtId="193" fontId="0" fillId="0" borderId="20" xfId="0" applyNumberFormat="1" applyBorder="1" applyAlignment="1">
      <alignment wrapText="1"/>
    </xf>
    <xf numFmtId="193" fontId="0" fillId="35" borderId="20" xfId="0" applyNumberFormat="1" applyFill="1" applyBorder="1" applyAlignment="1">
      <alignment horizontal="center" vertical="center" wrapText="1"/>
    </xf>
    <xf numFmtId="193" fontId="0" fillId="35" borderId="24" xfId="0" applyNumberFormat="1" applyFill="1" applyBorder="1" applyAlignment="1">
      <alignment horizontal="center" vertical="center" wrapText="1"/>
    </xf>
    <xf numFmtId="193" fontId="7" fillId="35" borderId="20" xfId="2" applyNumberFormat="1" applyFont="1" applyFill="1" applyBorder="1" applyAlignment="1" applyProtection="1">
      <alignment vertical="top"/>
    </xf>
    <xf numFmtId="193" fontId="7" fillId="3" borderId="20" xfId="2" applyNumberFormat="1" applyFont="1" applyFill="1" applyBorder="1" applyAlignment="1" applyProtection="1">
      <alignment vertical="top"/>
      <protection locked="0"/>
    </xf>
    <xf numFmtId="193" fontId="7" fillId="35" borderId="20" xfId="2" applyNumberFormat="1" applyFont="1" applyFill="1" applyBorder="1" applyAlignment="1" applyProtection="1">
      <alignment vertical="top" wrapText="1"/>
    </xf>
    <xf numFmtId="193" fontId="7" fillId="3" borderId="20" xfId="2" applyNumberFormat="1" applyFont="1" applyFill="1" applyBorder="1" applyAlignment="1" applyProtection="1">
      <alignment vertical="top" wrapText="1"/>
      <protection locked="0"/>
    </xf>
    <xf numFmtId="193" fontId="7" fillId="35" borderId="20" xfId="2" applyNumberFormat="1" applyFont="1" applyFill="1" applyBorder="1" applyAlignment="1" applyProtection="1">
      <alignment vertical="top" wrapText="1"/>
      <protection locked="0"/>
    </xf>
    <xf numFmtId="193" fontId="7" fillId="35" borderId="24" xfId="2" applyNumberFormat="1" applyFont="1" applyFill="1" applyBorder="1" applyAlignment="1" applyProtection="1">
      <alignment vertical="top" wrapText="1"/>
    </xf>
    <xf numFmtId="193" fontId="19" fillId="0" borderId="13" xfId="0" applyNumberFormat="1" applyFont="1" applyBorder="1" applyAlignment="1">
      <alignment vertical="center"/>
    </xf>
    <xf numFmtId="193" fontId="4" fillId="0" borderId="3" xfId="0" applyNumberFormat="1" applyFont="1" applyBorder="1"/>
    <xf numFmtId="193" fontId="4" fillId="35" borderId="23" xfId="0" applyNumberFormat="1" applyFont="1" applyFill="1" applyBorder="1"/>
    <xf numFmtId="193" fontId="4" fillId="0" borderId="19" xfId="0" applyNumberFormat="1" applyFont="1" applyBorder="1"/>
    <xf numFmtId="193" fontId="4" fillId="0" borderId="20" xfId="0" applyNumberFormat="1" applyFont="1" applyBorder="1"/>
    <xf numFmtId="193" fontId="4" fillId="35" borderId="51" xfId="0" applyNumberFormat="1" applyFont="1" applyFill="1" applyBorder="1"/>
    <xf numFmtId="193" fontId="4" fillId="35" borderId="22" xfId="0" applyNumberFormat="1" applyFont="1" applyFill="1" applyBorder="1"/>
    <xf numFmtId="193" fontId="4" fillId="35" borderId="24" xfId="0" applyNumberFormat="1" applyFont="1" applyFill="1" applyBorder="1"/>
    <xf numFmtId="193" fontId="4" fillId="35" borderId="52" xfId="0" applyNumberFormat="1" applyFont="1" applyFill="1" applyBorder="1"/>
    <xf numFmtId="0" fontId="4" fillId="0" borderId="26" xfId="0" applyFont="1" applyBorder="1" applyAlignment="1">
      <alignment horizontal="center" vertical="center"/>
    </xf>
    <xf numFmtId="0" fontId="4" fillId="0" borderId="26" xfId="0" applyFont="1" applyBorder="1" applyAlignment="1">
      <alignment wrapText="1"/>
    </xf>
    <xf numFmtId="193" fontId="4" fillId="0" borderId="21" xfId="0" applyNumberFormat="1" applyFont="1" applyBorder="1"/>
    <xf numFmtId="193" fontId="4" fillId="0" borderId="21" xfId="0" applyNumberFormat="1" applyFont="1" applyBorder="1" applyAlignment="1">
      <alignment wrapText="1"/>
    </xf>
    <xf numFmtId="0" fontId="4" fillId="0" borderId="3" xfId="0" applyFont="1" applyBorder="1" applyAlignment="1">
      <alignment horizontal="center" vertical="center" wrapText="1"/>
    </xf>
    <xf numFmtId="9" fontId="107" fillId="0" borderId="3" xfId="0" applyNumberFormat="1" applyFont="1" applyBorder="1" applyAlignment="1">
      <alignment horizontal="center" vertical="center"/>
    </xf>
    <xf numFmtId="0" fontId="6" fillId="0" borderId="0" xfId="0" applyFont="1" applyAlignment="1">
      <alignment horizontal="center" wrapText="1"/>
    </xf>
    <xf numFmtId="9" fontId="4" fillId="0" borderId="20" xfId="20961" applyFont="1" applyBorder="1"/>
    <xf numFmtId="167" fontId="6" fillId="35" borderId="23" xfId="0" applyNumberFormat="1" applyFont="1" applyFill="1" applyBorder="1" applyAlignment="1">
      <alignment horizontal="center" vertical="center"/>
    </xf>
    <xf numFmtId="0" fontId="9" fillId="0" borderId="16" xfId="0" applyFont="1" applyBorder="1" applyAlignment="1">
      <alignment horizontal="right" vertical="center" wrapText="1"/>
    </xf>
    <xf numFmtId="0" fontId="7" fillId="0" borderId="17" xfId="0" applyFont="1" applyBorder="1" applyAlignment="1">
      <alignment vertical="center" wrapText="1"/>
    </xf>
    <xf numFmtId="169" fontId="26" fillId="36" borderId="0" xfId="20"/>
    <xf numFmtId="169" fontId="26" fillId="36" borderId="92" xfId="20" applyBorder="1"/>
    <xf numFmtId="0" fontId="4" fillId="0" borderId="7" xfId="0" applyFont="1" applyBorder="1" applyAlignment="1">
      <alignment vertical="center"/>
    </xf>
    <xf numFmtId="0" fontId="4" fillId="0" borderId="98" xfId="0" applyFont="1" applyBorder="1" applyAlignment="1">
      <alignment vertical="center"/>
    </xf>
    <xf numFmtId="0" fontId="6" fillId="0" borderId="98" xfId="0" applyFont="1" applyBorder="1" applyAlignment="1">
      <alignment vertical="center"/>
    </xf>
    <xf numFmtId="0" fontId="4" fillId="0" borderId="17" xfId="0" applyFont="1" applyBorder="1" applyAlignment="1">
      <alignment vertical="center"/>
    </xf>
    <xf numFmtId="0" fontId="4" fillId="0" borderId="94" xfId="0" applyFont="1" applyBorder="1" applyAlignment="1">
      <alignment vertical="center"/>
    </xf>
    <xf numFmtId="0" fontId="4" fillId="0" borderId="95" xfId="0" applyFont="1" applyBorder="1" applyAlignment="1">
      <alignment vertical="center"/>
    </xf>
    <xf numFmtId="0" fontId="4" fillId="0" borderId="16" xfId="0" applyFont="1" applyBorder="1" applyAlignment="1">
      <alignment horizontal="center" vertical="center"/>
    </xf>
    <xf numFmtId="0" fontId="4" fillId="0" borderId="106" xfId="0" applyFont="1" applyBorder="1" applyAlignment="1">
      <alignment horizontal="center" vertical="center"/>
    </xf>
    <xf numFmtId="0" fontId="4" fillId="0" borderId="108" xfId="0" applyFont="1" applyBorder="1" applyAlignment="1">
      <alignment horizontal="center" vertical="center"/>
    </xf>
    <xf numFmtId="169" fontId="26" fillId="36" borderId="29" xfId="20" applyBorder="1"/>
    <xf numFmtId="169" fontId="26" fillId="36" borderId="109" xfId="20" applyBorder="1"/>
    <xf numFmtId="169" fontId="26" fillId="36" borderId="100" xfId="20" applyBorder="1"/>
    <xf numFmtId="169" fontId="26" fillId="36" borderId="55" xfId="20" applyBorder="1"/>
    <xf numFmtId="0" fontId="4" fillId="3" borderId="63" xfId="0" applyFont="1" applyFill="1" applyBorder="1" applyAlignment="1">
      <alignment horizontal="center" vertical="center"/>
    </xf>
    <xf numFmtId="0" fontId="4" fillId="3" borderId="0" xfId="0" applyFont="1" applyFill="1" applyAlignment="1">
      <alignment vertical="center"/>
    </xf>
    <xf numFmtId="0" fontId="4" fillId="0" borderId="69" xfId="0" applyFont="1" applyBorder="1" applyAlignment="1">
      <alignment horizontal="center" vertical="center"/>
    </xf>
    <xf numFmtId="0" fontId="4" fillId="3" borderId="96" xfId="0" applyFont="1" applyFill="1" applyBorder="1" applyAlignment="1">
      <alignment vertical="center"/>
    </xf>
    <xf numFmtId="0" fontId="14" fillId="3" borderId="110" xfId="0" applyFont="1" applyFill="1" applyBorder="1" applyAlignment="1">
      <alignment horizontal="left"/>
    </xf>
    <xf numFmtId="0" fontId="14" fillId="3" borderId="111" xfId="0" applyFont="1" applyFill="1" applyBorder="1" applyAlignment="1">
      <alignment horizontal="left"/>
    </xf>
    <xf numFmtId="0" fontId="4" fillId="0" borderId="98" xfId="0" applyFont="1" applyBorder="1" applyAlignment="1">
      <alignment horizontal="center" vertical="center" wrapText="1"/>
    </xf>
    <xf numFmtId="0" fontId="106" fillId="0" borderId="86" xfId="0" applyFont="1" applyBorder="1" applyAlignment="1">
      <alignment horizontal="right" vertical="center"/>
    </xf>
    <xf numFmtId="0" fontId="4" fillId="0" borderId="112" xfId="0" applyFont="1" applyBorder="1" applyAlignment="1">
      <alignment horizontal="center" vertical="center" wrapText="1"/>
    </xf>
    <xf numFmtId="0" fontId="6" fillId="3" borderId="113" xfId="0" applyFont="1" applyFill="1" applyBorder="1" applyAlignment="1">
      <alignment vertical="center"/>
    </xf>
    <xf numFmtId="0" fontId="4" fillId="3" borderId="21" xfId="0" applyFont="1" applyFill="1" applyBorder="1" applyAlignment="1">
      <alignment vertical="center"/>
    </xf>
    <xf numFmtId="0" fontId="4" fillId="0" borderId="114" xfId="0" applyFont="1" applyBorder="1" applyAlignment="1">
      <alignment horizontal="center" vertical="center"/>
    </xf>
    <xf numFmtId="0" fontId="6" fillId="0" borderId="23" xfId="0" applyFont="1" applyBorder="1" applyAlignment="1">
      <alignment vertical="center"/>
    </xf>
    <xf numFmtId="169" fontId="26" fillId="36" borderId="25" xfId="20" applyBorder="1"/>
    <xf numFmtId="0" fontId="4" fillId="0" borderId="7" xfId="0" applyFont="1" applyBorder="1" applyAlignment="1">
      <alignment horizontal="center" vertical="center" wrapText="1"/>
    </xf>
    <xf numFmtId="0" fontId="4" fillId="0" borderId="64" xfId="0" applyFont="1" applyBorder="1" applyAlignment="1">
      <alignment horizontal="center" vertical="center" wrapText="1"/>
    </xf>
    <xf numFmtId="0" fontId="7" fillId="0" borderId="16" xfId="11" applyFont="1" applyBorder="1" applyAlignment="1">
      <alignment vertical="center"/>
    </xf>
    <xf numFmtId="0" fontId="7" fillId="0" borderId="17" xfId="11" applyFont="1" applyBorder="1" applyAlignment="1">
      <alignment vertical="center"/>
    </xf>
    <xf numFmtId="0" fontId="15" fillId="0" borderId="18" xfId="11" applyFont="1" applyBorder="1" applyAlignment="1">
      <alignment horizontal="center" vertical="center"/>
    </xf>
    <xf numFmtId="0" fontId="0" fillId="0" borderId="114" xfId="0" applyBorder="1"/>
    <xf numFmtId="0" fontId="0" fillId="0" borderId="22" xfId="0" applyBorder="1"/>
    <xf numFmtId="0" fontId="6" fillId="35" borderId="115" xfId="0" applyFont="1" applyFill="1" applyBorder="1" applyAlignment="1">
      <alignment vertical="center" wrapText="1"/>
    </xf>
    <xf numFmtId="0" fontId="7" fillId="0" borderId="0" xfId="0" applyFont="1" applyAlignment="1">
      <alignment wrapText="1"/>
    </xf>
    <xf numFmtId="0" fontId="6" fillId="35" borderId="17" xfId="0" applyFont="1" applyFill="1" applyBorder="1" applyAlignment="1">
      <alignment horizontal="center" vertical="center" wrapText="1"/>
    </xf>
    <xf numFmtId="0" fontId="6" fillId="35" borderId="18" xfId="0" applyFont="1" applyFill="1" applyBorder="1" applyAlignment="1">
      <alignment horizontal="center" vertical="center" wrapText="1"/>
    </xf>
    <xf numFmtId="0" fontId="6" fillId="35" borderId="114" xfId="0" applyFont="1" applyFill="1" applyBorder="1" applyAlignment="1">
      <alignment horizontal="left" vertical="center" wrapText="1"/>
    </xf>
    <xf numFmtId="0" fontId="6" fillId="35" borderId="98" xfId="0" applyFont="1" applyFill="1" applyBorder="1" applyAlignment="1">
      <alignment horizontal="left" vertical="center" wrapText="1"/>
    </xf>
    <xf numFmtId="0" fontId="6" fillId="35" borderId="112" xfId="0" applyFont="1" applyFill="1" applyBorder="1" applyAlignment="1">
      <alignment horizontal="left" vertical="center" wrapText="1"/>
    </xf>
    <xf numFmtId="0" fontId="4" fillId="0" borderId="114" xfId="0" applyFont="1" applyBorder="1" applyAlignment="1">
      <alignment horizontal="right" vertical="center" wrapText="1"/>
    </xf>
    <xf numFmtId="0" fontId="4" fillId="0" borderId="98" xfId="0" applyFont="1" applyBorder="1" applyAlignment="1">
      <alignment horizontal="left" vertical="center" wrapText="1"/>
    </xf>
    <xf numFmtId="0" fontId="109" fillId="0" borderId="114" xfId="0" applyFont="1" applyBorder="1" applyAlignment="1">
      <alignment horizontal="right" vertical="center" wrapText="1"/>
    </xf>
    <xf numFmtId="0" fontId="109" fillId="0" borderId="98" xfId="0" applyFont="1" applyBorder="1" applyAlignment="1">
      <alignment horizontal="left" vertical="center" wrapText="1"/>
    </xf>
    <xf numFmtId="0" fontId="6" fillId="0" borderId="114" xfId="0" applyFont="1" applyBorder="1" applyAlignment="1">
      <alignment horizontal="left" vertical="center" wrapText="1"/>
    </xf>
    <xf numFmtId="0" fontId="6" fillId="0" borderId="0" xfId="21410" applyFont="1" applyAlignment="1" applyProtection="1">
      <alignment horizontal="left" vertical="center"/>
      <protection locked="0"/>
    </xf>
    <xf numFmtId="0" fontId="4" fillId="0" borderId="0" xfId="0" applyFont="1" applyAlignment="1">
      <alignment horizontal="left" vertical="center"/>
    </xf>
    <xf numFmtId="0" fontId="109" fillId="0" borderId="0" xfId="0" applyFont="1" applyAlignment="1">
      <alignment horizontal="left" vertical="center"/>
    </xf>
    <xf numFmtId="49" fontId="110" fillId="0" borderId="22" xfId="5" applyNumberFormat="1" applyFont="1" applyBorder="1" applyAlignment="1" applyProtection="1">
      <alignment horizontal="left" vertical="center"/>
      <protection locked="0"/>
    </xf>
    <xf numFmtId="0" fontId="111" fillId="0" borderId="23" xfId="9" applyFont="1" applyBorder="1" applyAlignment="1" applyProtection="1">
      <alignment horizontal="left" vertical="center" wrapText="1"/>
      <protection locked="0"/>
    </xf>
    <xf numFmtId="0" fontId="20" fillId="0" borderId="114" xfId="0" applyFont="1" applyBorder="1" applyAlignment="1">
      <alignment horizontal="center" vertical="center" wrapText="1"/>
    </xf>
    <xf numFmtId="3" fontId="21" fillId="35" borderId="98" xfId="0" applyNumberFormat="1" applyFont="1" applyFill="1" applyBorder="1" applyAlignment="1">
      <alignment vertical="center" wrapText="1"/>
    </xf>
    <xf numFmtId="3" fontId="21" fillId="35" borderId="112" xfId="0" applyNumberFormat="1" applyFont="1" applyFill="1" applyBorder="1" applyAlignment="1">
      <alignment vertical="center" wrapText="1"/>
    </xf>
    <xf numFmtId="14" fontId="7" fillId="3" borderId="98" xfId="8" quotePrefix="1" applyNumberFormat="1" applyFont="1" applyFill="1" applyBorder="1" applyAlignment="1" applyProtection="1">
      <alignment horizontal="left" vertical="center" wrapText="1" indent="2"/>
      <protection locked="0"/>
    </xf>
    <xf numFmtId="3" fontId="21" fillId="0" borderId="98" xfId="0" applyNumberFormat="1" applyFont="1" applyBorder="1" applyAlignment="1">
      <alignment vertical="center" wrapText="1"/>
    </xf>
    <xf numFmtId="14" fontId="7" fillId="3" borderId="98" xfId="8" quotePrefix="1" applyNumberFormat="1" applyFont="1" applyFill="1" applyBorder="1" applyAlignment="1" applyProtection="1">
      <alignment horizontal="left" vertical="center" wrapText="1" indent="3"/>
      <protection locked="0"/>
    </xf>
    <xf numFmtId="0" fontId="11" fillId="0" borderId="98" xfId="17" applyFill="1" applyBorder="1" applyAlignment="1" applyProtection="1"/>
    <xf numFmtId="49" fontId="109" fillId="0" borderId="114" xfId="0" applyNumberFormat="1" applyFont="1" applyBorder="1" applyAlignment="1">
      <alignment horizontal="right" vertical="center" wrapText="1"/>
    </xf>
    <xf numFmtId="0" fontId="7" fillId="3" borderId="98" xfId="20960" applyFont="1" applyFill="1" applyBorder="1"/>
    <xf numFmtId="0" fontId="103" fillId="0" borderId="98" xfId="20960" applyFont="1" applyBorder="1" applyAlignment="1">
      <alignment horizontal="center" vertical="center"/>
    </xf>
    <xf numFmtId="0" fontId="4" fillId="0" borderId="98" xfId="0" applyFont="1" applyBorder="1"/>
    <xf numFmtId="0" fontId="11" fillId="0" borderId="98" xfId="17" applyFill="1" applyBorder="1" applyAlignment="1" applyProtection="1">
      <alignment horizontal="left" vertical="center" wrapText="1"/>
    </xf>
    <xf numFmtId="49" fontId="109" fillId="0" borderId="98" xfId="0" applyNumberFormat="1" applyFont="1" applyBorder="1" applyAlignment="1">
      <alignment horizontal="right" vertical="center" wrapText="1"/>
    </xf>
    <xf numFmtId="0" fontId="11" fillId="0" borderId="98" xfId="17" applyFill="1" applyBorder="1" applyAlignment="1" applyProtection="1">
      <alignment horizontal="left" vertical="center"/>
    </xf>
    <xf numFmtId="10" fontId="7" fillId="0" borderId="98" xfId="20961" applyNumberFormat="1" applyFont="1" applyFill="1" applyBorder="1" applyAlignment="1">
      <alignment horizontal="left" vertical="center" wrapText="1"/>
    </xf>
    <xf numFmtId="10" fontId="4" fillId="0" borderId="98" xfId="20961" applyNumberFormat="1" applyFont="1" applyFill="1" applyBorder="1" applyAlignment="1">
      <alignment horizontal="left" vertical="center" wrapText="1"/>
    </xf>
    <xf numFmtId="10" fontId="6" fillId="35" borderId="98" xfId="0" applyNumberFormat="1" applyFont="1" applyFill="1" applyBorder="1" applyAlignment="1">
      <alignment horizontal="left" vertical="center" wrapText="1"/>
    </xf>
    <xf numFmtId="10" fontId="109" fillId="0" borderId="98" xfId="20961" applyNumberFormat="1" applyFont="1" applyFill="1" applyBorder="1" applyAlignment="1">
      <alignment horizontal="left" vertical="center" wrapText="1"/>
    </xf>
    <xf numFmtId="10" fontId="6" fillId="35" borderId="98" xfId="20961" applyNumberFormat="1" applyFont="1" applyFill="1" applyBorder="1" applyAlignment="1">
      <alignment horizontal="left" vertical="center" wrapText="1"/>
    </xf>
    <xf numFmtId="10" fontId="6" fillId="35" borderId="98" xfId="0" applyNumberFormat="1" applyFont="1" applyFill="1" applyBorder="1" applyAlignment="1">
      <alignment horizontal="center" vertical="center" wrapText="1"/>
    </xf>
    <xf numFmtId="10" fontId="111" fillId="0" borderId="23" xfId="20961" applyNumberFormat="1" applyFont="1" applyFill="1" applyBorder="1" applyAlignment="1" applyProtection="1">
      <alignment horizontal="left" vertical="center"/>
    </xf>
    <xf numFmtId="43" fontId="7" fillId="0" borderId="0" xfId="7" applyFont="1"/>
    <xf numFmtId="0" fontId="107" fillId="0" borderId="0" xfId="0" applyFont="1" applyAlignment="1">
      <alignment wrapText="1"/>
    </xf>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9" fillId="0" borderId="114" xfId="0" applyFont="1" applyBorder="1" applyAlignment="1">
      <alignment horizontal="right" vertical="center" wrapText="1"/>
    </xf>
    <xf numFmtId="0" fontId="7" fillId="0" borderId="98" xfId="0" applyFont="1" applyBorder="1" applyAlignment="1">
      <alignment vertical="center" wrapText="1"/>
    </xf>
    <xf numFmtId="0" fontId="4" fillId="0" borderId="98" xfId="0" applyFont="1" applyBorder="1" applyAlignment="1">
      <alignment vertical="center" wrapText="1"/>
    </xf>
    <xf numFmtId="0" fontId="4" fillId="0" borderId="98" xfId="0" applyFont="1" applyBorder="1" applyAlignment="1">
      <alignment horizontal="left" vertical="center" wrapText="1" indent="2"/>
    </xf>
    <xf numFmtId="3" fontId="21" fillId="35" borderId="99" xfId="0" applyNumberFormat="1" applyFont="1" applyFill="1" applyBorder="1" applyAlignment="1">
      <alignment vertical="center" wrapText="1"/>
    </xf>
    <xf numFmtId="3" fontId="21" fillId="35" borderId="21" xfId="0" applyNumberFormat="1" applyFont="1" applyFill="1" applyBorder="1" applyAlignment="1">
      <alignment vertical="center" wrapText="1"/>
    </xf>
    <xf numFmtId="3" fontId="21" fillId="35" borderId="25" xfId="0" applyNumberFormat="1" applyFont="1" applyFill="1" applyBorder="1" applyAlignment="1">
      <alignment vertical="center" wrapText="1"/>
    </xf>
    <xf numFmtId="3" fontId="21" fillId="35" borderId="37" xfId="0" applyNumberFormat="1" applyFont="1" applyFill="1" applyBorder="1" applyAlignment="1">
      <alignment vertical="center" wrapText="1"/>
    </xf>
    <xf numFmtId="0" fontId="6" fillId="0" borderId="23" xfId="0" applyFont="1" applyBorder="1" applyAlignment="1">
      <alignment vertical="center" wrapText="1"/>
    </xf>
    <xf numFmtId="0" fontId="4" fillId="0" borderId="112" xfId="0" applyFont="1" applyBorder="1"/>
    <xf numFmtId="0" fontId="9" fillId="0" borderId="112" xfId="0" applyFont="1" applyBorder="1"/>
    <xf numFmtId="0" fontId="10" fillId="0" borderId="18" xfId="0" applyFont="1" applyBorder="1" applyAlignment="1">
      <alignment horizontal="center"/>
    </xf>
    <xf numFmtId="0" fontId="10" fillId="0" borderId="112" xfId="0" applyFont="1" applyBorder="1" applyAlignment="1">
      <alignment horizontal="center" vertical="center" wrapText="1"/>
    </xf>
    <xf numFmtId="0" fontId="2" fillId="0" borderId="17" xfId="0" applyFont="1" applyBorder="1" applyAlignment="1">
      <alignment horizontal="left" vertical="center" wrapText="1" indent="1"/>
    </xf>
    <xf numFmtId="0" fontId="2" fillId="0" borderId="18" xfId="0" applyFont="1" applyBorder="1" applyAlignment="1">
      <alignment horizontal="left" vertical="center" wrapText="1" indent="1"/>
    </xf>
    <xf numFmtId="0" fontId="9" fillId="0" borderId="114" xfId="0" applyFont="1" applyBorder="1" applyAlignment="1">
      <alignment horizontal="center" vertical="center" wrapText="1"/>
    </xf>
    <xf numFmtId="0" fontId="15" fillId="0" borderId="98" xfId="0" applyFont="1" applyBorder="1" applyAlignment="1">
      <alignment horizontal="center" vertical="center" wrapText="1"/>
    </xf>
    <xf numFmtId="0" fontId="16" fillId="0" borderId="98" xfId="0" applyFont="1" applyBorder="1" applyAlignment="1">
      <alignment horizontal="left" vertical="center" wrapText="1"/>
    </xf>
    <xf numFmtId="193" fontId="7" fillId="0" borderId="98" xfId="0" applyNumberFormat="1" applyFont="1" applyBorder="1" applyAlignment="1" applyProtection="1">
      <alignment vertical="center" wrapText="1"/>
      <protection locked="0"/>
    </xf>
    <xf numFmtId="193" fontId="7" fillId="0" borderId="98" xfId="0" applyNumberFormat="1" applyFont="1" applyBorder="1" applyAlignment="1" applyProtection="1">
      <alignment horizontal="right" vertical="center" wrapText="1"/>
      <protection locked="0"/>
    </xf>
    <xf numFmtId="0" fontId="9" fillId="2" borderId="114" xfId="0" applyFont="1" applyFill="1" applyBorder="1" applyAlignment="1">
      <alignment horizontal="right" vertical="center"/>
    </xf>
    <xf numFmtId="0" fontId="9" fillId="2" borderId="98" xfId="0" applyFont="1" applyFill="1" applyBorder="1" applyAlignment="1">
      <alignment vertical="center"/>
    </xf>
    <xf numFmtId="193" fontId="9" fillId="2" borderId="98" xfId="0" applyNumberFormat="1" applyFont="1" applyFill="1" applyBorder="1" applyAlignment="1" applyProtection="1">
      <alignment vertical="center"/>
      <protection locked="0"/>
    </xf>
    <xf numFmtId="0" fontId="15" fillId="0" borderId="114" xfId="0" applyFont="1" applyBorder="1" applyAlignment="1">
      <alignment horizontal="center" vertical="center" wrapText="1"/>
    </xf>
    <xf numFmtId="14" fontId="4" fillId="0" borderId="0" xfId="0" applyNumberFormat="1" applyFont="1"/>
    <xf numFmtId="10" fontId="4" fillId="0" borderId="98" xfId="20961" applyNumberFormat="1" applyFont="1" applyFill="1" applyBorder="1" applyAlignment="1" applyProtection="1">
      <alignment horizontal="right" vertical="center" wrapText="1"/>
      <protection locked="0"/>
    </xf>
    <xf numFmtId="0" fontId="4" fillId="3" borderId="54" xfId="0" applyFont="1" applyFill="1" applyBorder="1"/>
    <xf numFmtId="0" fontId="4" fillId="3" borderId="117" xfId="0" applyFont="1" applyFill="1" applyBorder="1" applyAlignment="1">
      <alignment wrapText="1"/>
    </xf>
    <xf numFmtId="0" fontId="4" fillId="3" borderId="118" xfId="0" applyFont="1" applyFill="1" applyBorder="1"/>
    <xf numFmtId="0" fontId="6" fillId="3" borderId="11" xfId="0" applyFont="1" applyFill="1" applyBorder="1" applyAlignment="1">
      <alignment horizontal="center" wrapText="1"/>
    </xf>
    <xf numFmtId="0" fontId="4" fillId="0" borderId="98" xfId="0" applyFont="1" applyBorder="1" applyAlignment="1">
      <alignment horizontal="center"/>
    </xf>
    <xf numFmtId="0" fontId="4" fillId="3" borderId="63" xfId="0" applyFont="1" applyFill="1" applyBorder="1"/>
    <xf numFmtId="0" fontId="6" fillId="3" borderId="0" xfId="0" applyFont="1" applyFill="1" applyAlignment="1">
      <alignment horizontal="center" wrapText="1"/>
    </xf>
    <xf numFmtId="0" fontId="4" fillId="3" borderId="0" xfId="0" applyFont="1" applyFill="1" applyAlignment="1">
      <alignment horizontal="center"/>
    </xf>
    <xf numFmtId="0" fontId="4" fillId="3" borderId="92" xfId="0" applyFont="1" applyFill="1" applyBorder="1" applyAlignment="1">
      <alignment horizontal="center" vertical="center" wrapText="1"/>
    </xf>
    <xf numFmtId="0" fontId="4" fillId="0" borderId="114" xfId="0" applyFont="1" applyBorder="1"/>
    <xf numFmtId="0" fontId="4" fillId="0" borderId="98" xfId="0" applyFont="1" applyBorder="1" applyAlignment="1">
      <alignment wrapText="1"/>
    </xf>
    <xf numFmtId="164" fontId="4" fillId="0" borderId="98" xfId="7" applyNumberFormat="1" applyFont="1" applyBorder="1"/>
    <xf numFmtId="164" fontId="4" fillId="0" borderId="112" xfId="7" applyNumberFormat="1" applyFont="1" applyBorder="1"/>
    <xf numFmtId="0" fontId="14" fillId="0" borderId="98" xfId="0" applyFont="1" applyBorder="1" applyAlignment="1">
      <alignment horizontal="left" wrapText="1" indent="2"/>
    </xf>
    <xf numFmtId="169" fontId="26" fillId="36" borderId="98" xfId="20" applyBorder="1"/>
    <xf numFmtId="164" fontId="4" fillId="0" borderId="98" xfId="7" applyNumberFormat="1" applyFont="1" applyBorder="1" applyAlignment="1">
      <alignment vertical="center"/>
    </xf>
    <xf numFmtId="0" fontId="6" fillId="0" borderId="114" xfId="0" applyFont="1" applyBorder="1"/>
    <xf numFmtId="0" fontId="6" fillId="0" borderId="98" xfId="0" applyFont="1" applyBorder="1" applyAlignment="1">
      <alignment wrapText="1"/>
    </xf>
    <xf numFmtId="164" fontId="6" fillId="0" borderId="112" xfId="7" applyNumberFormat="1" applyFont="1" applyBorder="1"/>
    <xf numFmtId="0" fontId="3" fillId="3" borderId="63" xfId="0" applyFont="1" applyFill="1" applyBorder="1" applyAlignment="1">
      <alignment horizontal="left"/>
    </xf>
    <xf numFmtId="164" fontId="4" fillId="3" borderId="0" xfId="7" applyNumberFormat="1" applyFont="1" applyFill="1" applyBorder="1"/>
    <xf numFmtId="164" fontId="4" fillId="3" borderId="0" xfId="7" applyNumberFormat="1" applyFont="1" applyFill="1" applyBorder="1" applyAlignment="1">
      <alignment vertical="center"/>
    </xf>
    <xf numFmtId="164" fontId="4" fillId="3" borderId="92" xfId="7" applyNumberFormat="1" applyFont="1" applyFill="1" applyBorder="1"/>
    <xf numFmtId="164" fontId="4" fillId="0" borderId="98" xfId="7" applyNumberFormat="1" applyFont="1" applyFill="1" applyBorder="1"/>
    <xf numFmtId="164" fontId="4" fillId="0" borderId="98" xfId="7" applyNumberFormat="1" applyFont="1" applyFill="1" applyBorder="1" applyAlignment="1">
      <alignment vertical="center"/>
    </xf>
    <xf numFmtId="0" fontId="14" fillId="0" borderId="98"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92" xfId="0" applyFont="1" applyFill="1" applyBorder="1"/>
    <xf numFmtId="0" fontId="6" fillId="0" borderId="22" xfId="0" applyFont="1" applyBorder="1"/>
    <xf numFmtId="0" fontId="6" fillId="0" borderId="23" xfId="0" applyFont="1" applyBorder="1" applyAlignment="1">
      <alignment wrapText="1"/>
    </xf>
    <xf numFmtId="169" fontId="26" fillId="36" borderId="115" xfId="20" applyBorder="1"/>
    <xf numFmtId="10" fontId="6" fillId="0" borderId="24" xfId="20961" applyNumberFormat="1" applyFont="1" applyBorder="1"/>
    <xf numFmtId="0" fontId="9" fillId="2" borderId="106" xfId="0" applyFont="1" applyFill="1" applyBorder="1" applyAlignment="1">
      <alignment horizontal="right" vertical="center"/>
    </xf>
    <xf numFmtId="0" fontId="9" fillId="2" borderId="94" xfId="0" applyFont="1" applyFill="1" applyBorder="1" applyAlignment="1">
      <alignment vertical="center"/>
    </xf>
    <xf numFmtId="193" fontId="9" fillId="2" borderId="94" xfId="0" applyNumberFormat="1" applyFont="1" applyFill="1" applyBorder="1" applyAlignment="1" applyProtection="1">
      <alignment vertical="center"/>
      <protection locked="0"/>
    </xf>
    <xf numFmtId="0" fontId="9" fillId="0" borderId="98" xfId="0" applyFont="1" applyBorder="1" applyAlignment="1">
      <alignment horizontal="left" vertical="center" wrapText="1"/>
    </xf>
    <xf numFmtId="0" fontId="6" fillId="3" borderId="0" xfId="0" applyFont="1" applyFill="1" applyAlignment="1">
      <alignment horizontal="center"/>
    </xf>
    <xf numFmtId="0" fontId="106" fillId="0" borderId="86" xfId="0" applyFont="1" applyBorder="1" applyAlignment="1">
      <alignment horizontal="left" vertical="center"/>
    </xf>
    <xf numFmtId="0" fontId="106" fillId="0" borderId="84" xfId="0" applyFont="1" applyBorder="1" applyAlignment="1">
      <alignment vertical="center" wrapText="1"/>
    </xf>
    <xf numFmtId="0" fontId="106" fillId="0" borderId="84" xfId="0" applyFont="1" applyBorder="1" applyAlignment="1">
      <alignment horizontal="left" vertical="center" wrapText="1"/>
    </xf>
    <xf numFmtId="0" fontId="116" fillId="0" borderId="0" xfId="11" applyFont="1"/>
    <xf numFmtId="0" fontId="117" fillId="0" borderId="0" xfId="0" applyFont="1"/>
    <xf numFmtId="0" fontId="118" fillId="0" borderId="0" xfId="11" applyFont="1"/>
    <xf numFmtId="14" fontId="117" fillId="0" borderId="0" xfId="0" applyNumberFormat="1" applyFont="1"/>
    <xf numFmtId="0" fontId="117" fillId="0" borderId="0" xfId="0" applyFont="1" applyAlignment="1">
      <alignment wrapText="1"/>
    </xf>
    <xf numFmtId="0" fontId="120" fillId="0" borderId="0" xfId="0" applyFont="1"/>
    <xf numFmtId="0" fontId="117" fillId="0" borderId="0" xfId="0" applyFont="1" applyAlignment="1">
      <alignment horizontal="left"/>
    </xf>
    <xf numFmtId="0" fontId="119" fillId="0" borderId="128" xfId="0" applyFont="1" applyBorder="1" applyAlignment="1">
      <alignment horizontal="left" vertical="center" wrapText="1"/>
    </xf>
    <xf numFmtId="0" fontId="125" fillId="0" borderId="0" xfId="0" applyFont="1"/>
    <xf numFmtId="49" fontId="106" fillId="0" borderId="98" xfId="0" applyNumberFormat="1" applyFont="1" applyBorder="1" applyAlignment="1">
      <alignment horizontal="right" vertical="center"/>
    </xf>
    <xf numFmtId="0" fontId="126" fillId="0" borderId="0" xfId="0" applyFont="1"/>
    <xf numFmtId="0" fontId="117" fillId="0" borderId="0" xfId="0" applyFont="1" applyAlignment="1">
      <alignment horizontal="left" indent="1"/>
    </xf>
    <xf numFmtId="0" fontId="117" fillId="0" borderId="0" xfId="0" applyFont="1" applyAlignment="1">
      <alignment horizontal="left" indent="2"/>
    </xf>
    <xf numFmtId="49" fontId="117" fillId="0" borderId="0" xfId="0" applyNumberFormat="1" applyFont="1" applyAlignment="1">
      <alignment horizontal="left" indent="3"/>
    </xf>
    <xf numFmtId="49" fontId="117" fillId="0" borderId="0" xfId="0" applyNumberFormat="1" applyFont="1" applyAlignment="1">
      <alignment horizontal="left" indent="1"/>
    </xf>
    <xf numFmtId="49" fontId="117" fillId="0" borderId="0" xfId="0" applyNumberFormat="1" applyFont="1" applyAlignment="1">
      <alignment horizontal="left" wrapText="1" indent="2"/>
    </xf>
    <xf numFmtId="49" fontId="117" fillId="0" borderId="0" xfId="0" applyNumberFormat="1" applyFont="1" applyAlignment="1">
      <alignment horizontal="left" wrapText="1" indent="3"/>
    </xf>
    <xf numFmtId="0" fontId="117" fillId="0" borderId="0" xfId="0" applyFont="1" applyAlignment="1">
      <alignment horizontal="left" wrapText="1" indent="1"/>
    </xf>
    <xf numFmtId="0" fontId="117" fillId="0" borderId="0" xfId="0" applyFont="1" applyAlignment="1">
      <alignment horizontal="left" vertical="top" wrapText="1"/>
    </xf>
    <xf numFmtId="193" fontId="7" fillId="3" borderId="112" xfId="2" applyNumberFormat="1" applyFont="1" applyFill="1" applyBorder="1" applyAlignment="1" applyProtection="1">
      <alignment vertical="top" wrapText="1"/>
      <protection locked="0"/>
    </xf>
    <xf numFmtId="0" fontId="9" fillId="0" borderId="98" xfId="0" applyFont="1" applyBorder="1" applyAlignment="1">
      <alignment horizontal="center" vertical="center" wrapText="1"/>
    </xf>
    <xf numFmtId="0" fontId="3" fillId="0" borderId="98" xfId="0" applyFont="1" applyBorder="1" applyAlignment="1">
      <alignment horizontal="center" vertical="center"/>
    </xf>
    <xf numFmtId="0" fontId="130" fillId="3" borderId="98" xfId="21414" applyFont="1" applyFill="1" applyBorder="1" applyAlignment="1">
      <alignment horizontal="left" vertical="center" wrapText="1"/>
    </xf>
    <xf numFmtId="0" fontId="0" fillId="0" borderId="98" xfId="0" applyBorder="1"/>
    <xf numFmtId="0" fontId="131" fillId="0" borderId="98" xfId="21414" applyFont="1" applyBorder="1" applyAlignment="1">
      <alignment horizontal="left" vertical="center" wrapText="1" indent="1"/>
    </xf>
    <xf numFmtId="0" fontId="132" fillId="3" borderId="98" xfId="21414" applyFont="1" applyFill="1" applyBorder="1" applyAlignment="1">
      <alignment horizontal="left" vertical="center" wrapText="1"/>
    </xf>
    <xf numFmtId="0" fontId="131" fillId="3" borderId="98" xfId="21414" applyFont="1" applyFill="1" applyBorder="1" applyAlignment="1">
      <alignment horizontal="left" vertical="center" wrapText="1" indent="1"/>
    </xf>
    <xf numFmtId="0" fontId="130" fillId="0" borderId="135" xfId="0" applyFont="1" applyBorder="1" applyAlignment="1">
      <alignment horizontal="left" vertical="center" wrapText="1"/>
    </xf>
    <xf numFmtId="0" fontId="132" fillId="0" borderId="135" xfId="0" applyFont="1" applyBorder="1" applyAlignment="1">
      <alignment horizontal="left" vertical="center" wrapText="1"/>
    </xf>
    <xf numFmtId="0" fontId="133" fillId="3" borderId="135" xfId="0" applyFont="1" applyFill="1" applyBorder="1" applyAlignment="1">
      <alignment horizontal="left" vertical="center" wrapText="1" indent="1"/>
    </xf>
    <xf numFmtId="0" fontId="132" fillId="3" borderId="135" xfId="0" applyFont="1" applyFill="1" applyBorder="1" applyAlignment="1">
      <alignment horizontal="left" vertical="center" wrapText="1"/>
    </xf>
    <xf numFmtId="0" fontId="132" fillId="3" borderId="136" xfId="0" applyFont="1" applyFill="1" applyBorder="1" applyAlignment="1">
      <alignment horizontal="left" vertical="center" wrapText="1"/>
    </xf>
    <xf numFmtId="0" fontId="133" fillId="0" borderId="135" xfId="0" applyFont="1" applyBorder="1" applyAlignment="1">
      <alignment horizontal="left" vertical="center" wrapText="1" indent="1"/>
    </xf>
    <xf numFmtId="0" fontId="133" fillId="0" borderId="98" xfId="21414" applyFont="1" applyBorder="1" applyAlignment="1">
      <alignment horizontal="left" vertical="center" wrapText="1" indent="1"/>
    </xf>
    <xf numFmtId="0" fontId="132" fillId="0" borderId="98" xfId="21414" applyFont="1" applyBorder="1" applyAlignment="1">
      <alignment horizontal="left" vertical="center" wrapText="1"/>
    </xf>
    <xf numFmtId="0" fontId="134" fillId="0" borderId="98" xfId="21414" applyFont="1" applyBorder="1" applyAlignment="1">
      <alignment horizontal="center" vertical="center" wrapText="1"/>
    </xf>
    <xf numFmtId="0" fontId="132" fillId="3" borderId="137" xfId="0" applyFont="1" applyFill="1" applyBorder="1" applyAlignment="1">
      <alignment horizontal="left" vertical="center" wrapText="1"/>
    </xf>
    <xf numFmtId="0" fontId="0" fillId="0" borderId="138" xfId="0" applyBorder="1"/>
    <xf numFmtId="0" fontId="131" fillId="3" borderId="138" xfId="21414" applyFont="1" applyFill="1" applyBorder="1" applyAlignment="1">
      <alignment horizontal="left" vertical="center" wrapText="1" indent="1"/>
    </xf>
    <xf numFmtId="0" fontId="131" fillId="3" borderId="135" xfId="0" applyFont="1" applyFill="1" applyBorder="1" applyAlignment="1">
      <alignment horizontal="left" vertical="center" wrapText="1" indent="1"/>
    </xf>
    <xf numFmtId="0" fontId="131" fillId="0" borderId="138" xfId="21414" applyFont="1" applyBorder="1" applyAlignment="1">
      <alignment horizontal="left" vertical="center" wrapText="1" indent="1"/>
    </xf>
    <xf numFmtId="0" fontId="131" fillId="0" borderId="135" xfId="0" applyFont="1" applyBorder="1" applyAlignment="1">
      <alignment horizontal="left" vertical="center" wrapText="1" indent="1"/>
    </xf>
    <xf numFmtId="0" fontId="131" fillId="0" borderId="136" xfId="0" applyFont="1" applyBorder="1" applyAlignment="1">
      <alignment horizontal="left" vertical="center" wrapText="1" indent="1"/>
    </xf>
    <xf numFmtId="0" fontId="132" fillId="0" borderId="138" xfId="21414" applyFont="1" applyBorder="1" applyAlignment="1">
      <alignment horizontal="left" vertical="center" wrapText="1"/>
    </xf>
    <xf numFmtId="0" fontId="132" fillId="3" borderId="138" xfId="21414" applyFont="1" applyFill="1" applyBorder="1" applyAlignment="1">
      <alignment horizontal="left" vertical="center" wrapText="1"/>
    </xf>
    <xf numFmtId="0" fontId="134" fillId="0" borderId="138" xfId="21414" applyFont="1" applyBorder="1" applyAlignment="1">
      <alignment horizontal="center" vertical="center" wrapText="1"/>
    </xf>
    <xf numFmtId="0" fontId="135" fillId="0" borderId="138" xfId="0" applyFont="1" applyBorder="1" applyAlignment="1">
      <alignment horizontal="left"/>
    </xf>
    <xf numFmtId="0" fontId="132" fillId="0" borderId="138" xfId="0" applyFont="1" applyBorder="1" applyAlignment="1">
      <alignment horizontal="left" vertical="center" wrapText="1"/>
    </xf>
    <xf numFmtId="0" fontId="0" fillId="0" borderId="0" xfId="0" applyAlignment="1">
      <alignment horizontal="left" vertical="center"/>
    </xf>
    <xf numFmtId="0" fontId="9" fillId="0" borderId="138" xfId="0" applyFont="1" applyBorder="1" applyAlignment="1">
      <alignment horizontal="center" vertical="center" wrapText="1"/>
    </xf>
    <xf numFmtId="0" fontId="132" fillId="0" borderId="143" xfId="0" applyFont="1" applyBorder="1" applyAlignment="1">
      <alignment horizontal="justify" vertical="center" wrapText="1"/>
    </xf>
    <xf numFmtId="0" fontId="131" fillId="0" borderId="137" xfId="0" applyFont="1" applyBorder="1" applyAlignment="1">
      <alignment horizontal="left" vertical="center" wrapText="1" indent="1"/>
    </xf>
    <xf numFmtId="0" fontId="132" fillId="0" borderId="135" xfId="0" applyFont="1" applyBorder="1" applyAlignment="1">
      <alignment horizontal="justify" vertical="center" wrapText="1"/>
    </xf>
    <xf numFmtId="0" fontId="130" fillId="0" borderId="135" xfId="0" applyFont="1" applyBorder="1" applyAlignment="1">
      <alignment horizontal="justify" vertical="center" wrapText="1"/>
    </xf>
    <xf numFmtId="0" fontId="132" fillId="3" borderId="135" xfId="0" applyFont="1" applyFill="1" applyBorder="1" applyAlignment="1">
      <alignment horizontal="justify" vertical="center" wrapText="1"/>
    </xf>
    <xf numFmtId="0" fontId="132" fillId="0" borderId="136" xfId="0" applyFont="1" applyBorder="1" applyAlignment="1">
      <alignment horizontal="justify" vertical="center" wrapText="1"/>
    </xf>
    <xf numFmtId="0" fontId="132" fillId="0" borderId="137" xfId="0" applyFont="1" applyBorder="1" applyAlignment="1">
      <alignment horizontal="justify" vertical="center" wrapText="1"/>
    </xf>
    <xf numFmtId="0" fontId="132" fillId="0" borderId="138" xfId="21414" applyFont="1" applyBorder="1" applyAlignment="1">
      <alignment horizontal="justify" vertical="center" wrapText="1"/>
    </xf>
    <xf numFmtId="0" fontId="133" fillId="0" borderId="129" xfId="0" applyFont="1" applyBorder="1" applyAlignment="1">
      <alignment horizontal="left" vertical="center" wrapText="1" indent="1"/>
    </xf>
    <xf numFmtId="0" fontId="130" fillId="0" borderId="135" xfId="0" applyFont="1" applyBorder="1" applyAlignment="1">
      <alignment vertical="center" wrapText="1"/>
    </xf>
    <xf numFmtId="0" fontId="132" fillId="0" borderId="135" xfId="0" applyFont="1" applyBorder="1" applyAlignment="1">
      <alignment vertical="center" wrapText="1"/>
    </xf>
    <xf numFmtId="0" fontId="132" fillId="0" borderId="138" xfId="21414" applyFont="1" applyBorder="1" applyAlignment="1">
      <alignment vertical="center" wrapText="1"/>
    </xf>
    <xf numFmtId="0" fontId="9" fillId="0" borderId="112" xfId="0" applyFont="1" applyBorder="1" applyAlignment="1">
      <alignment horizontal="center" vertical="center" wrapText="1"/>
    </xf>
    <xf numFmtId="0" fontId="0" fillId="0" borderId="138" xfId="0" applyBorder="1" applyAlignment="1">
      <alignment horizontal="center"/>
    </xf>
    <xf numFmtId="193" fontId="9" fillId="0" borderId="138" xfId="0" applyNumberFormat="1" applyFont="1" applyBorder="1" applyAlignment="1">
      <alignment horizontal="right"/>
    </xf>
    <xf numFmtId="193" fontId="9" fillId="35" borderId="138" xfId="0" applyNumberFormat="1" applyFont="1" applyFill="1" applyBorder="1" applyAlignment="1">
      <alignment horizontal="right"/>
    </xf>
    <xf numFmtId="193" fontId="9" fillId="35" borderId="112" xfId="0" applyNumberFormat="1" applyFont="1" applyFill="1" applyBorder="1" applyAlignment="1">
      <alignment horizontal="right"/>
    </xf>
    <xf numFmtId="0" fontId="15" fillId="0" borderId="138" xfId="0" applyFont="1" applyBorder="1" applyAlignment="1">
      <alignment vertical="center" wrapText="1"/>
    </xf>
    <xf numFmtId="0" fontId="7" fillId="0" borderId="138" xfId="0" applyFont="1" applyBorder="1" applyAlignment="1">
      <alignment horizontal="left" vertical="center" wrapText="1" indent="1"/>
    </xf>
    <xf numFmtId="0" fontId="3" fillId="0" borderId="138" xfId="0" applyFont="1" applyBorder="1" applyAlignment="1">
      <alignment vertical="center"/>
    </xf>
    <xf numFmtId="0" fontId="136" fillId="0" borderId="138" xfId="0" applyFont="1" applyBorder="1" applyAlignment="1" applyProtection="1">
      <alignment horizontal="left" vertical="center" indent="1"/>
      <protection locked="0"/>
    </xf>
    <xf numFmtId="0" fontId="137" fillId="0" borderId="138" xfId="0" applyFont="1" applyBorder="1" applyAlignment="1" applyProtection="1">
      <alignment horizontal="left" vertical="center" indent="3"/>
      <protection locked="0"/>
    </xf>
    <xf numFmtId="0" fontId="138" fillId="0" borderId="138" xfId="0" applyFont="1" applyBorder="1" applyAlignment="1" applyProtection="1">
      <alignment horizontal="left" vertical="center" indent="3"/>
      <protection locked="0"/>
    </xf>
    <xf numFmtId="0" fontId="3" fillId="0" borderId="138" xfId="0" applyFont="1" applyBorder="1"/>
    <xf numFmtId="0" fontId="0" fillId="0" borderId="0" xfId="0" applyAlignment="1">
      <alignment horizontal="center"/>
    </xf>
    <xf numFmtId="193" fontId="9" fillId="0" borderId="0" xfId="0" applyNumberFormat="1" applyFont="1" applyAlignment="1">
      <alignment horizontal="right"/>
    </xf>
    <xf numFmtId="49" fontId="106" fillId="0" borderId="138" xfId="0" applyNumberFormat="1" applyFont="1" applyBorder="1" applyAlignment="1">
      <alignment horizontal="right" vertical="center"/>
    </xf>
    <xf numFmtId="0" fontId="0" fillId="0" borderId="138" xfId="0" applyBorder="1" applyAlignment="1">
      <alignment horizontal="center" vertical="center"/>
    </xf>
    <xf numFmtId="43" fontId="4" fillId="0" borderId="98" xfId="7" applyFont="1" applyBorder="1" applyAlignment="1">
      <alignment vertical="center"/>
    </xf>
    <xf numFmtId="0" fontId="0" fillId="0" borderId="142" xfId="0" applyBorder="1" applyAlignment="1">
      <alignment horizontal="center"/>
    </xf>
    <xf numFmtId="0" fontId="131" fillId="0" borderId="142" xfId="21414" applyFont="1" applyBorder="1" applyAlignment="1">
      <alignment horizontal="left" vertical="center" wrapText="1" indent="1"/>
    </xf>
    <xf numFmtId="0" fontId="131" fillId="3" borderId="138" xfId="0" applyFont="1" applyFill="1" applyBorder="1" applyAlignment="1">
      <alignment horizontal="left" vertical="center" wrapText="1" indent="1"/>
    </xf>
    <xf numFmtId="167" fontId="23" fillId="0" borderId="138" xfId="0" applyNumberFormat="1" applyFont="1" applyBorder="1" applyAlignment="1">
      <alignment horizontal="center"/>
    </xf>
    <xf numFmtId="0" fontId="23" fillId="0" borderId="138" xfId="0" applyFont="1" applyBorder="1"/>
    <xf numFmtId="0" fontId="131" fillId="0" borderId="138" xfId="0" applyFont="1" applyBorder="1" applyAlignment="1">
      <alignment horizontal="left" vertical="center" wrapText="1" indent="1"/>
    </xf>
    <xf numFmtId="0" fontId="133" fillId="3" borderId="138" xfId="0" applyFont="1" applyFill="1" applyBorder="1" applyAlignment="1">
      <alignment horizontal="left" vertical="center" wrapText="1" indent="1"/>
    </xf>
    <xf numFmtId="0" fontId="133" fillId="0" borderId="138" xfId="0" applyFont="1" applyBorder="1" applyAlignment="1">
      <alignment horizontal="left" vertical="center" wrapText="1" indent="1"/>
    </xf>
    <xf numFmtId="167" fontId="22" fillId="0" borderId="56" xfId="0" applyNumberFormat="1" applyFont="1" applyBorder="1" applyAlignment="1">
      <alignment horizontal="center"/>
    </xf>
    <xf numFmtId="167" fontId="18" fillId="0" borderId="58" xfId="0" applyNumberFormat="1" applyFont="1" applyBorder="1" applyAlignment="1">
      <alignment horizontal="center"/>
    </xf>
    <xf numFmtId="193" fontId="23" fillId="0" borderId="12" xfId="0" applyNumberFormat="1" applyFont="1" applyBorder="1" applyAlignment="1">
      <alignment horizontal="center" vertical="center"/>
    </xf>
    <xf numFmtId="193" fontId="19" fillId="0" borderId="12" xfId="0" applyNumberFormat="1" applyFont="1" applyBorder="1" applyAlignment="1">
      <alignment horizontal="center" vertical="center"/>
    </xf>
    <xf numFmtId="193" fontId="23" fillId="0" borderId="13" xfId="0" applyNumberFormat="1" applyFont="1" applyBorder="1" applyAlignment="1">
      <alignment horizontal="center" vertical="center"/>
    </xf>
    <xf numFmtId="193" fontId="22" fillId="0" borderId="14" xfId="0" applyNumberFormat="1" applyFont="1" applyBorder="1" applyAlignment="1">
      <alignment horizontal="center" vertical="center"/>
    </xf>
    <xf numFmtId="193" fontId="23" fillId="0" borderId="138" xfId="0" applyNumberFormat="1" applyFont="1" applyBorder="1" applyAlignment="1">
      <alignment horizontal="center" vertical="center"/>
    </xf>
    <xf numFmtId="0" fontId="23" fillId="0" borderId="138" xfId="0" applyFont="1" applyBorder="1" applyAlignment="1">
      <alignment horizontal="center"/>
    </xf>
    <xf numFmtId="0" fontId="23" fillId="0" borderId="138" xfId="0" applyFont="1" applyBorder="1" applyAlignment="1">
      <alignment horizontal="center" vertical="center"/>
    </xf>
    <xf numFmtId="193" fontId="22" fillId="0" borderId="30" xfId="0" applyNumberFormat="1" applyFont="1" applyBorder="1" applyAlignment="1">
      <alignment horizontal="center" vertical="center"/>
    </xf>
    <xf numFmtId="193" fontId="104" fillId="0" borderId="12" xfId="0" applyNumberFormat="1" applyFont="1" applyBorder="1" applyAlignment="1">
      <alignment horizontal="center" vertical="center"/>
    </xf>
    <xf numFmtId="193" fontId="22" fillId="0" borderId="12" xfId="0" applyNumberFormat="1" applyFont="1" applyBorder="1" applyAlignment="1">
      <alignment horizontal="center" vertical="center"/>
    </xf>
    <xf numFmtId="193" fontId="22" fillId="0" borderId="15" xfId="0" applyNumberFormat="1" applyFont="1" applyBorder="1" applyAlignment="1">
      <alignment horizontal="center" vertical="center"/>
    </xf>
    <xf numFmtId="193" fontId="22" fillId="0" borderId="13" xfId="0" applyNumberFormat="1" applyFont="1" applyBorder="1" applyAlignment="1">
      <alignment horizontal="center" vertical="center"/>
    </xf>
    <xf numFmtId="193" fontId="22" fillId="0" borderId="138" xfId="0" applyNumberFormat="1" applyFont="1" applyBorder="1" applyAlignment="1">
      <alignment horizontal="center" vertical="center"/>
    </xf>
    <xf numFmtId="0" fontId="22" fillId="0" borderId="138" xfId="0" applyFont="1" applyBorder="1" applyAlignment="1">
      <alignment horizontal="center" vertical="center"/>
    </xf>
    <xf numFmtId="0" fontId="120" fillId="0" borderId="138" xfId="0" applyFont="1" applyBorder="1"/>
    <xf numFmtId="49" fontId="122" fillId="0" borderId="138" xfId="5" applyNumberFormat="1" applyFont="1" applyBorder="1" applyAlignment="1" applyProtection="1">
      <alignment horizontal="right" vertical="center"/>
      <protection locked="0"/>
    </xf>
    <xf numFmtId="0" fontId="121" fillId="3" borderId="138" xfId="13" applyFont="1" applyFill="1" applyBorder="1" applyAlignment="1" applyProtection="1">
      <alignment horizontal="left" vertical="center" wrapText="1"/>
      <protection locked="0"/>
    </xf>
    <xf numFmtId="49" fontId="121" fillId="3" borderId="138" xfId="5" applyNumberFormat="1" applyFont="1" applyFill="1" applyBorder="1" applyAlignment="1" applyProtection="1">
      <alignment horizontal="right" vertical="center"/>
      <protection locked="0"/>
    </xf>
    <xf numFmtId="0" fontId="121" fillId="0" borderId="138" xfId="13" applyFont="1" applyBorder="1" applyAlignment="1" applyProtection="1">
      <alignment horizontal="left" vertical="center" wrapText="1"/>
      <protection locked="0"/>
    </xf>
    <xf numFmtId="49" fontId="121" fillId="0" borderId="138" xfId="5" applyNumberFormat="1" applyFont="1" applyBorder="1" applyAlignment="1" applyProtection="1">
      <alignment horizontal="right" vertical="center"/>
      <protection locked="0"/>
    </xf>
    <xf numFmtId="0" fontId="123" fillId="0" borderId="138" xfId="13" applyFont="1" applyBorder="1" applyAlignment="1" applyProtection="1">
      <alignment horizontal="left" vertical="center" wrapText="1"/>
      <protection locked="0"/>
    </xf>
    <xf numFmtId="0" fontId="120" fillId="0" borderId="138" xfId="0" applyFont="1" applyBorder="1" applyAlignment="1">
      <alignment horizontal="center" vertical="center" wrapText="1"/>
    </xf>
    <xf numFmtId="166" fontId="116" fillId="35" borderId="146" xfId="21413" applyFont="1" applyFill="1" applyBorder="1"/>
    <xf numFmtId="0" fontId="116" fillId="0" borderId="146" xfId="0" applyFont="1" applyBorder="1"/>
    <xf numFmtId="0" fontId="116" fillId="0" borderId="146" xfId="0" applyFont="1" applyBorder="1" applyAlignment="1">
      <alignment horizontal="left" indent="8"/>
    </xf>
    <xf numFmtId="0" fontId="116" fillId="0" borderId="146" xfId="0" applyFont="1" applyBorder="1" applyAlignment="1">
      <alignment wrapText="1"/>
    </xf>
    <xf numFmtId="0" fontId="119" fillId="0" borderId="146" xfId="0" applyFont="1" applyBorder="1"/>
    <xf numFmtId="49" fontId="122" fillId="0" borderId="146" xfId="5" applyNumberFormat="1" applyFont="1" applyBorder="1" applyAlignment="1" applyProtection="1">
      <alignment horizontal="right" vertical="center" wrapText="1"/>
      <protection locked="0"/>
    </xf>
    <xf numFmtId="49" fontId="121" fillId="3" borderId="146" xfId="5" applyNumberFormat="1" applyFont="1" applyFill="1" applyBorder="1" applyAlignment="1" applyProtection="1">
      <alignment horizontal="right" vertical="center" wrapText="1"/>
      <protection locked="0"/>
    </xf>
    <xf numFmtId="49" fontId="121" fillId="0" borderId="146" xfId="5" applyNumberFormat="1" applyFont="1" applyBorder="1" applyAlignment="1" applyProtection="1">
      <alignment horizontal="right" vertical="center" wrapText="1"/>
      <protection locked="0"/>
    </xf>
    <xf numFmtId="0" fontId="116" fillId="0" borderId="146" xfId="0" applyFont="1" applyBorder="1" applyAlignment="1">
      <alignment horizontal="center" vertical="center" wrapText="1"/>
    </xf>
    <xf numFmtId="0" fontId="116" fillId="0" borderId="147" xfId="0" applyFont="1" applyBorder="1" applyAlignment="1">
      <alignment horizontal="center" vertical="center" wrapText="1"/>
    </xf>
    <xf numFmtId="0" fontId="116" fillId="0" borderId="146" xfId="0" applyFont="1" applyBorder="1" applyAlignment="1">
      <alignment horizontal="center" vertical="center"/>
    </xf>
    <xf numFmtId="0" fontId="116" fillId="0" borderId="0" xfId="0" applyFont="1"/>
    <xf numFmtId="0" fontId="116" fillId="0" borderId="0" xfId="0" applyFont="1" applyAlignment="1">
      <alignment wrapText="1"/>
    </xf>
    <xf numFmtId="14" fontId="116" fillId="0" borderId="0" xfId="0" applyNumberFormat="1" applyFont="1"/>
    <xf numFmtId="0" fontId="116" fillId="0" borderId="146" xfId="0" applyFont="1" applyBorder="1" applyAlignment="1">
      <alignment horizontal="left" vertical="center" wrapText="1"/>
    </xf>
    <xf numFmtId="0" fontId="119" fillId="0" borderId="146" xfId="0" applyFont="1" applyBorder="1" applyAlignment="1">
      <alignment horizontal="left" wrapText="1" indent="1"/>
    </xf>
    <xf numFmtId="0" fontId="119" fillId="0" borderId="146" xfId="0" applyFont="1" applyBorder="1" applyAlignment="1">
      <alignment horizontal="left" vertical="center" indent="1"/>
    </xf>
    <xf numFmtId="0" fontId="116" fillId="0" borderId="146" xfId="0" applyFont="1" applyBorder="1" applyAlignment="1">
      <alignment horizontal="left" wrapText="1" indent="1"/>
    </xf>
    <xf numFmtId="0" fontId="116" fillId="0" borderId="146" xfId="0" applyFont="1" applyBorder="1" applyAlignment="1">
      <alignment horizontal="left" indent="1"/>
    </xf>
    <xf numFmtId="0" fontId="116" fillId="0" borderId="146" xfId="0" applyFont="1" applyBorder="1" applyAlignment="1">
      <alignment horizontal="left" wrapText="1" indent="4"/>
    </xf>
    <xf numFmtId="0" fontId="116" fillId="0" borderId="146" xfId="0" applyFont="1" applyBorder="1" applyAlignment="1">
      <alignment horizontal="left" indent="3"/>
    </xf>
    <xf numFmtId="0" fontId="119" fillId="0" borderId="146" xfId="0" applyFont="1" applyBorder="1" applyAlignment="1">
      <alignment horizontal="left" indent="1"/>
    </xf>
    <xf numFmtId="0" fontId="120" fillId="0" borderId="146" xfId="0" applyFont="1" applyBorder="1" applyAlignment="1">
      <alignment horizontal="center" vertical="center" wrapText="1"/>
    </xf>
    <xf numFmtId="0" fontId="116" fillId="78" borderId="146" xfId="0" applyFont="1" applyFill="1" applyBorder="1"/>
    <xf numFmtId="0" fontId="119" fillId="0" borderId="7" xfId="0" applyFont="1" applyBorder="1"/>
    <xf numFmtId="0" fontId="116" fillId="0" borderId="146" xfId="0" applyFont="1" applyBorder="1" applyAlignment="1">
      <alignment horizontal="left" wrapText="1" indent="2"/>
    </xf>
    <xf numFmtId="0" fontId="116" fillId="0" borderId="146" xfId="0" applyFont="1" applyBorder="1" applyAlignment="1">
      <alignment horizontal="left" wrapText="1"/>
    </xf>
    <xf numFmtId="0" fontId="119" fillId="80" borderId="146" xfId="0" applyFont="1" applyFill="1" applyBorder="1"/>
    <xf numFmtId="0" fontId="116" fillId="0" borderId="146" xfId="0" applyFont="1" applyBorder="1" applyAlignment="1">
      <alignment horizontal="center"/>
    </xf>
    <xf numFmtId="0" fontId="116" fillId="0" borderId="0" xfId="0" applyFont="1" applyAlignment="1">
      <alignment horizontal="center" vertical="center"/>
    </xf>
    <xf numFmtId="0" fontId="116" fillId="0" borderId="7"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53" xfId="0" applyFont="1" applyBorder="1" applyAlignment="1">
      <alignment wrapText="1"/>
    </xf>
    <xf numFmtId="0" fontId="116" fillId="0" borderId="7" xfId="0" applyFont="1" applyBorder="1" applyAlignment="1">
      <alignment wrapText="1"/>
    </xf>
    <xf numFmtId="0" fontId="116" fillId="0" borderId="0" xfId="0" applyFont="1" applyAlignment="1">
      <alignment horizontal="center" vertical="center" wrapText="1"/>
    </xf>
    <xf numFmtId="0" fontId="116" fillId="0" borderId="145" xfId="0" applyFont="1" applyBorder="1" applyAlignment="1">
      <alignment horizontal="center" vertical="center" wrapText="1"/>
    </xf>
    <xf numFmtId="0" fontId="116" fillId="0" borderId="148" xfId="0" applyFont="1" applyBorder="1" applyAlignment="1">
      <alignment horizontal="center" vertical="center" wrapText="1"/>
    </xf>
    <xf numFmtId="0" fontId="116" fillId="0" borderId="144" xfId="0" applyFont="1" applyBorder="1" applyAlignment="1">
      <alignment horizontal="center" vertical="center" wrapText="1"/>
    </xf>
    <xf numFmtId="49" fontId="116" fillId="0" borderId="152" xfId="0" applyNumberFormat="1" applyFont="1" applyBorder="1" applyAlignment="1">
      <alignment horizontal="left" wrapText="1" indent="1"/>
    </xf>
    <xf numFmtId="0" fontId="116" fillId="0" borderId="154" xfId="0" applyFont="1" applyBorder="1" applyAlignment="1">
      <alignment horizontal="left" wrapText="1" indent="1"/>
    </xf>
    <xf numFmtId="49" fontId="116" fillId="0" borderId="155" xfId="0" applyNumberFormat="1" applyFont="1" applyBorder="1" applyAlignment="1">
      <alignment horizontal="left" wrapText="1" indent="1"/>
    </xf>
    <xf numFmtId="0" fontId="116" fillId="0" borderId="156" xfId="0" applyFont="1" applyBorder="1" applyAlignment="1">
      <alignment horizontal="left" wrapText="1" indent="1"/>
    </xf>
    <xf numFmtId="49" fontId="116" fillId="0" borderId="156" xfId="0" applyNumberFormat="1" applyFont="1" applyBorder="1" applyAlignment="1">
      <alignment horizontal="left" wrapText="1" indent="3"/>
    </xf>
    <xf numFmtId="49" fontId="116" fillId="0" borderId="155" xfId="0" applyNumberFormat="1" applyFont="1" applyBorder="1" applyAlignment="1">
      <alignment horizontal="left" wrapText="1" indent="3"/>
    </xf>
    <xf numFmtId="49" fontId="116" fillId="0" borderId="156" xfId="0" applyNumberFormat="1" applyFont="1" applyBorder="1" applyAlignment="1">
      <alignment horizontal="left" wrapText="1" indent="2"/>
    </xf>
    <xf numFmtId="49" fontId="116" fillId="0" borderId="155" xfId="0" applyNumberFormat="1" applyFont="1" applyBorder="1" applyAlignment="1">
      <alignment horizontal="left" wrapText="1" indent="2"/>
    </xf>
    <xf numFmtId="49" fontId="116" fillId="0" borderId="155" xfId="0" applyNumberFormat="1" applyFont="1" applyBorder="1" applyAlignment="1">
      <alignment horizontal="left" vertical="top" wrapText="1" indent="2"/>
    </xf>
    <xf numFmtId="49" fontId="116" fillId="0" borderId="155" xfId="0" applyNumberFormat="1" applyFont="1" applyBorder="1" applyAlignment="1">
      <alignment horizontal="left" indent="1"/>
    </xf>
    <xf numFmtId="0" fontId="116" fillId="0" borderId="156" xfId="0" applyFont="1" applyBorder="1" applyAlignment="1">
      <alignment horizontal="left" indent="1"/>
    </xf>
    <xf numFmtId="49" fontId="116" fillId="0" borderId="156" xfId="0" applyNumberFormat="1" applyFont="1" applyBorder="1" applyAlignment="1">
      <alignment horizontal="left" indent="1"/>
    </xf>
    <xf numFmtId="49" fontId="116" fillId="0" borderId="156" xfId="0" applyNumberFormat="1" applyFont="1" applyBorder="1" applyAlignment="1">
      <alignment horizontal="left" indent="3"/>
    </xf>
    <xf numFmtId="49" fontId="116" fillId="0" borderId="155" xfId="0" applyNumberFormat="1" applyFont="1" applyBorder="1" applyAlignment="1">
      <alignment horizontal="left" indent="3"/>
    </xf>
    <xf numFmtId="0" fontId="116" fillId="0" borderId="156" xfId="0" applyFont="1" applyBorder="1" applyAlignment="1">
      <alignment horizontal="left" indent="2"/>
    </xf>
    <xf numFmtId="0" fontId="116" fillId="0" borderId="155" xfId="0" applyFont="1" applyBorder="1" applyAlignment="1">
      <alignment horizontal="left" indent="2"/>
    </xf>
    <xf numFmtId="0" fontId="116" fillId="0" borderId="155" xfId="0" applyFont="1" applyBorder="1" applyAlignment="1">
      <alignment horizontal="left" indent="1"/>
    </xf>
    <xf numFmtId="0" fontId="119" fillId="0" borderId="64" xfId="0" applyFont="1" applyBorder="1"/>
    <xf numFmtId="0" fontId="116" fillId="0" borderId="69" xfId="0" applyFont="1" applyBorder="1"/>
    <xf numFmtId="0" fontId="116" fillId="0" borderId="0" xfId="0" applyFont="1" applyAlignment="1">
      <alignment horizontal="left"/>
    </xf>
    <xf numFmtId="0" fontId="119" fillId="0" borderId="146" xfId="0" applyFont="1" applyBorder="1" applyAlignment="1">
      <alignment horizontal="left" vertical="center" wrapText="1"/>
    </xf>
    <xf numFmtId="0" fontId="9" fillId="0" borderId="0" xfId="0" applyFont="1" applyAlignment="1">
      <alignment wrapText="1"/>
    </xf>
    <xf numFmtId="0" fontId="119" fillId="0" borderId="146" xfId="0" applyFont="1" applyBorder="1" applyAlignment="1">
      <alignment horizontal="center" vertical="center" wrapText="1"/>
    </xf>
    <xf numFmtId="0" fontId="121" fillId="0" borderId="0" xfId="0" applyFont="1" applyAlignment="1">
      <alignment horizontal="center" vertical="center"/>
    </xf>
    <xf numFmtId="0" fontId="121" fillId="0" borderId="0" xfId="0" applyFont="1"/>
    <xf numFmtId="0" fontId="139" fillId="0" borderId="0" xfId="0" applyFont="1"/>
    <xf numFmtId="0" fontId="116" fillId="0" borderId="133" xfId="0" applyFont="1" applyBorder="1" applyAlignment="1">
      <alignment horizontal="left" vertical="center" wrapText="1" indent="1" readingOrder="1"/>
    </xf>
    <xf numFmtId="0" fontId="121" fillId="0" borderId="146" xfId="0" applyFont="1" applyBorder="1" applyAlignment="1">
      <alignment horizontal="left" indent="3"/>
    </xf>
    <xf numFmtId="0" fontId="119" fillId="0" borderId="146" xfId="0" applyFont="1" applyBorder="1" applyAlignment="1">
      <alignment vertical="center" wrapText="1" readingOrder="1"/>
    </xf>
    <xf numFmtId="0" fontId="121" fillId="0" borderId="146" xfId="0" applyFont="1" applyBorder="1" applyAlignment="1">
      <alignment horizontal="left" indent="2"/>
    </xf>
    <xf numFmtId="0" fontId="116" fillId="0" borderId="134" xfId="0" applyFont="1" applyBorder="1" applyAlignment="1">
      <alignment vertical="center" wrapText="1" readingOrder="1"/>
    </xf>
    <xf numFmtId="0" fontId="121" fillId="0" borderId="147" xfId="0" applyFont="1" applyBorder="1" applyAlignment="1">
      <alignment horizontal="left" indent="2"/>
    </xf>
    <xf numFmtId="0" fontId="116" fillId="0" borderId="133" xfId="0" applyFont="1" applyBorder="1" applyAlignment="1">
      <alignment vertical="center" wrapText="1" readingOrder="1"/>
    </xf>
    <xf numFmtId="0" fontId="116" fillId="0" borderId="132" xfId="0" applyFont="1" applyBorder="1" applyAlignment="1">
      <alignment vertical="center" wrapText="1" readingOrder="1"/>
    </xf>
    <xf numFmtId="0" fontId="139" fillId="0" borderId="7" xfId="0" applyFont="1" applyBorder="1"/>
    <xf numFmtId="0" fontId="106" fillId="0" borderId="146" xfId="0" applyFont="1" applyBorder="1" applyAlignment="1">
      <alignment vertical="center" wrapText="1"/>
    </xf>
    <xf numFmtId="0" fontId="106" fillId="0" borderId="146" xfId="0" applyFont="1" applyBorder="1" applyAlignment="1">
      <alignment horizontal="left" vertical="center" wrapText="1"/>
    </xf>
    <xf numFmtId="0" fontId="106" fillId="0" borderId="146" xfId="0" applyFont="1" applyBorder="1" applyAlignment="1">
      <alignment horizontal="left" indent="2"/>
    </xf>
    <xf numFmtId="0" fontId="106" fillId="0" borderId="146" xfId="0" applyFont="1" applyBorder="1" applyAlignment="1">
      <alignment horizontal="left" vertical="center" indent="1"/>
    </xf>
    <xf numFmtId="0" fontId="106" fillId="0" borderId="146" xfId="0" applyFont="1" applyBorder="1" applyAlignment="1">
      <alignment horizontal="left" vertical="center" wrapText="1" indent="1"/>
    </xf>
    <xf numFmtId="0" fontId="106" fillId="0" borderId="146" xfId="0" applyFont="1" applyBorder="1" applyAlignment="1">
      <alignment horizontal="right" vertical="center"/>
    </xf>
    <xf numFmtId="49" fontId="106" fillId="0" borderId="146" xfId="0" applyNumberFormat="1" applyFont="1" applyBorder="1" applyAlignment="1">
      <alignment horizontal="right" vertical="center"/>
    </xf>
    <xf numFmtId="49" fontId="106" fillId="0" borderId="146" xfId="0" applyNumberFormat="1" applyFont="1" applyBorder="1" applyAlignment="1">
      <alignment vertical="top" wrapText="1"/>
    </xf>
    <xf numFmtId="49" fontId="106" fillId="0" borderId="146" xfId="0" applyNumberFormat="1" applyFont="1" applyBorder="1" applyAlignment="1">
      <alignment horizontal="left" vertical="top" wrapText="1" indent="2"/>
    </xf>
    <xf numFmtId="49" fontId="106" fillId="0" borderId="146" xfId="0" applyNumberFormat="1" applyFont="1" applyBorder="1" applyAlignment="1">
      <alignment horizontal="left" vertical="center" wrapText="1" indent="3"/>
    </xf>
    <xf numFmtId="49" fontId="106" fillId="0" borderId="146" xfId="0" applyNumberFormat="1" applyFont="1" applyBorder="1" applyAlignment="1">
      <alignment horizontal="left" wrapText="1" indent="2"/>
    </xf>
    <xf numFmtId="49" fontId="106" fillId="0" borderId="146" xfId="0" applyNumberFormat="1" applyFont="1" applyBorder="1" applyAlignment="1">
      <alignment horizontal="left" vertical="top" wrapText="1"/>
    </xf>
    <xf numFmtId="49" fontId="106" fillId="0" borderId="146" xfId="0" applyNumberFormat="1" applyFont="1" applyBorder="1" applyAlignment="1">
      <alignment horizontal="left" wrapText="1" indent="3"/>
    </xf>
    <xf numFmtId="49" fontId="106" fillId="0" borderId="146" xfId="0" applyNumberFormat="1" applyFont="1" applyBorder="1" applyAlignment="1">
      <alignment vertical="center"/>
    </xf>
    <xf numFmtId="49" fontId="106" fillId="0" borderId="146" xfId="0" applyNumberFormat="1" applyFont="1" applyBorder="1" applyAlignment="1">
      <alignment horizontal="left" indent="3"/>
    </xf>
    <xf numFmtId="0" fontId="106" fillId="0" borderId="146" xfId="0" applyFont="1" applyBorder="1" applyAlignment="1">
      <alignment horizontal="left" indent="1"/>
    </xf>
    <xf numFmtId="0" fontId="106" fillId="0" borderId="146" xfId="0" applyFont="1" applyBorder="1" applyAlignment="1">
      <alignment horizontal="left" wrapText="1" indent="2"/>
    </xf>
    <xf numFmtId="0" fontId="106" fillId="0" borderId="146" xfId="0" applyFont="1" applyBorder="1" applyAlignment="1">
      <alignment horizontal="left" vertical="top" wrapText="1"/>
    </xf>
    <xf numFmtId="0" fontId="105" fillId="0" borderId="7" xfId="0" applyFont="1" applyBorder="1" applyAlignment="1">
      <alignment wrapText="1"/>
    </xf>
    <xf numFmtId="0" fontId="106" fillId="0" borderId="146" xfId="0" applyFont="1" applyBorder="1" applyAlignment="1">
      <alignment horizontal="left" vertical="top" wrapText="1" indent="2"/>
    </xf>
    <xf numFmtId="0" fontId="106" fillId="0" borderId="146" xfId="0" applyFont="1" applyBorder="1" applyAlignment="1">
      <alignment horizontal="left" wrapText="1"/>
    </xf>
    <xf numFmtId="0" fontId="106" fillId="0" borderId="146" xfId="12672" applyFont="1" applyBorder="1" applyAlignment="1">
      <alignment horizontal="left" vertical="center" wrapText="1" indent="2"/>
    </xf>
    <xf numFmtId="0" fontId="106" fillId="0" borderId="146" xfId="0" applyFont="1" applyBorder="1" applyAlignment="1">
      <alignment wrapText="1"/>
    </xf>
    <xf numFmtId="0" fontId="106" fillId="0" borderId="146" xfId="0" applyFont="1" applyBorder="1"/>
    <xf numFmtId="0" fontId="106" fillId="0" borderId="146" xfId="12672" applyFont="1" applyBorder="1" applyAlignment="1">
      <alignment horizontal="left" vertical="center" wrapText="1"/>
    </xf>
    <xf numFmtId="0" fontId="105" fillId="0" borderId="146" xfId="0" applyFont="1" applyBorder="1" applyAlignment="1">
      <alignment wrapText="1"/>
    </xf>
    <xf numFmtId="0" fontId="106" fillId="0" borderId="148" xfId="0" applyFont="1" applyBorder="1" applyAlignment="1">
      <alignment horizontal="left" vertical="center" wrapText="1"/>
    </xf>
    <xf numFmtId="0" fontId="106" fillId="3" borderId="146" xfId="5" applyFont="1" applyFill="1" applyBorder="1" applyAlignment="1" applyProtection="1">
      <alignment horizontal="right" vertical="center"/>
      <protection locked="0"/>
    </xf>
    <xf numFmtId="2" fontId="106" fillId="3" borderId="146" xfId="5" applyNumberFormat="1" applyFont="1" applyFill="1" applyBorder="1" applyAlignment="1" applyProtection="1">
      <alignment horizontal="right" vertical="center"/>
      <protection locked="0"/>
    </xf>
    <xf numFmtId="0" fontId="106" fillId="0" borderId="146" xfId="0" applyFont="1" applyBorder="1" applyAlignment="1">
      <alignment vertical="center"/>
    </xf>
    <xf numFmtId="0" fontId="106" fillId="0" borderId="148" xfId="13" applyFont="1" applyBorder="1" applyAlignment="1" applyProtection="1">
      <alignment horizontal="left" vertical="top" wrapText="1"/>
      <protection locked="0"/>
    </xf>
    <xf numFmtId="0" fontId="106" fillId="0" borderId="149" xfId="13" applyFont="1" applyBorder="1" applyAlignment="1" applyProtection="1">
      <alignment horizontal="left" vertical="top" wrapText="1"/>
      <protection locked="0"/>
    </xf>
    <xf numFmtId="0" fontId="106" fillId="0" borderId="147" xfId="0" applyFont="1" applyBorder="1" applyAlignment="1">
      <alignment vertical="center" wrapText="1"/>
    </xf>
    <xf numFmtId="0" fontId="125" fillId="0" borderId="0" xfId="0" applyFont="1" applyAlignment="1">
      <alignment horizontal="left" indent="2"/>
    </xf>
    <xf numFmtId="0" fontId="116" fillId="0" borderId="0" xfId="0" applyFont="1" applyAlignment="1">
      <alignment horizontal="left" vertical="center" indent="1"/>
    </xf>
    <xf numFmtId="0" fontId="116" fillId="0" borderId="0" xfId="0" applyFont="1" applyAlignment="1">
      <alignment vertical="center" wrapText="1"/>
    </xf>
    <xf numFmtId="0" fontId="127" fillId="0" borderId="0" xfId="0" applyFont="1" applyAlignment="1">
      <alignment horizontal="left" vertical="center" wrapText="1" readingOrder="1"/>
    </xf>
    <xf numFmtId="0" fontId="125" fillId="0" borderId="0" xfId="0" applyFont="1" applyAlignment="1">
      <alignment horizontal="left" vertical="center" wrapText="1"/>
    </xf>
    <xf numFmtId="0" fontId="116" fillId="0" borderId="0" xfId="0" applyFont="1" applyAlignment="1">
      <alignment horizontal="left" vertical="center" wrapText="1"/>
    </xf>
    <xf numFmtId="0" fontId="106" fillId="0" borderId="147" xfId="0" applyFont="1" applyBorder="1" applyAlignment="1">
      <alignment horizontal="left" indent="2"/>
    </xf>
    <xf numFmtId="0" fontId="106" fillId="0" borderId="134" xfId="0" applyFont="1" applyBorder="1" applyAlignment="1">
      <alignment horizontal="left" vertical="center" wrapText="1" readingOrder="1"/>
    </xf>
    <xf numFmtId="0" fontId="106" fillId="0" borderId="146" xfId="0" applyFont="1" applyBorder="1" applyAlignment="1">
      <alignment horizontal="left" vertical="center" wrapText="1" readingOrder="1"/>
    </xf>
    <xf numFmtId="167" fontId="19" fillId="81" borderId="57" xfId="0" applyNumberFormat="1" applyFont="1" applyFill="1" applyBorder="1" applyAlignment="1">
      <alignment horizontal="center"/>
    </xf>
    <xf numFmtId="0" fontId="11" fillId="0" borderId="98" xfId="17" applyFill="1" applyBorder="1" applyAlignment="1" applyProtection="1">
      <alignment horizontal="left" vertical="top" wrapText="1"/>
    </xf>
    <xf numFmtId="0" fontId="106" fillId="0" borderId="0" xfId="0" applyFont="1" applyAlignment="1">
      <alignment wrapText="1"/>
    </xf>
    <xf numFmtId="0" fontId="142" fillId="0" borderId="0" xfId="0" applyFont="1"/>
    <xf numFmtId="0" fontId="143" fillId="0" borderId="0" xfId="0" applyFont="1" applyAlignment="1">
      <alignment vertical="top"/>
    </xf>
    <xf numFmtId="0" fontId="143" fillId="0" borderId="0" xfId="0" applyFont="1" applyAlignment="1">
      <alignment vertical="top" wrapText="1"/>
    </xf>
    <xf numFmtId="0" fontId="150" fillId="0" borderId="0" xfId="0" applyFont="1" applyAlignment="1">
      <alignment vertical="top" wrapText="1"/>
    </xf>
    <xf numFmtId="0" fontId="7" fillId="0" borderId="0" xfId="11" applyFont="1"/>
    <xf numFmtId="0" fontId="149" fillId="0" borderId="0" xfId="11" applyFont="1"/>
    <xf numFmtId="0" fontId="144" fillId="82" borderId="146" xfId="0" applyFont="1" applyFill="1" applyBorder="1" applyAlignment="1">
      <alignment horizontal="left" vertical="center"/>
    </xf>
    <xf numFmtId="49" fontId="145" fillId="0" borderId="146" xfId="0" applyNumberFormat="1" applyFont="1" applyBorder="1" applyAlignment="1">
      <alignment horizontal="left" vertical="center"/>
    </xf>
    <xf numFmtId="0" fontId="145" fillId="0" borderId="146" xfId="0" applyFont="1" applyBorder="1" applyAlignment="1">
      <alignment horizontal="left" vertical="center"/>
    </xf>
    <xf numFmtId="0" fontId="144" fillId="0" borderId="146" xfId="0" applyFont="1" applyBorder="1" applyAlignment="1">
      <alignment horizontal="left" vertical="center"/>
    </xf>
    <xf numFmtId="0" fontId="144" fillId="83" borderId="17" xfId="0" applyFont="1" applyFill="1" applyBorder="1" applyAlignment="1">
      <alignment horizontal="center" vertical="center"/>
    </xf>
    <xf numFmtId="0" fontId="144" fillId="83" borderId="18" xfId="0" applyFont="1" applyFill="1" applyBorder="1" applyAlignment="1">
      <alignment horizontal="center" vertical="center"/>
    </xf>
    <xf numFmtId="194" fontId="144" fillId="82" borderId="155" xfId="7" applyNumberFormat="1" applyFont="1" applyFill="1" applyBorder="1" applyAlignment="1">
      <alignment horizontal="left" vertical="center"/>
    </xf>
    <xf numFmtId="194" fontId="145" fillId="0" borderId="155" xfId="7" applyNumberFormat="1" applyFont="1" applyFill="1" applyBorder="1" applyAlignment="1">
      <alignment horizontal="left" vertical="center"/>
    </xf>
    <xf numFmtId="10" fontId="7" fillId="0" borderId="155" xfId="0" applyNumberFormat="1" applyFont="1" applyBorder="1" applyAlignment="1">
      <alignment horizontal="right" vertical="center" wrapText="1"/>
    </xf>
    <xf numFmtId="0" fontId="148" fillId="84" borderId="153" xfId="0" applyFont="1" applyFill="1" applyBorder="1" applyAlignment="1">
      <alignment horizontal="left" vertical="center"/>
    </xf>
    <xf numFmtId="10" fontId="149" fillId="86" borderId="152" xfId="0" applyNumberFormat="1" applyFont="1" applyFill="1" applyBorder="1" applyAlignment="1">
      <alignment horizontal="right" vertical="center" wrapText="1"/>
    </xf>
    <xf numFmtId="0" fontId="0" fillId="0" borderId="1" xfId="0" applyBorder="1"/>
    <xf numFmtId="0" fontId="4" fillId="85" borderId="146" xfId="0" applyFont="1" applyFill="1" applyBorder="1" applyAlignment="1">
      <alignment horizontal="center" vertical="center" wrapText="1"/>
    </xf>
    <xf numFmtId="0" fontId="6" fillId="86" borderId="146" xfId="0" applyFont="1" applyFill="1" applyBorder="1" applyAlignment="1">
      <alignment vertical="center" wrapText="1"/>
    </xf>
    <xf numFmtId="194" fontId="6" fillId="86" borderId="146" xfId="7" applyNumberFormat="1" applyFont="1" applyFill="1" applyBorder="1" applyAlignment="1">
      <alignment vertical="center"/>
    </xf>
    <xf numFmtId="194" fontId="6" fillId="86" borderId="155" xfId="7" applyNumberFormat="1" applyFont="1" applyFill="1" applyBorder="1" applyAlignment="1">
      <alignment vertical="center"/>
    </xf>
    <xf numFmtId="0" fontId="145" fillId="82" borderId="146" xfId="0" applyFont="1" applyFill="1" applyBorder="1" applyAlignment="1">
      <alignment horizontal="left" vertical="center" wrapText="1" indent="3"/>
    </xf>
    <xf numFmtId="194" fontId="6" fillId="35" borderId="146" xfId="7" applyNumberFormat="1" applyFont="1" applyFill="1" applyBorder="1" applyAlignment="1">
      <alignment vertical="center"/>
    </xf>
    <xf numFmtId="0" fontId="152" fillId="82" borderId="146" xfId="0" applyFont="1" applyFill="1" applyBorder="1" applyAlignment="1">
      <alignment horizontal="left" vertical="center" wrapText="1" indent="5"/>
    </xf>
    <xf numFmtId="0" fontId="153" fillId="83" borderId="146" xfId="0" applyFont="1" applyFill="1" applyBorder="1" applyAlignment="1">
      <alignment horizontal="left" vertical="center" wrapText="1" indent="1"/>
    </xf>
    <xf numFmtId="194" fontId="153" fillId="83" borderId="146" xfId="7" applyNumberFormat="1" applyFont="1" applyFill="1" applyBorder="1" applyAlignment="1">
      <alignment vertical="center"/>
    </xf>
    <xf numFmtId="194" fontId="153" fillId="84" borderId="155" xfId="7" applyNumberFormat="1" applyFont="1" applyFill="1" applyBorder="1" applyAlignment="1">
      <alignment vertical="center"/>
    </xf>
    <xf numFmtId="194" fontId="154" fillId="82" borderId="146" xfId="7" applyNumberFormat="1" applyFont="1" applyFill="1" applyBorder="1" applyAlignment="1">
      <alignment vertical="center"/>
    </xf>
    <xf numFmtId="194" fontId="154" fillId="84" borderId="155" xfId="7" applyNumberFormat="1" applyFont="1" applyFill="1" applyBorder="1" applyAlignment="1">
      <alignment vertical="center"/>
    </xf>
    <xf numFmtId="0" fontId="152" fillId="82" borderId="153" xfId="0" applyFont="1" applyFill="1" applyBorder="1" applyAlignment="1">
      <alignment horizontal="left" vertical="center" wrapText="1" indent="5"/>
    </xf>
    <xf numFmtId="194" fontId="154" fillId="82" borderId="153" xfId="7" applyNumberFormat="1" applyFont="1" applyFill="1" applyBorder="1" applyAlignment="1">
      <alignment vertical="center"/>
    </xf>
    <xf numFmtId="194" fontId="154" fillId="84" borderId="152" xfId="7" applyNumberFormat="1" applyFont="1" applyFill="1" applyBorder="1" applyAlignment="1">
      <alignment vertical="center"/>
    </xf>
    <xf numFmtId="0" fontId="7" fillId="0" borderId="146" xfId="13" applyFont="1" applyBorder="1" applyAlignment="1" applyProtection="1">
      <alignment wrapText="1"/>
      <protection locked="0"/>
    </xf>
    <xf numFmtId="0" fontId="7" fillId="0" borderId="3" xfId="13" applyFont="1" applyBorder="1" applyAlignment="1" applyProtection="1">
      <alignment vertical="center" wrapText="1"/>
      <protection locked="0"/>
    </xf>
    <xf numFmtId="49" fontId="155" fillId="0" borderId="98" xfId="0" applyNumberFormat="1" applyFont="1" applyBorder="1" applyAlignment="1">
      <alignment horizontal="right" vertical="center"/>
    </xf>
    <xf numFmtId="0" fontId="155" fillId="0" borderId="146" xfId="12672" applyFont="1" applyBorder="1" applyAlignment="1">
      <alignment horizontal="left" vertical="center" wrapText="1"/>
    </xf>
    <xf numFmtId="0" fontId="155" fillId="0" borderId="147" xfId="0" applyFont="1" applyBorder="1" applyAlignment="1">
      <alignment horizontal="left" vertical="top" wrapText="1"/>
    </xf>
    <xf numFmtId="0" fontId="155" fillId="0" borderId="146" xfId="0" applyFont="1" applyBorder="1" applyAlignment="1">
      <alignment vertical="center" wrapText="1"/>
    </xf>
    <xf numFmtId="0" fontId="132" fillId="0" borderId="146" xfId="21414" applyFont="1" applyBorder="1" applyAlignment="1">
      <alignment horizontal="left" vertical="center" wrapText="1"/>
    </xf>
    <xf numFmtId="0" fontId="0" fillId="0" borderId="146" xfId="0" applyBorder="1"/>
    <xf numFmtId="193" fontId="9" fillId="0" borderId="146" xfId="0" applyNumberFormat="1" applyFont="1" applyBorder="1" applyAlignment="1">
      <alignment horizontal="right"/>
    </xf>
    <xf numFmtId="0" fontId="4" fillId="0" borderId="146" xfId="0" applyFont="1" applyBorder="1"/>
    <xf numFmtId="0" fontId="11" fillId="0" borderId="146" xfId="17" applyFill="1" applyBorder="1" applyAlignment="1" applyProtection="1"/>
    <xf numFmtId="0" fontId="139" fillId="3" borderId="146" xfId="5" applyFont="1" applyFill="1" applyBorder="1" applyProtection="1">
      <protection locked="0"/>
    </xf>
    <xf numFmtId="0" fontId="139" fillId="0" borderId="146" xfId="21416" applyFont="1" applyBorder="1" applyAlignment="1" applyProtection="1">
      <alignment horizontal="center" vertical="top" wrapText="1"/>
      <protection locked="0"/>
    </xf>
    <xf numFmtId="0" fontId="156" fillId="3" borderId="146" xfId="21416" applyFont="1" applyFill="1" applyBorder="1" applyAlignment="1" applyProtection="1">
      <alignment wrapText="1"/>
      <protection locked="0"/>
    </xf>
    <xf numFmtId="3" fontId="139" fillId="80" borderId="146" xfId="5" applyNumberFormat="1" applyFont="1" applyFill="1" applyBorder="1"/>
    <xf numFmtId="0" fontId="137" fillId="3" borderId="146" xfId="21416" applyFont="1" applyFill="1" applyBorder="1" applyAlignment="1" applyProtection="1">
      <alignment horizontal="right" wrapText="1"/>
      <protection locked="0"/>
    </xf>
    <xf numFmtId="3" fontId="139" fillId="0" borderId="146" xfId="5" applyNumberFormat="1" applyFont="1" applyBorder="1"/>
    <xf numFmtId="0" fontId="157" fillId="0" borderId="0" xfId="21415" applyFont="1" applyAlignment="1" applyProtection="1">
      <alignment vertical="center"/>
      <protection locked="0"/>
    </xf>
    <xf numFmtId="0" fontId="112" fillId="76" borderId="149" xfId="21412" applyFont="1" applyFill="1" applyBorder="1" applyAlignment="1" applyProtection="1">
      <alignment vertical="center" wrapText="1"/>
      <protection locked="0"/>
    </xf>
    <xf numFmtId="0" fontId="62" fillId="76" borderId="148" xfId="21412" applyFont="1" applyFill="1" applyBorder="1" applyProtection="1">
      <alignment vertical="center"/>
      <protection locked="0"/>
    </xf>
    <xf numFmtId="0" fontId="113" fillId="69" borderId="147" xfId="21412" applyFont="1" applyFill="1" applyBorder="1" applyAlignment="1" applyProtection="1">
      <alignment horizontal="center" vertical="center"/>
      <protection locked="0"/>
    </xf>
    <xf numFmtId="0" fontId="113" fillId="0" borderId="148" xfId="21412" applyFont="1" applyBorder="1" applyAlignment="1" applyProtection="1">
      <alignment horizontal="left" vertical="center" wrapText="1"/>
      <protection locked="0"/>
    </xf>
    <xf numFmtId="164" fontId="113" fillId="0" borderId="146" xfId="948" applyNumberFormat="1" applyFont="1" applyFill="1" applyBorder="1" applyAlignment="1" applyProtection="1">
      <alignment horizontal="right" vertical="center"/>
      <protection locked="0"/>
    </xf>
    <xf numFmtId="0" fontId="112" fillId="77" borderId="146" xfId="21412" applyFont="1" applyFill="1" applyBorder="1" applyAlignment="1" applyProtection="1">
      <alignment horizontal="center" vertical="center"/>
      <protection locked="0"/>
    </xf>
    <xf numFmtId="0" fontId="112" fillId="77" borderId="148" xfId="21412" applyFont="1" applyFill="1" applyBorder="1" applyAlignment="1" applyProtection="1">
      <alignment vertical="top" wrapText="1"/>
      <protection locked="0"/>
    </xf>
    <xf numFmtId="164" fontId="113" fillId="77" borderId="146" xfId="948" applyNumberFormat="1" applyFont="1" applyFill="1" applyBorder="1" applyAlignment="1" applyProtection="1">
      <alignment horizontal="right" vertical="center"/>
    </xf>
    <xf numFmtId="0" fontId="112" fillId="76" borderId="149" xfId="21412" applyFont="1" applyFill="1" applyBorder="1" applyProtection="1">
      <alignment vertical="center"/>
      <protection locked="0"/>
    </xf>
    <xf numFmtId="164" fontId="62" fillId="76" borderId="148" xfId="948" applyNumberFormat="1" applyFont="1" applyFill="1" applyBorder="1" applyAlignment="1" applyProtection="1">
      <alignment horizontal="right" vertical="center"/>
      <protection locked="0"/>
    </xf>
    <xf numFmtId="0" fontId="114" fillId="69" borderId="147" xfId="21412" applyFont="1" applyFill="1" applyBorder="1" applyAlignment="1" applyProtection="1">
      <alignment horizontal="center" vertical="center"/>
      <protection locked="0"/>
    </xf>
    <xf numFmtId="0" fontId="113" fillId="69" borderId="146" xfId="21412" applyFont="1" applyFill="1" applyBorder="1" applyAlignment="1" applyProtection="1">
      <alignment vertical="center" wrapText="1"/>
      <protection locked="0"/>
    </xf>
    <xf numFmtId="0" fontId="113" fillId="69" borderId="146" xfId="21412" applyFont="1" applyFill="1" applyBorder="1" applyAlignment="1" applyProtection="1">
      <alignment horizontal="left" vertical="center" wrapText="1"/>
      <protection locked="0"/>
    </xf>
    <xf numFmtId="0" fontId="113" fillId="0" borderId="146" xfId="21412" applyFont="1" applyBorder="1" applyAlignment="1" applyProtection="1">
      <alignment horizontal="left" vertical="center" wrapText="1"/>
      <protection locked="0"/>
    </xf>
    <xf numFmtId="0" fontId="114" fillId="3" borderId="147" xfId="21412" applyFont="1" applyFill="1" applyBorder="1" applyAlignment="1" applyProtection="1">
      <alignment horizontal="center" vertical="center"/>
      <protection locked="0"/>
    </xf>
    <xf numFmtId="0" fontId="113" fillId="0" borderId="146" xfId="21412" applyFont="1" applyBorder="1" applyAlignment="1" applyProtection="1">
      <alignment vertical="center" wrapText="1"/>
      <protection locked="0"/>
    </xf>
    <xf numFmtId="0" fontId="115" fillId="77" borderId="146" xfId="21412" applyFont="1" applyFill="1" applyBorder="1" applyAlignment="1" applyProtection="1">
      <alignment horizontal="center" vertical="center"/>
      <protection locked="0"/>
    </xf>
    <xf numFmtId="0" fontId="112" fillId="77" borderId="148" xfId="21412" applyFont="1" applyFill="1" applyBorder="1" applyAlignment="1" applyProtection="1">
      <alignment vertical="center" wrapText="1"/>
      <protection locked="0"/>
    </xf>
    <xf numFmtId="164" fontId="112" fillId="76" borderId="148" xfId="948" applyNumberFormat="1" applyFont="1" applyFill="1" applyBorder="1" applyAlignment="1" applyProtection="1">
      <alignment horizontal="right" vertical="center"/>
      <protection locked="0"/>
    </xf>
    <xf numFmtId="0" fontId="113" fillId="69" borderId="148" xfId="21412" applyFont="1" applyFill="1" applyBorder="1" applyAlignment="1" applyProtection="1">
      <alignment vertical="center" wrapText="1"/>
      <protection locked="0"/>
    </xf>
    <xf numFmtId="0" fontId="62" fillId="76" borderId="149" xfId="21412" applyFont="1" applyFill="1" applyBorder="1" applyProtection="1">
      <alignment vertical="center"/>
      <protection locked="0"/>
    </xf>
    <xf numFmtId="164" fontId="113" fillId="3" borderId="146" xfId="948" applyNumberFormat="1" applyFont="1" applyFill="1" applyBorder="1" applyAlignment="1" applyProtection="1">
      <alignment horizontal="right" vertical="center"/>
      <protection locked="0"/>
    </xf>
    <xf numFmtId="0" fontId="114" fillId="3" borderId="146" xfId="21412" applyFont="1" applyFill="1" applyBorder="1" applyAlignment="1" applyProtection="1">
      <alignment horizontal="center" vertical="center"/>
      <protection locked="0"/>
    </xf>
    <xf numFmtId="0" fontId="113" fillId="69" borderId="148" xfId="21412" applyFont="1" applyFill="1" applyBorder="1" applyAlignment="1" applyProtection="1">
      <alignment horizontal="left" vertical="center" wrapText="1"/>
      <protection locked="0"/>
    </xf>
    <xf numFmtId="0" fontId="156" fillId="3" borderId="0" xfId="21415" applyFont="1" applyFill="1" applyAlignment="1" applyProtection="1">
      <alignment vertical="center"/>
      <protection locked="0"/>
    </xf>
    <xf numFmtId="0" fontId="139" fillId="3" borderId="146" xfId="5" applyFont="1" applyFill="1" applyBorder="1" applyAlignment="1" applyProtection="1">
      <alignment vertical="center" wrapText="1"/>
      <protection locked="0"/>
    </xf>
    <xf numFmtId="0" fontId="139" fillId="0" borderId="146" xfId="21416" applyFont="1" applyBorder="1" applyAlignment="1" applyProtection="1">
      <alignment horizontal="center" vertical="center" wrapText="1"/>
      <protection locked="0"/>
    </xf>
    <xf numFmtId="3" fontId="139" fillId="3" borderId="146" xfId="1" applyNumberFormat="1" applyFont="1" applyFill="1" applyBorder="1" applyAlignment="1" applyProtection="1">
      <alignment horizontal="center" vertical="center" wrapText="1"/>
      <protection locked="0"/>
    </xf>
    <xf numFmtId="9" fontId="139" fillId="3" borderId="146" xfId="15" applyNumberFormat="1" applyFont="1" applyFill="1" applyBorder="1" applyAlignment="1" applyProtection="1">
      <alignment horizontal="center" vertical="center" wrapText="1"/>
      <protection locked="0"/>
    </xf>
    <xf numFmtId="0" fontId="139" fillId="3" borderId="146" xfId="21416" applyFont="1" applyFill="1" applyBorder="1" applyAlignment="1" applyProtection="1">
      <alignment horizontal="center" vertical="center" wrapText="1"/>
      <protection locked="0"/>
    </xf>
    <xf numFmtId="0" fontId="156" fillId="3" borderId="146" xfId="21416" applyFont="1" applyFill="1" applyBorder="1" applyProtection="1">
      <protection locked="0"/>
    </xf>
    <xf numFmtId="0" fontId="159" fillId="3" borderId="146" xfId="21416" applyFont="1" applyFill="1" applyBorder="1" applyAlignment="1" applyProtection="1">
      <alignment horizontal="right"/>
      <protection locked="0"/>
    </xf>
    <xf numFmtId="195" fontId="139" fillId="80" borderId="146" xfId="5" applyNumberFormat="1" applyFont="1" applyFill="1" applyBorder="1" applyProtection="1">
      <protection locked="0"/>
    </xf>
    <xf numFmtId="164" fontId="139" fillId="80" borderId="146" xfId="1" applyNumberFormat="1" applyFont="1" applyFill="1" applyBorder="1" applyAlignment="1" applyProtection="1"/>
    <xf numFmtId="0" fontId="139" fillId="3" borderId="146" xfId="21416" applyFont="1" applyFill="1" applyBorder="1" applyAlignment="1" applyProtection="1">
      <alignment horizontal="left" vertical="center"/>
      <protection locked="0"/>
    </xf>
    <xf numFmtId="3" fontId="139" fillId="3" borderId="146" xfId="5" applyNumberFormat="1" applyFont="1" applyFill="1" applyBorder="1" applyProtection="1">
      <protection locked="0"/>
    </xf>
    <xf numFmtId="0" fontId="137" fillId="3" borderId="146" xfId="21416" applyFont="1" applyFill="1" applyBorder="1" applyAlignment="1" applyProtection="1">
      <alignment horizontal="right"/>
      <protection locked="0"/>
    </xf>
    <xf numFmtId="0" fontId="139" fillId="0" borderId="146" xfId="21416" applyFont="1" applyBorder="1" applyAlignment="1" applyProtection="1">
      <alignment horizontal="left" vertical="center"/>
      <protection locked="0"/>
    </xf>
    <xf numFmtId="0" fontId="156" fillId="3" borderId="146" xfId="16" applyFont="1" applyFill="1" applyBorder="1" applyProtection="1">
      <protection locked="0"/>
    </xf>
    <xf numFmtId="3" fontId="156" fillId="76" borderId="146" xfId="16" applyNumberFormat="1" applyFont="1" applyFill="1" applyBorder="1"/>
    <xf numFmtId="0" fontId="163" fillId="0" borderId="0" xfId="0" applyFont="1" applyAlignment="1">
      <alignment horizontal="left" vertical="center" wrapText="1"/>
    </xf>
    <xf numFmtId="193" fontId="7" fillId="0" borderId="146" xfId="0" applyNumberFormat="1" applyFont="1" applyBorder="1" applyAlignment="1" applyProtection="1">
      <alignment vertical="center" wrapText="1"/>
      <protection locked="0"/>
    </xf>
    <xf numFmtId="193" fontId="4" fillId="0" borderId="146" xfId="0" applyNumberFormat="1" applyFont="1" applyBorder="1" applyAlignment="1" applyProtection="1">
      <alignment vertical="center" wrapText="1"/>
      <protection locked="0"/>
    </xf>
    <xf numFmtId="193" fontId="7" fillId="0" borderId="146" xfId="0" applyNumberFormat="1" applyFont="1" applyBorder="1" applyAlignment="1" applyProtection="1">
      <alignment horizontal="right" vertical="center" wrapText="1"/>
      <protection locked="0"/>
    </xf>
    <xf numFmtId="10" fontId="4" fillId="0" borderId="146" xfId="20961" applyNumberFormat="1" applyFont="1" applyFill="1" applyBorder="1" applyAlignment="1" applyProtection="1">
      <alignment horizontal="right" vertical="center" wrapText="1"/>
      <protection locked="0"/>
    </xf>
    <xf numFmtId="10" fontId="4" fillId="0" borderId="146" xfId="20961" applyNumberFormat="1" applyFont="1" applyBorder="1" applyAlignment="1" applyProtection="1">
      <alignment vertical="center" wrapText="1"/>
      <protection locked="0"/>
    </xf>
    <xf numFmtId="10" fontId="4" fillId="87" borderId="146" xfId="20961" applyNumberFormat="1" applyFont="1" applyFill="1" applyBorder="1" applyAlignment="1" applyProtection="1">
      <alignment horizontal="right" vertical="center" wrapText="1"/>
      <protection locked="0"/>
    </xf>
    <xf numFmtId="10" fontId="4" fillId="87" borderId="146" xfId="20961" applyNumberFormat="1" applyFont="1" applyFill="1" applyBorder="1" applyAlignment="1" applyProtection="1">
      <alignment vertical="center" wrapText="1"/>
      <protection locked="0"/>
    </xf>
    <xf numFmtId="10" fontId="9" fillId="2" borderId="146" xfId="20961" applyNumberFormat="1" applyFont="1" applyFill="1" applyBorder="1" applyAlignment="1" applyProtection="1">
      <alignment vertical="center"/>
      <protection locked="0"/>
    </xf>
    <xf numFmtId="10" fontId="17" fillId="2" borderId="146" xfId="20961" applyNumberFormat="1" applyFont="1" applyFill="1" applyBorder="1" applyAlignment="1" applyProtection="1">
      <alignment vertical="center"/>
      <protection locked="0"/>
    </xf>
    <xf numFmtId="193" fontId="9" fillId="0" borderId="146" xfId="0" applyNumberFormat="1" applyFont="1" applyBorder="1" applyAlignment="1" applyProtection="1">
      <alignment vertical="center"/>
      <protection locked="0"/>
    </xf>
    <xf numFmtId="193" fontId="9" fillId="2" borderId="146" xfId="0" applyNumberFormat="1" applyFont="1" applyFill="1" applyBorder="1" applyAlignment="1" applyProtection="1">
      <alignment vertical="center"/>
      <protection locked="0"/>
    </xf>
    <xf numFmtId="193" fontId="17" fillId="2" borderId="146" xfId="0" applyNumberFormat="1" applyFont="1" applyFill="1" applyBorder="1" applyAlignment="1" applyProtection="1">
      <alignment vertical="center"/>
      <protection locked="0"/>
    </xf>
    <xf numFmtId="10" fontId="9" fillId="0" borderId="146" xfId="20961" applyNumberFormat="1" applyFont="1" applyFill="1" applyBorder="1" applyAlignment="1" applyProtection="1">
      <alignment vertical="center"/>
      <protection locked="0"/>
    </xf>
    <xf numFmtId="193" fontId="9" fillId="2" borderId="147" xfId="0" applyNumberFormat="1" applyFont="1" applyFill="1" applyBorder="1" applyAlignment="1" applyProtection="1">
      <alignment vertical="center"/>
      <protection locked="0"/>
    </xf>
    <xf numFmtId="193" fontId="17" fillId="2" borderId="147" xfId="0" applyNumberFormat="1" applyFont="1" applyFill="1" applyBorder="1" applyAlignment="1" applyProtection="1">
      <alignment vertical="center"/>
      <protection locked="0"/>
    </xf>
    <xf numFmtId="10" fontId="9" fillId="2" borderId="153" xfId="20961" applyNumberFormat="1" applyFont="1" applyFill="1" applyBorder="1" applyAlignment="1" applyProtection="1">
      <alignment vertical="center"/>
      <protection locked="0"/>
    </xf>
    <xf numFmtId="10" fontId="17" fillId="2" borderId="153" xfId="20961" applyNumberFormat="1" applyFont="1" applyFill="1" applyBorder="1" applyAlignment="1" applyProtection="1">
      <alignment vertical="center"/>
      <protection locked="0"/>
    </xf>
    <xf numFmtId="164" fontId="0" fillId="0" borderId="146" xfId="7" applyNumberFormat="1" applyFont="1" applyBorder="1"/>
    <xf numFmtId="43" fontId="3" fillId="0" borderId="98" xfId="7" applyFont="1" applyBorder="1"/>
    <xf numFmtId="164" fontId="3" fillId="0" borderId="98" xfId="7" applyNumberFormat="1" applyFont="1" applyBorder="1"/>
    <xf numFmtId="164" fontId="0" fillId="35" borderId="98" xfId="7" applyNumberFormat="1" applyFont="1" applyFill="1" applyBorder="1"/>
    <xf numFmtId="164" fontId="0" fillId="35" borderId="98" xfId="7" applyNumberFormat="1" applyFont="1" applyFill="1" applyBorder="1" applyAlignment="1">
      <alignment vertical="center"/>
    </xf>
    <xf numFmtId="164" fontId="0" fillId="35" borderId="138" xfId="7" applyNumberFormat="1" applyFont="1" applyFill="1" applyBorder="1"/>
    <xf numFmtId="164" fontId="0" fillId="0" borderId="98" xfId="7" applyNumberFormat="1" applyFont="1" applyBorder="1"/>
    <xf numFmtId="164" fontId="0" fillId="0" borderId="138" xfId="7" applyNumberFormat="1" applyFont="1" applyBorder="1"/>
    <xf numFmtId="164" fontId="3" fillId="0" borderId="146" xfId="7" applyNumberFormat="1" applyFont="1" applyBorder="1"/>
    <xf numFmtId="164" fontId="3" fillId="0" borderId="138" xfId="7" applyNumberFormat="1" applyFont="1" applyBorder="1"/>
    <xf numFmtId="164" fontId="3" fillId="0" borderId="98" xfId="7" applyNumberFormat="1" applyFont="1" applyBorder="1" applyAlignment="1">
      <alignment vertical="center"/>
    </xf>
    <xf numFmtId="193" fontId="10" fillId="0" borderId="146" xfId="0" applyNumberFormat="1" applyFont="1" applyBorder="1" applyAlignment="1">
      <alignment horizontal="right"/>
    </xf>
    <xf numFmtId="164" fontId="9" fillId="35" borderId="112" xfId="7" applyNumberFormat="1" applyFont="1" applyFill="1" applyBorder="1" applyAlignment="1">
      <alignment horizontal="right"/>
    </xf>
    <xf numFmtId="3" fontId="21" fillId="0" borderId="146" xfId="0" applyNumberFormat="1" applyFont="1" applyBorder="1" applyAlignment="1">
      <alignment vertical="center" wrapText="1"/>
    </xf>
    <xf numFmtId="3" fontId="21" fillId="0" borderId="149" xfId="0" applyNumberFormat="1" applyFont="1" applyBorder="1" applyAlignment="1">
      <alignment vertical="center" wrapText="1"/>
    </xf>
    <xf numFmtId="0" fontId="9" fillId="0" borderId="156" xfId="0" applyFont="1" applyBorder="1" applyAlignment="1">
      <alignment vertical="center"/>
    </xf>
    <xf numFmtId="0" fontId="13" fillId="0" borderId="149" xfId="0" applyFont="1" applyBorder="1" applyAlignment="1">
      <alignment wrapText="1"/>
    </xf>
    <xf numFmtId="10" fontId="4" fillId="0" borderId="155" xfId="20961" applyNumberFormat="1" applyFont="1" applyBorder="1"/>
    <xf numFmtId="10" fontId="4" fillId="87" borderId="98" xfId="20961" applyNumberFormat="1" applyFont="1" applyFill="1" applyBorder="1" applyAlignment="1" applyProtection="1">
      <alignment horizontal="right" vertical="center" wrapText="1"/>
      <protection locked="0"/>
    </xf>
    <xf numFmtId="10" fontId="9" fillId="2" borderId="98" xfId="20961" applyNumberFormat="1" applyFont="1" applyFill="1" applyBorder="1" applyAlignment="1" applyProtection="1">
      <alignment vertical="center"/>
      <protection locked="0"/>
    </xf>
    <xf numFmtId="10" fontId="9" fillId="2" borderId="23" xfId="20961" applyNumberFormat="1" applyFont="1" applyFill="1" applyBorder="1" applyAlignment="1" applyProtection="1">
      <alignment vertical="center"/>
      <protection locked="0"/>
    </xf>
    <xf numFmtId="193" fontId="10" fillId="0" borderId="138" xfId="0" applyNumberFormat="1" applyFont="1" applyBorder="1" applyAlignment="1">
      <alignment horizontal="right"/>
    </xf>
    <xf numFmtId="164" fontId="9" fillId="0" borderId="138" xfId="7" applyNumberFormat="1" applyFont="1" applyBorder="1" applyAlignment="1">
      <alignment horizontal="right"/>
    </xf>
    <xf numFmtId="164" fontId="4" fillId="0" borderId="138" xfId="7" applyNumberFormat="1" applyFont="1" applyFill="1" applyBorder="1" applyAlignment="1">
      <alignment vertical="center" wrapText="1"/>
    </xf>
    <xf numFmtId="164" fontId="4" fillId="0" borderId="138" xfId="7" applyNumberFormat="1" applyFont="1" applyBorder="1" applyAlignment="1">
      <alignment vertical="center"/>
    </xf>
    <xf numFmtId="164" fontId="6" fillId="0" borderId="138" xfId="7" applyNumberFormat="1" applyFont="1" applyFill="1" applyBorder="1" applyAlignment="1">
      <alignment vertical="center" wrapText="1"/>
    </xf>
    <xf numFmtId="164" fontId="6" fillId="0" borderId="138" xfId="7" applyNumberFormat="1" applyFont="1" applyBorder="1" applyAlignment="1">
      <alignment vertical="center"/>
    </xf>
    <xf numFmtId="164" fontId="6" fillId="0" borderId="98" xfId="7" applyNumberFormat="1" applyFont="1" applyBorder="1" applyAlignment="1">
      <alignment vertical="center"/>
    </xf>
    <xf numFmtId="193" fontId="0" fillId="0" borderId="0" xfId="0" applyNumberFormat="1"/>
    <xf numFmtId="193" fontId="24" fillId="3" borderId="20" xfId="2" applyNumberFormat="1" applyFont="1" applyFill="1" applyBorder="1" applyAlignment="1" applyProtection="1">
      <alignment vertical="top" wrapText="1"/>
      <protection locked="0"/>
    </xf>
    <xf numFmtId="164" fontId="4" fillId="0" borderId="112" xfId="7" applyNumberFormat="1" applyFont="1" applyBorder="1" applyAlignment="1">
      <alignment horizontal="right" vertical="center" wrapText="1"/>
    </xf>
    <xf numFmtId="164" fontId="6" fillId="35" borderId="112" xfId="7" applyNumberFormat="1" applyFont="1" applyFill="1" applyBorder="1" applyAlignment="1">
      <alignment horizontal="right" vertical="center" wrapText="1"/>
    </xf>
    <xf numFmtId="164" fontId="109" fillId="0" borderId="112" xfId="7" applyNumberFormat="1" applyFont="1" applyBorder="1" applyAlignment="1">
      <alignment horizontal="right" vertical="center" wrapText="1"/>
    </xf>
    <xf numFmtId="164" fontId="6" fillId="35" borderId="112" xfId="7" applyNumberFormat="1" applyFont="1" applyFill="1" applyBorder="1" applyAlignment="1">
      <alignment horizontal="center" vertical="center" wrapText="1"/>
    </xf>
    <xf numFmtId="164" fontId="7" fillId="0" borderId="24" xfId="7" applyNumberFormat="1" applyFont="1" applyFill="1" applyBorder="1" applyAlignment="1" applyProtection="1">
      <alignment horizontal="right" vertical="center"/>
    </xf>
    <xf numFmtId="0" fontId="23" fillId="0" borderId="146" xfId="0" applyFont="1" applyBorder="1"/>
    <xf numFmtId="164" fontId="4" fillId="0" borderId="3" xfId="7" applyNumberFormat="1" applyFont="1" applyBorder="1"/>
    <xf numFmtId="164" fontId="4" fillId="35" borderId="24" xfId="7" applyNumberFormat="1" applyFont="1" applyFill="1" applyBorder="1"/>
    <xf numFmtId="193" fontId="4" fillId="0" borderId="0" xfId="0" applyNumberFormat="1" applyFont="1"/>
    <xf numFmtId="164" fontId="4" fillId="0" borderId="99" xfId="7" applyNumberFormat="1" applyFont="1" applyBorder="1" applyAlignment="1">
      <alignment vertical="center"/>
    </xf>
    <xf numFmtId="164" fontId="4" fillId="0" borderId="112" xfId="7" applyNumberFormat="1" applyFont="1" applyBorder="1" applyAlignment="1">
      <alignment vertical="center"/>
    </xf>
    <xf numFmtId="164" fontId="4" fillId="3" borderId="96" xfId="7" applyNumberFormat="1" applyFont="1" applyFill="1" applyBorder="1" applyAlignment="1">
      <alignment vertical="center"/>
    </xf>
    <xf numFmtId="164" fontId="4" fillId="3" borderId="21" xfId="7" applyNumberFormat="1" applyFont="1" applyFill="1" applyBorder="1" applyAlignment="1">
      <alignment vertical="center"/>
    </xf>
    <xf numFmtId="164" fontId="4" fillId="0" borderId="23" xfId="7" applyNumberFormat="1" applyFont="1" applyBorder="1" applyAlignment="1">
      <alignment vertical="center"/>
    </xf>
    <xf numFmtId="164" fontId="4" fillId="0" borderId="25" xfId="7" applyNumberFormat="1" applyFont="1" applyBorder="1" applyAlignment="1">
      <alignment vertical="center"/>
    </xf>
    <xf numFmtId="164" fontId="6" fillId="0" borderId="99" xfId="7" applyNumberFormat="1" applyFont="1" applyBorder="1" applyAlignment="1">
      <alignment vertical="center"/>
    </xf>
    <xf numFmtId="164" fontId="6" fillId="0" borderId="23" xfId="7" applyNumberFormat="1" applyFont="1" applyBorder="1" applyAlignment="1">
      <alignment vertical="center"/>
    </xf>
    <xf numFmtId="164" fontId="6" fillId="0" borderId="25" xfId="7" applyNumberFormat="1" applyFont="1" applyBorder="1" applyAlignment="1">
      <alignment vertical="center"/>
    </xf>
    <xf numFmtId="164" fontId="4" fillId="0" borderId="53" xfId="7" applyNumberFormat="1" applyFont="1" applyBorder="1" applyAlignment="1">
      <alignment vertical="center"/>
    </xf>
    <xf numFmtId="164" fontId="6" fillId="0" borderId="64" xfId="7" applyNumberFormat="1" applyFont="1" applyBorder="1" applyAlignment="1">
      <alignment vertical="center"/>
    </xf>
    <xf numFmtId="164" fontId="6" fillId="0" borderId="112" xfId="7" applyNumberFormat="1" applyFont="1" applyBorder="1" applyAlignment="1">
      <alignment vertical="center"/>
    </xf>
    <xf numFmtId="164" fontId="4" fillId="3" borderId="26" xfId="7" applyNumberFormat="1" applyFont="1" applyFill="1" applyBorder="1" applyAlignment="1">
      <alignment vertical="center"/>
    </xf>
    <xf numFmtId="164" fontId="6" fillId="3" borderId="26" xfId="0" applyNumberFormat="1" applyFont="1" applyFill="1" applyBorder="1" applyAlignment="1">
      <alignment vertical="center"/>
    </xf>
    <xf numFmtId="164" fontId="4" fillId="3" borderId="145" xfId="7" applyNumberFormat="1" applyFont="1" applyFill="1" applyBorder="1" applyAlignment="1">
      <alignment vertical="center"/>
    </xf>
    <xf numFmtId="10" fontId="4" fillId="3" borderId="93" xfId="20961" applyNumberFormat="1" applyFont="1" applyFill="1" applyBorder="1" applyAlignment="1">
      <alignment vertical="center"/>
    </xf>
    <xf numFmtId="164" fontId="9" fillId="0" borderId="98" xfId="7" applyNumberFormat="1" applyFont="1" applyFill="1" applyBorder="1" applyAlignment="1" applyProtection="1">
      <alignment vertical="center"/>
      <protection locked="0"/>
    </xf>
    <xf numFmtId="10" fontId="9" fillId="0" borderId="98" xfId="20961" applyNumberFormat="1" applyFont="1" applyFill="1" applyBorder="1" applyAlignment="1" applyProtection="1">
      <alignment vertical="center"/>
      <protection locked="0"/>
    </xf>
    <xf numFmtId="0" fontId="102" fillId="0" borderId="146" xfId="0" applyFont="1" applyBorder="1"/>
    <xf numFmtId="0" fontId="11" fillId="0" borderId="146" xfId="17" applyBorder="1" applyAlignment="1" applyProtection="1"/>
    <xf numFmtId="164" fontId="6" fillId="3" borderId="50" xfId="0" applyNumberFormat="1" applyFont="1" applyFill="1" applyBorder="1" applyAlignment="1">
      <alignment vertical="center"/>
    </xf>
    <xf numFmtId="164" fontId="4" fillId="3" borderId="162" xfId="7" applyNumberFormat="1" applyFont="1" applyFill="1" applyBorder="1" applyAlignment="1">
      <alignment vertical="center"/>
    </xf>
    <xf numFmtId="10" fontId="4" fillId="3" borderId="161" xfId="20961" applyNumberFormat="1" applyFont="1" applyFill="1" applyBorder="1" applyAlignment="1">
      <alignment vertical="center"/>
    </xf>
    <xf numFmtId="164" fontId="139" fillId="3" borderId="146" xfId="7" applyNumberFormat="1" applyFont="1" applyFill="1" applyBorder="1" applyProtection="1">
      <protection locked="0"/>
    </xf>
    <xf numFmtId="10" fontId="113" fillId="77" borderId="146" xfId="20961" applyNumberFormat="1" applyFont="1" applyFill="1" applyBorder="1" applyAlignment="1" applyProtection="1">
      <alignment horizontal="right" vertical="center"/>
    </xf>
    <xf numFmtId="3" fontId="139" fillId="0" borderId="0" xfId="5" applyNumberFormat="1" applyFont="1"/>
    <xf numFmtId="164" fontId="4" fillId="0" borderId="98" xfId="7" applyNumberFormat="1" applyFont="1" applyBorder="1" applyAlignment="1"/>
    <xf numFmtId="164" fontId="4" fillId="0" borderId="98" xfId="7" applyNumberFormat="1" applyFont="1" applyBorder="1" applyAlignment="1">
      <alignment horizontal="center"/>
    </xf>
    <xf numFmtId="164" fontId="6" fillId="0" borderId="98" xfId="7" applyNumberFormat="1" applyFont="1" applyBorder="1"/>
    <xf numFmtId="164" fontId="120" fillId="0" borderId="138" xfId="7" applyNumberFormat="1" applyFont="1" applyBorder="1"/>
    <xf numFmtId="164" fontId="117" fillId="0" borderId="138" xfId="7" applyNumberFormat="1" applyFont="1" applyBorder="1"/>
    <xf numFmtId="164" fontId="116" fillId="0" borderId="146" xfId="7" applyNumberFormat="1" applyFont="1" applyBorder="1"/>
    <xf numFmtId="164" fontId="119" fillId="0" borderId="146" xfId="7" applyNumberFormat="1" applyFont="1" applyBorder="1"/>
    <xf numFmtId="164" fontId="102" fillId="0" borderId="146" xfId="7" applyNumberFormat="1" applyFont="1" applyBorder="1"/>
    <xf numFmtId="164" fontId="164" fillId="0" borderId="146" xfId="7" applyNumberFormat="1" applyFont="1" applyBorder="1"/>
    <xf numFmtId="164" fontId="103" fillId="0" borderId="146" xfId="7" applyNumberFormat="1" applyFont="1" applyBorder="1"/>
    <xf numFmtId="164" fontId="165" fillId="0" borderId="146" xfId="7" applyNumberFormat="1" applyFont="1" applyBorder="1"/>
    <xf numFmtId="164" fontId="119" fillId="0" borderId="146" xfId="0" applyNumberFormat="1" applyFont="1" applyBorder="1" applyAlignment="1">
      <alignment horizontal="left" indent="1"/>
    </xf>
    <xf numFmtId="164" fontId="119" fillId="0" borderId="146" xfId="0" applyNumberFormat="1" applyFont="1" applyBorder="1"/>
    <xf numFmtId="164" fontId="116" fillId="0" borderId="146" xfId="7" applyNumberFormat="1" applyFont="1" applyBorder="1" applyAlignment="1">
      <alignment horizontal="left" indent="1"/>
    </xf>
    <xf numFmtId="164" fontId="116" fillId="0" borderId="146" xfId="7" applyNumberFormat="1" applyFont="1" applyBorder="1" applyAlignment="1">
      <alignment horizontal="center" vertical="center" wrapText="1"/>
    </xf>
    <xf numFmtId="164" fontId="116" fillId="0" borderId="146" xfId="7" applyNumberFormat="1" applyFont="1" applyBorder="1" applyAlignment="1">
      <alignment horizontal="center" vertical="center"/>
    </xf>
    <xf numFmtId="164" fontId="119" fillId="0" borderId="146" xfId="0" applyNumberFormat="1" applyFont="1" applyBorder="1" applyAlignment="1">
      <alignment horizontal="left" vertical="center" wrapText="1"/>
    </xf>
    <xf numFmtId="164" fontId="121" fillId="0" borderId="146" xfId="7" applyNumberFormat="1" applyFont="1" applyBorder="1"/>
    <xf numFmtId="164" fontId="6" fillId="0" borderId="98" xfId="7" applyNumberFormat="1" applyFont="1" applyFill="1" applyBorder="1"/>
    <xf numFmtId="164" fontId="6" fillId="0" borderId="98" xfId="7" applyNumberFormat="1" applyFont="1" applyFill="1" applyBorder="1" applyAlignment="1">
      <alignment vertical="center"/>
    </xf>
    <xf numFmtId="164" fontId="0" fillId="0" borderId="0" xfId="0" applyNumberFormat="1"/>
    <xf numFmtId="164" fontId="4" fillId="0" borderId="112" xfId="7" applyNumberFormat="1" applyFont="1" applyFill="1" applyBorder="1"/>
    <xf numFmtId="164" fontId="4" fillId="0" borderId="0" xfId="7" applyNumberFormat="1" applyFont="1" applyFill="1" applyBorder="1"/>
    <xf numFmtId="164" fontId="0" fillId="0" borderId="0" xfId="7" applyNumberFormat="1" applyFont="1"/>
    <xf numFmtId="164" fontId="119" fillId="0" borderId="69" xfId="7" applyNumberFormat="1" applyFont="1" applyBorder="1"/>
    <xf numFmtId="164" fontId="116" fillId="0" borderId="155" xfId="7" applyNumberFormat="1" applyFont="1" applyBorder="1"/>
    <xf numFmtId="164" fontId="116" fillId="0" borderId="69" xfId="7" applyNumberFormat="1" applyFont="1" applyBorder="1"/>
    <xf numFmtId="164" fontId="119" fillId="0" borderId="156" xfId="7" applyNumberFormat="1" applyFont="1" applyBorder="1" applyAlignment="1">
      <alignment horizontal="left" indent="2"/>
    </xf>
    <xf numFmtId="164" fontId="116" fillId="79" borderId="156" xfId="7" applyNumberFormat="1" applyFont="1" applyFill="1" applyBorder="1"/>
    <xf numFmtId="164" fontId="116" fillId="79" borderId="146" xfId="7" applyNumberFormat="1" applyFont="1" applyFill="1" applyBorder="1"/>
    <xf numFmtId="164" fontId="116" fillId="79" borderId="155" xfId="7" applyNumberFormat="1" applyFont="1" applyFill="1" applyBorder="1"/>
    <xf numFmtId="164" fontId="116" fillId="0" borderId="153" xfId="7" applyNumberFormat="1" applyFont="1" applyBorder="1"/>
    <xf numFmtId="164" fontId="116" fillId="0" borderId="152" xfId="7" applyNumberFormat="1" applyFont="1" applyBorder="1"/>
    <xf numFmtId="164" fontId="166" fillId="0" borderId="146" xfId="7" applyNumberFormat="1" applyFont="1" applyBorder="1"/>
    <xf numFmtId="43" fontId="121" fillId="0" borderId="146" xfId="7" applyFont="1" applyBorder="1"/>
    <xf numFmtId="43" fontId="121" fillId="0" borderId="147" xfId="7" applyFont="1" applyBorder="1"/>
    <xf numFmtId="164" fontId="121" fillId="0" borderId="147" xfId="7" applyNumberFormat="1" applyFont="1" applyBorder="1"/>
    <xf numFmtId="164" fontId="139" fillId="0" borderId="0" xfId="7" applyNumberFormat="1" applyFont="1"/>
    <xf numFmtId="10" fontId="121" fillId="0" borderId="146" xfId="20961" applyNumberFormat="1" applyFont="1" applyBorder="1"/>
    <xf numFmtId="10" fontId="4" fillId="0" borderId="155" xfId="20961" applyNumberFormat="1" applyFont="1" applyFill="1" applyBorder="1"/>
    <xf numFmtId="10" fontId="4" fillId="0" borderId="107" xfId="20961" applyNumberFormat="1" applyFont="1" applyFill="1" applyBorder="1"/>
    <xf numFmtId="10" fontId="4" fillId="0" borderId="152" xfId="20961" applyNumberFormat="1" applyFont="1" applyFill="1" applyBorder="1"/>
    <xf numFmtId="0" fontId="9" fillId="0" borderId="106" xfId="0" applyFont="1" applyBorder="1"/>
    <xf numFmtId="0" fontId="4" fillId="0" borderId="0" xfId="0" applyFont="1" applyAlignment="1">
      <alignment horizontal="center"/>
    </xf>
    <xf numFmtId="9" fontId="4" fillId="35" borderId="24" xfId="20961" applyFont="1" applyFill="1" applyBorder="1"/>
    <xf numFmtId="43" fontId="0" fillId="0" borderId="138" xfId="7" applyFont="1" applyBorder="1"/>
    <xf numFmtId="0" fontId="13" fillId="0" borderId="145" xfId="0" applyFont="1" applyBorder="1" applyAlignment="1">
      <alignment wrapText="1"/>
    </xf>
    <xf numFmtId="0" fontId="13" fillId="0" borderId="25" xfId="0" applyFont="1" applyBorder="1" applyAlignment="1">
      <alignment wrapText="1"/>
    </xf>
    <xf numFmtId="164" fontId="4" fillId="0" borderId="8" xfId="7" applyNumberFormat="1" applyFont="1" applyBorder="1"/>
    <xf numFmtId="167" fontId="4" fillId="0" borderId="155" xfId="0" applyNumberFormat="1" applyFont="1" applyBorder="1"/>
    <xf numFmtId="164" fontId="4" fillId="0" borderId="0" xfId="0" applyNumberFormat="1" applyFont="1"/>
    <xf numFmtId="164" fontId="0" fillId="0" borderId="0" xfId="7" applyNumberFormat="1" applyFont="1" applyFill="1"/>
    <xf numFmtId="10" fontId="0" fillId="0" borderId="0" xfId="20961" applyNumberFormat="1" applyFont="1" applyFill="1"/>
    <xf numFmtId="165" fontId="0" fillId="0" borderId="0" xfId="20961" applyNumberFormat="1" applyFont="1" applyFill="1"/>
    <xf numFmtId="3" fontId="167" fillId="3" borderId="146" xfId="11086" applyNumberFormat="1" applyFont="1" applyFill="1" applyBorder="1"/>
    <xf numFmtId="38" fontId="113" fillId="0" borderId="146" xfId="948" applyNumberFormat="1" applyFont="1" applyFill="1" applyBorder="1" applyAlignment="1" applyProtection="1">
      <alignment horizontal="right" vertical="center"/>
      <protection locked="0"/>
    </xf>
    <xf numFmtId="0" fontId="141" fillId="0" borderId="159" xfId="0" applyFont="1" applyBorder="1" applyAlignment="1">
      <alignment horizontal="center" vertical="center"/>
    </xf>
    <xf numFmtId="0" fontId="141" fillId="0" borderId="29" xfId="0" applyFont="1" applyBorder="1" applyAlignment="1">
      <alignment horizontal="center" vertical="center"/>
    </xf>
    <xf numFmtId="0" fontId="141" fillId="0" borderId="160" xfId="0" applyFont="1" applyBorder="1" applyAlignment="1">
      <alignment horizontal="center" vertical="center"/>
    </xf>
    <xf numFmtId="0" fontId="104" fillId="0" borderId="66" xfId="0" applyFont="1" applyBorder="1" applyAlignment="1">
      <alignment horizontal="left" vertical="center" wrapText="1"/>
    </xf>
    <xf numFmtId="0" fontId="104" fillId="0" borderId="65" xfId="0" applyFont="1" applyBorder="1" applyAlignment="1">
      <alignment horizontal="left" vertical="center" wrapText="1"/>
    </xf>
    <xf numFmtId="0" fontId="0" fillId="0" borderId="99" xfId="0" applyBorder="1" applyAlignment="1">
      <alignment horizontal="center"/>
    </xf>
    <xf numFmtId="0" fontId="0" fillId="0" borderId="96" xfId="0" applyBorder="1" applyAlignment="1">
      <alignment horizontal="center"/>
    </xf>
    <xf numFmtId="0" fontId="0" fillId="0" borderId="97" xfId="0" applyBorder="1" applyAlignment="1">
      <alignment horizontal="center"/>
    </xf>
    <xf numFmtId="0" fontId="0" fillId="0" borderId="139" xfId="0" applyBorder="1" applyAlignment="1">
      <alignment horizontal="center"/>
    </xf>
    <xf numFmtId="0" fontId="0" fillId="0" borderId="140" xfId="0" applyBorder="1" applyAlignment="1">
      <alignment horizontal="center"/>
    </xf>
    <xf numFmtId="0" fontId="0" fillId="0" borderId="141" xfId="0" applyBorder="1" applyAlignment="1">
      <alignment horizontal="center"/>
    </xf>
    <xf numFmtId="0" fontId="0" fillId="0" borderId="138" xfId="0" applyBorder="1" applyAlignment="1">
      <alignment horizontal="center" vertical="center"/>
    </xf>
    <xf numFmtId="0" fontId="128" fillId="0" borderId="94" xfId="0" applyFont="1" applyBorder="1" applyAlignment="1">
      <alignment horizontal="center" vertical="center"/>
    </xf>
    <xf numFmtId="0" fontId="128" fillId="0" borderId="7"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28" fillId="0" borderId="142" xfId="0" applyFont="1" applyBorder="1" applyAlignment="1">
      <alignment horizontal="center" vertical="center" wrapText="1"/>
    </xf>
    <xf numFmtId="0" fontId="128" fillId="0" borderId="7" xfId="0" applyFont="1" applyBorder="1" applyAlignment="1">
      <alignment horizontal="center" vertical="center" wrapText="1"/>
    </xf>
    <xf numFmtId="0" fontId="0" fillId="0" borderId="128" xfId="0" applyBorder="1" applyAlignment="1">
      <alignment horizontal="center" vertical="center"/>
    </xf>
    <xf numFmtId="0" fontId="0" fillId="0" borderId="11" xfId="0" applyBorder="1" applyAlignment="1">
      <alignment horizontal="center" vertical="center"/>
    </xf>
    <xf numFmtId="0" fontId="0" fillId="0" borderId="138" xfId="0" applyBorder="1" applyAlignment="1">
      <alignment horizontal="center" vertical="center" wrapText="1"/>
    </xf>
    <xf numFmtId="0" fontId="10" fillId="0" borderId="17" xfId="0" applyFont="1" applyBorder="1" applyAlignment="1">
      <alignment horizontal="center"/>
    </xf>
    <xf numFmtId="0" fontId="10" fillId="0" borderId="18" xfId="0" applyFont="1" applyBorder="1" applyAlignment="1">
      <alignment horizontal="center"/>
    </xf>
    <xf numFmtId="0" fontId="13" fillId="0" borderId="3" xfId="0" applyFont="1" applyBorder="1" applyAlignment="1">
      <alignment wrapText="1"/>
    </xf>
    <xf numFmtId="0" fontId="4" fillId="0" borderId="20" xfId="0" applyFont="1" applyBorder="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99" xfId="0" applyFont="1" applyBorder="1" applyAlignment="1">
      <alignment horizontal="center"/>
    </xf>
    <xf numFmtId="0" fontId="4" fillId="0" borderId="21" xfId="0" applyFont="1" applyBorder="1" applyAlignment="1">
      <alignment horizontal="center"/>
    </xf>
    <xf numFmtId="0" fontId="6" fillId="35" borderId="116" xfId="0" applyFont="1" applyFill="1" applyBorder="1" applyAlignment="1">
      <alignment horizontal="center" vertical="center" wrapText="1"/>
    </xf>
    <xf numFmtId="0" fontId="6" fillId="35" borderId="28" xfId="0" applyFont="1" applyFill="1" applyBorder="1" applyAlignment="1">
      <alignment horizontal="center" vertical="center" wrapText="1"/>
    </xf>
    <xf numFmtId="0" fontId="6" fillId="35" borderId="113" xfId="0" applyFont="1" applyFill="1" applyBorder="1" applyAlignment="1">
      <alignment horizontal="center" vertical="center" wrapText="1"/>
    </xf>
    <xf numFmtId="0" fontId="6" fillId="35" borderId="97" xfId="0" applyFont="1" applyFill="1" applyBorder="1" applyAlignment="1">
      <alignment horizontal="center" vertical="center" wrapText="1"/>
    </xf>
    <xf numFmtId="0" fontId="4" fillId="85" borderId="7" xfId="0" applyFont="1" applyFill="1" applyBorder="1" applyAlignment="1">
      <alignment horizontal="center" vertical="center" wrapText="1"/>
    </xf>
    <xf numFmtId="0" fontId="4" fillId="85" borderId="146" xfId="0" applyFont="1" applyFill="1" applyBorder="1" applyAlignment="1">
      <alignment horizontal="center" vertical="center" wrapText="1"/>
    </xf>
    <xf numFmtId="0" fontId="4" fillId="85" borderId="7" xfId="11" applyFont="1" applyFill="1" applyBorder="1" applyAlignment="1">
      <alignment horizontal="center" vertical="top"/>
    </xf>
    <xf numFmtId="0" fontId="6" fillId="86" borderId="64" xfId="0" applyFont="1" applyFill="1" applyBorder="1" applyAlignment="1">
      <alignment horizontal="center" vertical="center" wrapText="1"/>
    </xf>
    <xf numFmtId="0" fontId="6" fillId="86" borderId="155" xfId="0" applyFont="1" applyFill="1" applyBorder="1" applyAlignment="1">
      <alignment horizontal="center" vertical="center" wrapText="1"/>
    </xf>
    <xf numFmtId="0" fontId="101" fillId="3" borderId="67" xfId="13" applyFont="1" applyFill="1" applyBorder="1" applyAlignment="1" applyProtection="1">
      <alignment horizontal="center" vertical="center" wrapText="1"/>
      <protection locked="0"/>
    </xf>
    <xf numFmtId="0" fontId="101" fillId="3" borderId="64"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15" fillId="3" borderId="16" xfId="1" applyNumberFormat="1" applyFont="1" applyFill="1" applyBorder="1" applyAlignment="1" applyProtection="1">
      <alignment horizontal="center"/>
      <protection locked="0"/>
    </xf>
    <xf numFmtId="164" fontId="15" fillId="3" borderId="17" xfId="1" applyNumberFormat="1" applyFont="1" applyFill="1" applyBorder="1" applyAlignment="1" applyProtection="1">
      <alignment horizontal="center"/>
      <protection locked="0"/>
    </xf>
    <xf numFmtId="164" fontId="15" fillId="3" borderId="18" xfId="1" applyNumberFormat="1" applyFont="1" applyFill="1" applyBorder="1" applyAlignment="1" applyProtection="1">
      <alignment horizontal="center"/>
      <protection locked="0"/>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164" fontId="15" fillId="0" borderId="90" xfId="1" applyNumberFormat="1" applyFont="1" applyFill="1" applyBorder="1" applyAlignment="1" applyProtection="1">
      <alignment horizontal="center" vertical="center" wrapText="1"/>
      <protection locked="0"/>
    </xf>
    <xf numFmtId="164" fontId="15" fillId="0" borderId="91" xfId="1" applyNumberFormat="1" applyFont="1" applyFill="1" applyBorder="1" applyAlignment="1" applyProtection="1">
      <alignment horizontal="center" vertical="center" wrapText="1"/>
      <protection locked="0"/>
    </xf>
    <xf numFmtId="0" fontId="4" fillId="0" borderId="67"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8" xfId="0" applyFont="1" applyBorder="1" applyAlignment="1">
      <alignment horizontal="center" wrapText="1"/>
    </xf>
    <xf numFmtId="0" fontId="4" fillId="0" borderId="10" xfId="0" applyFont="1" applyBorder="1" applyAlignment="1">
      <alignment horizontal="center" wrapText="1"/>
    </xf>
    <xf numFmtId="0" fontId="4" fillId="0" borderId="59"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105" xfId="0" applyFont="1" applyBorder="1" applyAlignment="1">
      <alignment horizontal="center" vertical="center" wrapText="1"/>
    </xf>
    <xf numFmtId="0" fontId="14" fillId="0" borderId="54" xfId="0" applyFont="1" applyBorder="1" applyAlignment="1">
      <alignment horizontal="left" vertical="center"/>
    </xf>
    <xf numFmtId="0" fontId="14" fillId="0" borderId="55" xfId="0" applyFont="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2" xfId="0" applyFont="1" applyBorder="1" applyAlignment="1">
      <alignment horizontal="center" vertical="center" wrapText="1"/>
    </xf>
    <xf numFmtId="0" fontId="119" fillId="0" borderId="119" xfId="0" applyFont="1" applyBorder="1" applyAlignment="1">
      <alignment horizontal="left" vertical="center" wrapText="1"/>
    </xf>
    <xf numFmtId="0" fontId="119" fillId="0" borderId="120" xfId="0" applyFont="1" applyBorder="1" applyAlignment="1">
      <alignment horizontal="left" vertical="center" wrapText="1"/>
    </xf>
    <xf numFmtId="0" fontId="119" fillId="0" borderId="122" xfId="0" applyFont="1" applyBorder="1" applyAlignment="1">
      <alignment horizontal="left" vertical="center" wrapText="1"/>
    </xf>
    <xf numFmtId="0" fontId="119" fillId="0" borderId="123" xfId="0" applyFont="1" applyBorder="1" applyAlignment="1">
      <alignment horizontal="left" vertical="center" wrapText="1"/>
    </xf>
    <xf numFmtId="0" fontId="119" fillId="0" borderId="125" xfId="0" applyFont="1" applyBorder="1" applyAlignment="1">
      <alignment horizontal="left" vertical="center" wrapText="1"/>
    </xf>
    <xf numFmtId="0" fontId="119" fillId="0" borderId="126" xfId="0" applyFont="1" applyBorder="1" applyAlignment="1">
      <alignment horizontal="left" vertical="center" wrapText="1"/>
    </xf>
    <xf numFmtId="0" fontId="120" fillId="0" borderId="145" xfId="0" applyFont="1" applyBorder="1" applyAlignment="1">
      <alignment horizontal="center" vertical="center" wrapText="1"/>
    </xf>
    <xf numFmtId="0" fontId="120" fillId="0" borderId="144" xfId="0" applyFont="1" applyBorder="1" applyAlignment="1">
      <alignment horizontal="center" vertical="center" wrapText="1"/>
    </xf>
    <xf numFmtId="0" fontId="120" fillId="0" borderId="121" xfId="0" applyFont="1" applyBorder="1" applyAlignment="1">
      <alignment horizontal="center" vertical="center" wrapText="1"/>
    </xf>
    <xf numFmtId="0" fontId="120" fillId="0" borderId="53" xfId="0" applyFont="1" applyBorder="1" applyAlignment="1">
      <alignment horizontal="center" vertical="center" wrapText="1"/>
    </xf>
    <xf numFmtId="0" fontId="120" fillId="0" borderId="124" xfId="0" applyFont="1" applyBorder="1" applyAlignment="1">
      <alignment horizontal="center" vertical="center" wrapText="1"/>
    </xf>
    <xf numFmtId="0" fontId="120" fillId="0" borderId="11" xfId="0" applyFont="1" applyBorder="1" applyAlignment="1">
      <alignment horizontal="center" vertical="center" wrapText="1"/>
    </xf>
    <xf numFmtId="0" fontId="116" fillId="0" borderId="147" xfId="0" applyFont="1" applyBorder="1" applyAlignment="1">
      <alignment horizontal="center" vertical="center" wrapText="1"/>
    </xf>
    <xf numFmtId="0" fontId="116" fillId="0" borderId="7" xfId="0" applyFont="1" applyBorder="1" applyAlignment="1">
      <alignment horizontal="center" vertical="center" wrapText="1"/>
    </xf>
    <xf numFmtId="0" fontId="116" fillId="0" borderId="146" xfId="0" applyFont="1" applyBorder="1" applyAlignment="1">
      <alignment horizontal="center" vertical="center" wrapText="1"/>
    </xf>
    <xf numFmtId="0" fontId="116" fillId="0" borderId="149" xfId="0" applyFont="1" applyBorder="1" applyAlignment="1">
      <alignment horizontal="center" vertical="center" wrapText="1"/>
    </xf>
    <xf numFmtId="0" fontId="116" fillId="0" borderId="148" xfId="0" applyFont="1" applyBorder="1" applyAlignment="1">
      <alignment horizontal="center" vertical="center" wrapText="1"/>
    </xf>
    <xf numFmtId="0" fontId="124" fillId="0" borderId="146" xfId="0" applyFont="1" applyBorder="1" applyAlignment="1">
      <alignment horizontal="center" vertical="center"/>
    </xf>
    <xf numFmtId="0" fontId="118" fillId="0" borderId="145" xfId="0" applyFont="1" applyBorder="1" applyAlignment="1">
      <alignment horizontal="center" vertical="center"/>
    </xf>
    <xf numFmtId="0" fontId="118" fillId="0" borderId="150" xfId="0" applyFont="1" applyBorder="1" applyAlignment="1">
      <alignment horizontal="center" vertical="center"/>
    </xf>
    <xf numFmtId="0" fontId="118" fillId="0" borderId="53" xfId="0" applyFont="1" applyBorder="1" applyAlignment="1">
      <alignment horizontal="center" vertical="center"/>
    </xf>
    <xf numFmtId="0" fontId="118" fillId="0" borderId="11" xfId="0" applyFont="1" applyBorder="1" applyAlignment="1">
      <alignment horizontal="center" vertical="center"/>
    </xf>
    <xf numFmtId="0" fontId="119" fillId="0" borderId="146" xfId="0" applyFont="1" applyBorder="1" applyAlignment="1">
      <alignment horizontal="center" vertical="center" wrapText="1"/>
    </xf>
    <xf numFmtId="0" fontId="119" fillId="0" borderId="145" xfId="0" applyFont="1" applyBorder="1" applyAlignment="1">
      <alignment horizontal="center" vertical="center" wrapText="1"/>
    </xf>
    <xf numFmtId="0" fontId="119" fillId="0" borderId="150" xfId="0" applyFont="1" applyBorder="1" applyAlignment="1">
      <alignment horizontal="center" vertical="center" wrapText="1"/>
    </xf>
    <xf numFmtId="0" fontId="119" fillId="0" borderId="127" xfId="0" applyFont="1" applyBorder="1" applyAlignment="1">
      <alignment horizontal="center" vertical="center" wrapText="1"/>
    </xf>
    <xf numFmtId="0" fontId="119" fillId="0" borderId="128" xfId="0" applyFont="1" applyBorder="1" applyAlignment="1">
      <alignment horizontal="center" vertical="center" wrapText="1"/>
    </xf>
    <xf numFmtId="0" fontId="119" fillId="0" borderId="53" xfId="0" applyFont="1" applyBorder="1" applyAlignment="1">
      <alignment horizontal="center" vertical="center" wrapText="1"/>
    </xf>
    <xf numFmtId="0" fontId="119" fillId="0" borderId="11" xfId="0" applyFont="1" applyBorder="1" applyAlignment="1">
      <alignment horizontal="center" vertical="center" wrapText="1"/>
    </xf>
    <xf numFmtId="0" fontId="116" fillId="0" borderId="151" xfId="0" applyFont="1" applyBorder="1" applyAlignment="1">
      <alignment horizontal="center" vertical="center" wrapText="1"/>
    </xf>
    <xf numFmtId="0" fontId="119" fillId="0" borderId="129" xfId="0" applyFont="1" applyBorder="1" applyAlignment="1">
      <alignment horizontal="center" vertical="center" wrapText="1"/>
    </xf>
    <xf numFmtId="0" fontId="119" fillId="0" borderId="7" xfId="0" applyFont="1" applyBorder="1" applyAlignment="1">
      <alignment horizontal="center" vertical="center" wrapText="1"/>
    </xf>
    <xf numFmtId="0" fontId="116" fillId="0" borderId="129" xfId="0" applyFont="1" applyBorder="1" applyAlignment="1">
      <alignment horizontal="center" vertical="center" wrapText="1"/>
    </xf>
    <xf numFmtId="0" fontId="116" fillId="0" borderId="145" xfId="0" applyFont="1" applyBorder="1" applyAlignment="1">
      <alignment horizontal="center" vertical="center" wrapText="1"/>
    </xf>
    <xf numFmtId="0" fontId="116" fillId="0" borderId="144" xfId="0" applyFont="1" applyBorder="1" applyAlignment="1">
      <alignment horizontal="center" vertical="center" wrapText="1"/>
    </xf>
    <xf numFmtId="0" fontId="116" fillId="0" borderId="150"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155" xfId="0" applyFont="1" applyBorder="1" applyAlignment="1">
      <alignment horizontal="center" vertical="center" wrapText="1"/>
    </xf>
    <xf numFmtId="0" fontId="116" fillId="0" borderId="54" xfId="0" applyFont="1" applyBorder="1" applyAlignment="1">
      <alignment horizontal="center" vertical="center" wrapText="1"/>
    </xf>
    <xf numFmtId="0" fontId="116" fillId="0" borderId="55" xfId="0" applyFont="1" applyBorder="1" applyAlignment="1">
      <alignment horizontal="center" vertical="center" wrapText="1"/>
    </xf>
    <xf numFmtId="0" fontId="116" fillId="0" borderId="105" xfId="0" applyFont="1" applyBorder="1" applyAlignment="1">
      <alignment horizontal="center" vertical="center" wrapText="1"/>
    </xf>
    <xf numFmtId="0" fontId="119" fillId="0" borderId="54" xfId="0" applyFont="1" applyBorder="1" applyAlignment="1">
      <alignment horizontal="left" vertical="top" wrapText="1"/>
    </xf>
    <xf numFmtId="0" fontId="119" fillId="0" borderId="105" xfId="0" applyFont="1" applyBorder="1" applyAlignment="1">
      <alignment horizontal="left" vertical="top" wrapText="1"/>
    </xf>
    <xf numFmtId="0" fontId="119" fillId="0" borderId="63" xfId="0" applyFont="1" applyBorder="1" applyAlignment="1">
      <alignment horizontal="left" vertical="top" wrapText="1"/>
    </xf>
    <xf numFmtId="0" fontId="119" fillId="0" borderId="92" xfId="0" applyFont="1" applyBorder="1" applyAlignment="1">
      <alignment horizontal="left" vertical="top" wrapText="1"/>
    </xf>
    <xf numFmtId="0" fontId="119" fillId="0" borderId="118" xfId="0" applyFont="1" applyBorder="1" applyAlignment="1">
      <alignment horizontal="left" vertical="top" wrapText="1"/>
    </xf>
    <xf numFmtId="0" fontId="119" fillId="0" borderId="157" xfId="0" applyFont="1" applyBorder="1" applyAlignment="1">
      <alignment horizontal="left" vertical="top" wrapText="1"/>
    </xf>
    <xf numFmtId="0" fontId="119" fillId="0" borderId="158" xfId="0" applyFont="1" applyBorder="1" applyAlignment="1">
      <alignment horizontal="center" vertical="center" wrapText="1"/>
    </xf>
    <xf numFmtId="0" fontId="119" fillId="0" borderId="69" xfId="0" applyFont="1" applyBorder="1" applyAlignment="1">
      <alignment horizontal="center" vertical="center" wrapText="1"/>
    </xf>
    <xf numFmtId="0" fontId="116" fillId="0" borderId="145" xfId="0" applyFont="1" applyBorder="1" applyAlignment="1">
      <alignment horizontal="center" vertical="top" wrapText="1"/>
    </xf>
    <xf numFmtId="0" fontId="116" fillId="0" borderId="144" xfId="0" applyFont="1" applyBorder="1" applyAlignment="1">
      <alignment horizontal="center" vertical="top" wrapText="1"/>
    </xf>
    <xf numFmtId="0" fontId="116" fillId="0" borderId="151" xfId="0" applyFont="1" applyBorder="1" applyAlignment="1">
      <alignment horizontal="center" vertical="top" wrapText="1"/>
    </xf>
    <xf numFmtId="0" fontId="116" fillId="0" borderId="148" xfId="0" applyFont="1" applyBorder="1" applyAlignment="1">
      <alignment horizontal="center" vertical="top" wrapText="1"/>
    </xf>
    <xf numFmtId="0" fontId="105" fillId="0" borderId="130" xfId="0" applyFont="1" applyBorder="1" applyAlignment="1">
      <alignment horizontal="left" vertical="top" wrapText="1"/>
    </xf>
    <xf numFmtId="0" fontId="105" fillId="0" borderId="131" xfId="0" applyFont="1" applyBorder="1" applyAlignment="1">
      <alignment horizontal="left" vertical="top" wrapText="1"/>
    </xf>
    <xf numFmtId="0" fontId="122" fillId="0" borderId="146" xfId="0" applyFont="1" applyBorder="1" applyAlignment="1">
      <alignment horizontal="center" vertical="center"/>
    </xf>
    <xf numFmtId="0" fontId="121" fillId="0" borderId="146" xfId="0" applyFont="1" applyBorder="1" applyAlignment="1">
      <alignment horizontal="center" vertical="center" wrapText="1"/>
    </xf>
    <xf numFmtId="0" fontId="121" fillId="0" borderId="147" xfId="0" applyFont="1" applyBorder="1" applyAlignment="1">
      <alignment horizontal="center" vertical="center" wrapText="1"/>
    </xf>
    <xf numFmtId="0" fontId="105" fillId="0" borderId="70" xfId="0" applyFont="1" applyBorder="1" applyAlignment="1">
      <alignment horizontal="center" vertical="center"/>
    </xf>
    <xf numFmtId="0" fontId="105" fillId="0" borderId="71" xfId="0" applyFont="1" applyBorder="1" applyAlignment="1">
      <alignment horizontal="center" vertical="center"/>
    </xf>
    <xf numFmtId="0" fontId="105" fillId="0" borderId="72" xfId="0" applyFont="1" applyBorder="1" applyAlignment="1">
      <alignment horizontal="center" vertical="center"/>
    </xf>
    <xf numFmtId="0" fontId="106" fillId="0" borderId="98" xfId="0" applyFont="1" applyBorder="1" applyAlignment="1">
      <alignment horizontal="left" vertical="center" wrapText="1"/>
    </xf>
    <xf numFmtId="0" fontId="105" fillId="75" borderId="73" xfId="0" applyFont="1" applyFill="1" applyBorder="1" applyAlignment="1">
      <alignment horizontal="center" vertical="center" wrapText="1"/>
    </xf>
    <xf numFmtId="0" fontId="105" fillId="75" borderId="74" xfId="0" applyFont="1" applyFill="1" applyBorder="1" applyAlignment="1">
      <alignment horizontal="center" vertical="center" wrapText="1"/>
    </xf>
    <xf numFmtId="0" fontId="105" fillId="75" borderId="75" xfId="0" applyFont="1" applyFill="1" applyBorder="1" applyAlignment="1">
      <alignment horizontal="center" vertical="center" wrapText="1"/>
    </xf>
    <xf numFmtId="0" fontId="106" fillId="0" borderId="53"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99" xfId="0" applyFont="1" applyBorder="1" applyAlignment="1">
      <alignment horizontal="left" vertical="center" wrapText="1"/>
    </xf>
    <xf numFmtId="0" fontId="106" fillId="0" borderId="97" xfId="0" applyFont="1" applyBorder="1" applyAlignment="1">
      <alignment horizontal="left" vertical="center" wrapText="1"/>
    </xf>
    <xf numFmtId="0" fontId="155" fillId="3" borderId="99" xfId="0" applyFont="1" applyFill="1" applyBorder="1" applyAlignment="1">
      <alignment vertical="center" wrapText="1"/>
    </xf>
    <xf numFmtId="0" fontId="155" fillId="3" borderId="97" xfId="0" applyFont="1" applyFill="1" applyBorder="1" applyAlignment="1">
      <alignment vertical="center" wrapText="1"/>
    </xf>
    <xf numFmtId="0" fontId="106" fillId="3" borderId="99" xfId="0" applyFont="1" applyFill="1" applyBorder="1" applyAlignment="1">
      <alignment vertical="center" wrapText="1"/>
    </xf>
    <xf numFmtId="0" fontId="106" fillId="3" borderId="97" xfId="0" applyFont="1" applyFill="1" applyBorder="1" applyAlignment="1">
      <alignment vertical="center" wrapText="1"/>
    </xf>
    <xf numFmtId="0" fontId="106" fillId="0" borderId="99" xfId="0" applyFont="1" applyBorder="1" applyAlignment="1">
      <alignment horizontal="left"/>
    </xf>
    <xf numFmtId="0" fontId="106" fillId="0" borderId="97" xfId="0" applyFont="1" applyBorder="1" applyAlignment="1">
      <alignment horizontal="left"/>
    </xf>
    <xf numFmtId="0" fontId="106" fillId="0" borderId="99" xfId="0" applyFont="1" applyBorder="1" applyAlignment="1">
      <alignment vertical="center" wrapText="1"/>
    </xf>
    <xf numFmtId="0" fontId="106" fillId="0" borderId="97" xfId="0" applyFont="1" applyBorder="1" applyAlignment="1">
      <alignment vertical="center" wrapText="1"/>
    </xf>
    <xf numFmtId="0" fontId="106" fillId="0" borderId="139" xfId="0" applyFont="1" applyBorder="1" applyAlignment="1">
      <alignment horizontal="left" vertical="center" wrapText="1"/>
    </xf>
    <xf numFmtId="0" fontId="106" fillId="0" borderId="140" xfId="0" applyFont="1" applyBorder="1" applyAlignment="1">
      <alignment horizontal="left" vertical="center" wrapText="1"/>
    </xf>
    <xf numFmtId="0" fontId="106" fillId="0" borderId="141" xfId="0" applyFont="1" applyBorder="1" applyAlignment="1">
      <alignment horizontal="left" vertical="center" wrapText="1"/>
    </xf>
    <xf numFmtId="0" fontId="106" fillId="3" borderId="77" xfId="0" applyFont="1" applyFill="1" applyBorder="1" applyAlignment="1">
      <alignment horizontal="left" vertical="center" wrapText="1"/>
    </xf>
    <xf numFmtId="0" fontId="106" fillId="3" borderId="78" xfId="0" applyFont="1" applyFill="1" applyBorder="1" applyAlignment="1">
      <alignment horizontal="left" vertical="center" wrapText="1"/>
    </xf>
    <xf numFmtId="0" fontId="106" fillId="0" borderId="80" xfId="0" applyFont="1" applyBorder="1" applyAlignment="1">
      <alignment horizontal="left" vertical="center" wrapText="1"/>
    </xf>
    <xf numFmtId="0" fontId="106" fillId="0" borderId="81" xfId="0" applyFont="1" applyBorder="1" applyAlignment="1">
      <alignment horizontal="left" vertical="center" wrapText="1"/>
    </xf>
    <xf numFmtId="0" fontId="106" fillId="0" borderId="53" xfId="0" applyFont="1" applyBorder="1" applyAlignment="1">
      <alignment vertical="center" wrapText="1"/>
    </xf>
    <xf numFmtId="0" fontId="106" fillId="0" borderId="11" xfId="0" applyFont="1" applyBorder="1" applyAlignment="1">
      <alignment vertical="center" wrapText="1"/>
    </xf>
    <xf numFmtId="0" fontId="106" fillId="0" borderId="77" xfId="0" applyFont="1" applyBorder="1" applyAlignment="1">
      <alignment horizontal="left" vertical="center" wrapText="1"/>
    </xf>
    <xf numFmtId="0" fontId="106" fillId="0" borderId="78" xfId="0" applyFont="1" applyBorder="1" applyAlignment="1">
      <alignment horizontal="left" vertical="center" wrapText="1"/>
    </xf>
    <xf numFmtId="0" fontId="155" fillId="3" borderId="99" xfId="0" applyFont="1" applyFill="1" applyBorder="1" applyAlignment="1">
      <alignment horizontal="left" vertical="center" wrapText="1"/>
    </xf>
    <xf numFmtId="0" fontId="155" fillId="3" borderId="97" xfId="0" applyFont="1" applyFill="1" applyBorder="1" applyAlignment="1">
      <alignment horizontal="left" vertical="center" wrapText="1"/>
    </xf>
    <xf numFmtId="0" fontId="106" fillId="3" borderId="99" xfId="0" applyFont="1" applyFill="1" applyBorder="1" applyAlignment="1">
      <alignment horizontal="left" vertical="center" wrapText="1"/>
    </xf>
    <xf numFmtId="0" fontId="106" fillId="3" borderId="97" xfId="0" applyFont="1" applyFill="1" applyBorder="1" applyAlignment="1">
      <alignment horizontal="left" vertical="center" wrapText="1"/>
    </xf>
    <xf numFmtId="0" fontId="106" fillId="0" borderId="149" xfId="0" applyFont="1" applyBorder="1" applyAlignment="1">
      <alignment horizontal="left" vertical="center" wrapText="1"/>
    </xf>
    <xf numFmtId="0" fontId="106" fillId="0" borderId="148" xfId="0" applyFont="1" applyBorder="1" applyAlignment="1">
      <alignment horizontal="left" vertical="center" wrapText="1"/>
    </xf>
    <xf numFmtId="0" fontId="105" fillId="75" borderId="82" xfId="0" applyFont="1" applyFill="1" applyBorder="1" applyAlignment="1">
      <alignment horizontal="center" vertical="center" wrapText="1"/>
    </xf>
    <xf numFmtId="0" fontId="105" fillId="75" borderId="0" xfId="0" applyFont="1" applyFill="1" applyAlignment="1">
      <alignment horizontal="center" vertical="center" wrapText="1"/>
    </xf>
    <xf numFmtId="0" fontId="105" fillId="75" borderId="83" xfId="0" applyFont="1" applyFill="1" applyBorder="1" applyAlignment="1">
      <alignment horizontal="center" vertical="center" wrapText="1"/>
    </xf>
    <xf numFmtId="0" fontId="105" fillId="75" borderId="87" xfId="0" applyFont="1" applyFill="1" applyBorder="1" applyAlignment="1">
      <alignment horizontal="center" vertical="center"/>
    </xf>
    <xf numFmtId="0" fontId="105" fillId="75" borderId="88" xfId="0" applyFont="1" applyFill="1" applyBorder="1" applyAlignment="1">
      <alignment horizontal="center" vertical="center"/>
    </xf>
    <xf numFmtId="0" fontId="105" fillId="75" borderId="89" xfId="0" applyFont="1" applyFill="1" applyBorder="1" applyAlignment="1">
      <alignment horizontal="center" vertical="center"/>
    </xf>
    <xf numFmtId="0" fontId="105" fillId="75" borderId="146" xfId="0" applyFont="1" applyFill="1" applyBorder="1" applyAlignment="1">
      <alignment horizontal="center" vertical="center" wrapText="1"/>
    </xf>
    <xf numFmtId="0" fontId="105" fillId="0" borderId="146" xfId="0" applyFont="1" applyBorder="1" applyAlignment="1">
      <alignment horizontal="center" vertical="center"/>
    </xf>
    <xf numFmtId="0" fontId="106" fillId="0" borderId="149" xfId="13" applyFont="1" applyBorder="1" applyAlignment="1" applyProtection="1">
      <alignment horizontal="left" vertical="top" wrapText="1"/>
      <protection locked="0"/>
    </xf>
    <xf numFmtId="0" fontId="106" fillId="0" borderId="148" xfId="13" applyFont="1" applyBorder="1" applyAlignment="1" applyProtection="1">
      <alignment horizontal="left" vertical="top" wrapText="1"/>
      <protection locked="0"/>
    </xf>
    <xf numFmtId="0" fontId="106" fillId="3" borderId="149" xfId="13" applyFont="1" applyFill="1" applyBorder="1" applyAlignment="1" applyProtection="1">
      <alignment horizontal="left" vertical="top" wrapText="1"/>
      <protection locked="0"/>
    </xf>
    <xf numFmtId="0" fontId="106" fillId="3" borderId="148" xfId="13" applyFont="1" applyFill="1" applyBorder="1" applyAlignment="1" applyProtection="1">
      <alignment horizontal="left" vertical="top" wrapText="1"/>
      <protection locked="0"/>
    </xf>
    <xf numFmtId="0" fontId="105" fillId="0" borderId="85" xfId="0" applyFont="1" applyBorder="1" applyAlignment="1">
      <alignment horizontal="center" vertical="center"/>
    </xf>
    <xf numFmtId="49" fontId="106" fillId="0" borderId="0" xfId="0" applyNumberFormat="1" applyFont="1" applyAlignment="1">
      <alignment horizontal="center" vertical="center"/>
    </xf>
    <xf numFmtId="0" fontId="105" fillId="75" borderId="149" xfId="0" applyFont="1" applyFill="1" applyBorder="1" applyAlignment="1">
      <alignment horizontal="center" vertical="center" wrapText="1"/>
    </xf>
    <xf numFmtId="0" fontId="105" fillId="75" borderId="148" xfId="0" applyFont="1" applyFill="1" applyBorder="1" applyAlignment="1">
      <alignment horizontal="center" vertical="center" wrapText="1"/>
    </xf>
    <xf numFmtId="0" fontId="106" fillId="0" borderId="146" xfId="0" applyFont="1" applyBorder="1" applyAlignment="1">
      <alignment horizontal="left" vertical="top" wrapText="1"/>
    </xf>
    <xf numFmtId="0" fontId="106" fillId="0" borderId="149" xfId="0" applyFont="1" applyBorder="1" applyAlignment="1">
      <alignment horizontal="left" vertical="top" wrapText="1"/>
    </xf>
    <xf numFmtId="0" fontId="106" fillId="0" borderId="146" xfId="0" applyFont="1" applyBorder="1" applyAlignment="1">
      <alignment horizontal="left" vertical="center" wrapText="1"/>
    </xf>
    <xf numFmtId="0" fontId="106" fillId="0" borderId="146" xfId="0" applyFont="1" applyBorder="1" applyAlignment="1">
      <alignment horizontal="center"/>
    </xf>
    <xf numFmtId="0" fontId="155" fillId="0" borderId="149" xfId="13" applyFont="1" applyBorder="1" applyAlignment="1" applyProtection="1">
      <alignment horizontal="left" vertical="top" wrapText="1"/>
      <protection locked="0"/>
    </xf>
    <xf numFmtId="0" fontId="155" fillId="0" borderId="148" xfId="13" applyFont="1" applyBorder="1" applyAlignment="1" applyProtection="1">
      <alignment horizontal="left" vertical="top" wrapText="1"/>
      <protection locked="0"/>
    </xf>
    <xf numFmtId="0" fontId="106" fillId="0" borderId="148" xfId="0" applyFont="1" applyBorder="1" applyAlignment="1">
      <alignment horizontal="left" vertical="top" wrapText="1"/>
    </xf>
  </cellXfs>
  <cellStyles count="21417">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2" xfId="21221" xr:uid="{00000000-0005-0000-0000-000062500000}"/>
    <cellStyle name="Note 2 10 3" xfId="20386" xr:uid="{00000000-0005-0000-0000-000063500000}"/>
    <cellStyle name="Note 2 10 3 2" xfId="21220" xr:uid="{00000000-0005-0000-0000-000064500000}"/>
    <cellStyle name="Note 2 10 4" xfId="20387" xr:uid="{00000000-0005-0000-0000-000065500000}"/>
    <cellStyle name="Note 2 10 4 2" xfId="21219" xr:uid="{00000000-0005-0000-0000-000066500000}"/>
    <cellStyle name="Note 2 10 5" xfId="20388" xr:uid="{00000000-0005-0000-0000-000067500000}"/>
    <cellStyle name="Note 2 10 5 2" xfId="21218" xr:uid="{00000000-0005-0000-0000-000068500000}"/>
    <cellStyle name="Note 2 11" xfId="20389" xr:uid="{00000000-0005-0000-0000-000069500000}"/>
    <cellStyle name="Note 2 11 2" xfId="20390" xr:uid="{00000000-0005-0000-0000-00006A500000}"/>
    <cellStyle name="Note 2 11 2 2" xfId="21217" xr:uid="{00000000-0005-0000-0000-00006B500000}"/>
    <cellStyle name="Note 2 11 3" xfId="20391" xr:uid="{00000000-0005-0000-0000-00006C500000}"/>
    <cellStyle name="Note 2 11 3 2" xfId="21216" xr:uid="{00000000-0005-0000-0000-00006D500000}"/>
    <cellStyle name="Note 2 11 4" xfId="20392" xr:uid="{00000000-0005-0000-0000-00006E500000}"/>
    <cellStyle name="Note 2 11 4 2" xfId="21215" xr:uid="{00000000-0005-0000-0000-00006F500000}"/>
    <cellStyle name="Note 2 11 5" xfId="20393" xr:uid="{00000000-0005-0000-0000-000070500000}"/>
    <cellStyle name="Note 2 11 5 2" xfId="21214" xr:uid="{00000000-0005-0000-0000-000071500000}"/>
    <cellStyle name="Note 2 12" xfId="20394" xr:uid="{00000000-0005-0000-0000-000072500000}"/>
    <cellStyle name="Note 2 12 2" xfId="20395" xr:uid="{00000000-0005-0000-0000-000073500000}"/>
    <cellStyle name="Note 2 12 2 2" xfId="21213" xr:uid="{00000000-0005-0000-0000-000074500000}"/>
    <cellStyle name="Note 2 12 3" xfId="20396" xr:uid="{00000000-0005-0000-0000-000075500000}"/>
    <cellStyle name="Note 2 12 3 2" xfId="21212" xr:uid="{00000000-0005-0000-0000-000076500000}"/>
    <cellStyle name="Note 2 12 4" xfId="20397" xr:uid="{00000000-0005-0000-0000-000077500000}"/>
    <cellStyle name="Note 2 12 4 2" xfId="21211" xr:uid="{00000000-0005-0000-0000-000078500000}"/>
    <cellStyle name="Note 2 12 5" xfId="20398" xr:uid="{00000000-0005-0000-0000-000079500000}"/>
    <cellStyle name="Note 2 12 5 2" xfId="21210" xr:uid="{00000000-0005-0000-0000-00007A500000}"/>
    <cellStyle name="Note 2 13" xfId="20399" xr:uid="{00000000-0005-0000-0000-00007B500000}"/>
    <cellStyle name="Note 2 13 2" xfId="20400" xr:uid="{00000000-0005-0000-0000-00007C500000}"/>
    <cellStyle name="Note 2 13 2 2" xfId="21209" xr:uid="{00000000-0005-0000-0000-00007D500000}"/>
    <cellStyle name="Note 2 13 3" xfId="20401" xr:uid="{00000000-0005-0000-0000-00007E500000}"/>
    <cellStyle name="Note 2 13 3 2" xfId="21208" xr:uid="{00000000-0005-0000-0000-00007F500000}"/>
    <cellStyle name="Note 2 13 4" xfId="20402" xr:uid="{00000000-0005-0000-0000-000080500000}"/>
    <cellStyle name="Note 2 13 4 2" xfId="21207" xr:uid="{00000000-0005-0000-0000-000081500000}"/>
    <cellStyle name="Note 2 13 5" xfId="20403" xr:uid="{00000000-0005-0000-0000-000082500000}"/>
    <cellStyle name="Note 2 13 5 2" xfId="21206" xr:uid="{00000000-0005-0000-0000-000083500000}"/>
    <cellStyle name="Note 2 14" xfId="20404" xr:uid="{00000000-0005-0000-0000-000084500000}"/>
    <cellStyle name="Note 2 14 2" xfId="20405" xr:uid="{00000000-0005-0000-0000-000085500000}"/>
    <cellStyle name="Note 2 14 2 2" xfId="21204" xr:uid="{00000000-0005-0000-0000-000086500000}"/>
    <cellStyle name="Note 2 14 3" xfId="21205" xr:uid="{00000000-0005-0000-0000-000087500000}"/>
    <cellStyle name="Note 2 15" xfId="20406" xr:uid="{00000000-0005-0000-0000-000088500000}"/>
    <cellStyle name="Note 2 15 2" xfId="20407" xr:uid="{00000000-0005-0000-0000-000089500000}"/>
    <cellStyle name="Note 2 15 2 2" xfId="21203" xr:uid="{00000000-0005-0000-0000-00008A500000}"/>
    <cellStyle name="Note 2 16" xfId="20408" xr:uid="{00000000-0005-0000-0000-00008B500000}"/>
    <cellStyle name="Note 2 16 2" xfId="21202" xr:uid="{00000000-0005-0000-0000-00008C500000}"/>
    <cellStyle name="Note 2 17" xfId="20409" xr:uid="{00000000-0005-0000-0000-00008D500000}"/>
    <cellStyle name="Note 2 17 2" xfId="21201" xr:uid="{00000000-0005-0000-0000-00008E500000}"/>
    <cellStyle name="Note 2 18" xfId="21222" xr:uid="{00000000-0005-0000-0000-00008F500000}"/>
    <cellStyle name="Note 2 2" xfId="20410" xr:uid="{00000000-0005-0000-0000-000090500000}"/>
    <cellStyle name="Note 2 2 10" xfId="20411" xr:uid="{00000000-0005-0000-0000-000091500000}"/>
    <cellStyle name="Note 2 2 10 2" xfId="21199" xr:uid="{00000000-0005-0000-0000-000092500000}"/>
    <cellStyle name="Note 2 2 11" xfId="21200" xr:uid="{00000000-0005-0000-0000-000093500000}"/>
    <cellStyle name="Note 2 2 2" xfId="20412" xr:uid="{00000000-0005-0000-0000-000094500000}"/>
    <cellStyle name="Note 2 2 2 2" xfId="20413" xr:uid="{00000000-0005-0000-0000-000095500000}"/>
    <cellStyle name="Note 2 2 2 2 2" xfId="21197" xr:uid="{00000000-0005-0000-0000-000096500000}"/>
    <cellStyle name="Note 2 2 2 3" xfId="20414" xr:uid="{00000000-0005-0000-0000-000097500000}"/>
    <cellStyle name="Note 2 2 2 3 2" xfId="21196" xr:uid="{00000000-0005-0000-0000-000098500000}"/>
    <cellStyle name="Note 2 2 2 4" xfId="20415" xr:uid="{00000000-0005-0000-0000-000099500000}"/>
    <cellStyle name="Note 2 2 2 4 2" xfId="21195" xr:uid="{00000000-0005-0000-0000-00009A500000}"/>
    <cellStyle name="Note 2 2 2 5" xfId="20416" xr:uid="{00000000-0005-0000-0000-00009B500000}"/>
    <cellStyle name="Note 2 2 2 5 2" xfId="21194" xr:uid="{00000000-0005-0000-0000-00009C500000}"/>
    <cellStyle name="Note 2 2 2 6" xfId="21198" xr:uid="{00000000-0005-0000-0000-00009D500000}"/>
    <cellStyle name="Note 2 2 3" xfId="20417" xr:uid="{00000000-0005-0000-0000-00009E500000}"/>
    <cellStyle name="Note 2 2 3 2" xfId="20418" xr:uid="{00000000-0005-0000-0000-00009F500000}"/>
    <cellStyle name="Note 2 2 3 2 2" xfId="21193" xr:uid="{00000000-0005-0000-0000-0000A0500000}"/>
    <cellStyle name="Note 2 2 3 3" xfId="20419" xr:uid="{00000000-0005-0000-0000-0000A1500000}"/>
    <cellStyle name="Note 2 2 3 3 2" xfId="21192" xr:uid="{00000000-0005-0000-0000-0000A2500000}"/>
    <cellStyle name="Note 2 2 3 4" xfId="20420" xr:uid="{00000000-0005-0000-0000-0000A3500000}"/>
    <cellStyle name="Note 2 2 3 4 2" xfId="21191" xr:uid="{00000000-0005-0000-0000-0000A4500000}"/>
    <cellStyle name="Note 2 2 3 5" xfId="20421" xr:uid="{00000000-0005-0000-0000-0000A5500000}"/>
    <cellStyle name="Note 2 2 3 5 2" xfId="21190" xr:uid="{00000000-0005-0000-0000-0000A6500000}"/>
    <cellStyle name="Note 2 2 4" xfId="20422" xr:uid="{00000000-0005-0000-0000-0000A7500000}"/>
    <cellStyle name="Note 2 2 4 2" xfId="20423" xr:uid="{00000000-0005-0000-0000-0000A8500000}"/>
    <cellStyle name="Note 2 2 4 2 2" xfId="21188" xr:uid="{00000000-0005-0000-0000-0000A9500000}"/>
    <cellStyle name="Note 2 2 4 3" xfId="20424" xr:uid="{00000000-0005-0000-0000-0000AA500000}"/>
    <cellStyle name="Note 2 2 4 3 2" xfId="21187" xr:uid="{00000000-0005-0000-0000-0000AB500000}"/>
    <cellStyle name="Note 2 2 4 4" xfId="20425" xr:uid="{00000000-0005-0000-0000-0000AC500000}"/>
    <cellStyle name="Note 2 2 4 4 2" xfId="21186" xr:uid="{00000000-0005-0000-0000-0000AD500000}"/>
    <cellStyle name="Note 2 2 4 5" xfId="21189" xr:uid="{00000000-0005-0000-0000-0000AE500000}"/>
    <cellStyle name="Note 2 2 5" xfId="20426" xr:uid="{00000000-0005-0000-0000-0000AF500000}"/>
    <cellStyle name="Note 2 2 5 2" xfId="20427" xr:uid="{00000000-0005-0000-0000-0000B0500000}"/>
    <cellStyle name="Note 2 2 5 2 2" xfId="21184" xr:uid="{00000000-0005-0000-0000-0000B1500000}"/>
    <cellStyle name="Note 2 2 5 3" xfId="20428" xr:uid="{00000000-0005-0000-0000-0000B2500000}"/>
    <cellStyle name="Note 2 2 5 3 2" xfId="21183" xr:uid="{00000000-0005-0000-0000-0000B3500000}"/>
    <cellStyle name="Note 2 2 5 4" xfId="20429" xr:uid="{00000000-0005-0000-0000-0000B4500000}"/>
    <cellStyle name="Note 2 2 5 4 2" xfId="21182" xr:uid="{00000000-0005-0000-0000-0000B5500000}"/>
    <cellStyle name="Note 2 2 5 5" xfId="21185" xr:uid="{00000000-0005-0000-0000-0000B6500000}"/>
    <cellStyle name="Note 2 2 6" xfId="20430" xr:uid="{00000000-0005-0000-0000-0000B7500000}"/>
    <cellStyle name="Note 2 2 6 2" xfId="21181" xr:uid="{00000000-0005-0000-0000-0000B8500000}"/>
    <cellStyle name="Note 2 2 7" xfId="20431" xr:uid="{00000000-0005-0000-0000-0000B9500000}"/>
    <cellStyle name="Note 2 2 7 2" xfId="21180" xr:uid="{00000000-0005-0000-0000-0000BA500000}"/>
    <cellStyle name="Note 2 2 8" xfId="20432" xr:uid="{00000000-0005-0000-0000-0000BB500000}"/>
    <cellStyle name="Note 2 2 8 2" xfId="21179" xr:uid="{00000000-0005-0000-0000-0000BC500000}"/>
    <cellStyle name="Note 2 2 9" xfId="20433" xr:uid="{00000000-0005-0000-0000-0000BD500000}"/>
    <cellStyle name="Note 2 2 9 2" xfId="21178" xr:uid="{00000000-0005-0000-0000-0000BE500000}"/>
    <cellStyle name="Note 2 3" xfId="20434" xr:uid="{00000000-0005-0000-0000-0000BF500000}"/>
    <cellStyle name="Note 2 3 2" xfId="20435" xr:uid="{00000000-0005-0000-0000-0000C0500000}"/>
    <cellStyle name="Note 2 3 2 2" xfId="21177" xr:uid="{00000000-0005-0000-0000-0000C1500000}"/>
    <cellStyle name="Note 2 3 3" xfId="20436" xr:uid="{00000000-0005-0000-0000-0000C2500000}"/>
    <cellStyle name="Note 2 3 3 2" xfId="21176" xr:uid="{00000000-0005-0000-0000-0000C3500000}"/>
    <cellStyle name="Note 2 3 4" xfId="20437" xr:uid="{00000000-0005-0000-0000-0000C4500000}"/>
    <cellStyle name="Note 2 3 4 2" xfId="21175" xr:uid="{00000000-0005-0000-0000-0000C5500000}"/>
    <cellStyle name="Note 2 3 5" xfId="20438" xr:uid="{00000000-0005-0000-0000-0000C6500000}"/>
    <cellStyle name="Note 2 3 5 2" xfId="21174" xr:uid="{00000000-0005-0000-0000-0000C7500000}"/>
    <cellStyle name="Note 2 4" xfId="20439" xr:uid="{00000000-0005-0000-0000-0000C8500000}"/>
    <cellStyle name="Note 2 4 2" xfId="20440" xr:uid="{00000000-0005-0000-0000-0000C9500000}"/>
    <cellStyle name="Note 2 4 2 2" xfId="20441" xr:uid="{00000000-0005-0000-0000-0000CA500000}"/>
    <cellStyle name="Note 2 4 2 2 2" xfId="21173" xr:uid="{00000000-0005-0000-0000-0000CB500000}"/>
    <cellStyle name="Note 2 4 3" xfId="20442" xr:uid="{00000000-0005-0000-0000-0000CC500000}"/>
    <cellStyle name="Note 2 4 3 2" xfId="20443" xr:uid="{00000000-0005-0000-0000-0000CD500000}"/>
    <cellStyle name="Note 2 4 3 2 2" xfId="21172" xr:uid="{00000000-0005-0000-0000-0000CE500000}"/>
    <cellStyle name="Note 2 4 4" xfId="20444" xr:uid="{00000000-0005-0000-0000-0000CF500000}"/>
    <cellStyle name="Note 2 4 4 2" xfId="20445" xr:uid="{00000000-0005-0000-0000-0000D0500000}"/>
    <cellStyle name="Note 2 4 4 2 2" xfId="21171" xr:uid="{00000000-0005-0000-0000-0000D1500000}"/>
    <cellStyle name="Note 2 4 5" xfId="20446" xr:uid="{00000000-0005-0000-0000-0000D2500000}"/>
    <cellStyle name="Note 2 4 6" xfId="20447" xr:uid="{00000000-0005-0000-0000-0000D3500000}"/>
    <cellStyle name="Note 2 4 7" xfId="20448" xr:uid="{00000000-0005-0000-0000-0000D4500000}"/>
    <cellStyle name="Note 2 4 7 2" xfId="21170" xr:uid="{00000000-0005-0000-0000-0000D5500000}"/>
    <cellStyle name="Note 2 5" xfId="20449" xr:uid="{00000000-0005-0000-0000-0000D6500000}"/>
    <cellStyle name="Note 2 5 2" xfId="20450" xr:uid="{00000000-0005-0000-0000-0000D7500000}"/>
    <cellStyle name="Note 2 5 2 2" xfId="20451" xr:uid="{00000000-0005-0000-0000-0000D8500000}"/>
    <cellStyle name="Note 2 5 2 2 2" xfId="21169" xr:uid="{00000000-0005-0000-0000-0000D9500000}"/>
    <cellStyle name="Note 2 5 3" xfId="20452" xr:uid="{00000000-0005-0000-0000-0000DA500000}"/>
    <cellStyle name="Note 2 5 3 2" xfId="20453" xr:uid="{00000000-0005-0000-0000-0000DB500000}"/>
    <cellStyle name="Note 2 5 3 2 2" xfId="21168" xr:uid="{00000000-0005-0000-0000-0000DC500000}"/>
    <cellStyle name="Note 2 5 4" xfId="20454" xr:uid="{00000000-0005-0000-0000-0000DD500000}"/>
    <cellStyle name="Note 2 5 4 2" xfId="20455" xr:uid="{00000000-0005-0000-0000-0000DE500000}"/>
    <cellStyle name="Note 2 5 4 2 2" xfId="21167" xr:uid="{00000000-0005-0000-0000-0000DF500000}"/>
    <cellStyle name="Note 2 5 5" xfId="20456" xr:uid="{00000000-0005-0000-0000-0000E0500000}"/>
    <cellStyle name="Note 2 5 6" xfId="20457" xr:uid="{00000000-0005-0000-0000-0000E1500000}"/>
    <cellStyle name="Note 2 5 7" xfId="20458" xr:uid="{00000000-0005-0000-0000-0000E2500000}"/>
    <cellStyle name="Note 2 5 7 2" xfId="21166" xr:uid="{00000000-0005-0000-0000-0000E3500000}"/>
    <cellStyle name="Note 2 6" xfId="20459" xr:uid="{00000000-0005-0000-0000-0000E4500000}"/>
    <cellStyle name="Note 2 6 2" xfId="20460" xr:uid="{00000000-0005-0000-0000-0000E5500000}"/>
    <cellStyle name="Note 2 6 2 2" xfId="20461" xr:uid="{00000000-0005-0000-0000-0000E6500000}"/>
    <cellStyle name="Note 2 6 2 2 2" xfId="21165" xr:uid="{00000000-0005-0000-0000-0000E7500000}"/>
    <cellStyle name="Note 2 6 3" xfId="20462" xr:uid="{00000000-0005-0000-0000-0000E8500000}"/>
    <cellStyle name="Note 2 6 3 2" xfId="20463" xr:uid="{00000000-0005-0000-0000-0000E9500000}"/>
    <cellStyle name="Note 2 6 3 2 2" xfId="21164" xr:uid="{00000000-0005-0000-0000-0000EA500000}"/>
    <cellStyle name="Note 2 6 4" xfId="20464" xr:uid="{00000000-0005-0000-0000-0000EB500000}"/>
    <cellStyle name="Note 2 6 4 2" xfId="20465" xr:uid="{00000000-0005-0000-0000-0000EC500000}"/>
    <cellStyle name="Note 2 6 4 2 2" xfId="21163" xr:uid="{00000000-0005-0000-0000-0000ED500000}"/>
    <cellStyle name="Note 2 6 5" xfId="20466" xr:uid="{00000000-0005-0000-0000-0000EE500000}"/>
    <cellStyle name="Note 2 6 6" xfId="20467" xr:uid="{00000000-0005-0000-0000-0000EF500000}"/>
    <cellStyle name="Note 2 6 7" xfId="20468" xr:uid="{00000000-0005-0000-0000-0000F0500000}"/>
    <cellStyle name="Note 2 6 7 2" xfId="21162" xr:uid="{00000000-0005-0000-0000-0000F1500000}"/>
    <cellStyle name="Note 2 7" xfId="20469" xr:uid="{00000000-0005-0000-0000-0000F2500000}"/>
    <cellStyle name="Note 2 7 2" xfId="20470" xr:uid="{00000000-0005-0000-0000-0000F3500000}"/>
    <cellStyle name="Note 2 7 2 2" xfId="20471" xr:uid="{00000000-0005-0000-0000-0000F4500000}"/>
    <cellStyle name="Note 2 7 2 2 2" xfId="21161" xr:uid="{00000000-0005-0000-0000-0000F5500000}"/>
    <cellStyle name="Note 2 7 3" xfId="20472" xr:uid="{00000000-0005-0000-0000-0000F6500000}"/>
    <cellStyle name="Note 2 7 3 2" xfId="20473" xr:uid="{00000000-0005-0000-0000-0000F7500000}"/>
    <cellStyle name="Note 2 7 3 2 2" xfId="21160" xr:uid="{00000000-0005-0000-0000-0000F8500000}"/>
    <cellStyle name="Note 2 7 4" xfId="20474" xr:uid="{00000000-0005-0000-0000-0000F9500000}"/>
    <cellStyle name="Note 2 7 4 2" xfId="20475" xr:uid="{00000000-0005-0000-0000-0000FA500000}"/>
    <cellStyle name="Note 2 7 4 2 2" xfId="21159" xr:uid="{00000000-0005-0000-0000-0000FB500000}"/>
    <cellStyle name="Note 2 7 5" xfId="20476" xr:uid="{00000000-0005-0000-0000-0000FC500000}"/>
    <cellStyle name="Note 2 7 6" xfId="20477" xr:uid="{00000000-0005-0000-0000-0000FD500000}"/>
    <cellStyle name="Note 2 7 7" xfId="20478" xr:uid="{00000000-0005-0000-0000-0000FE500000}"/>
    <cellStyle name="Note 2 7 7 2" xfId="21158" xr:uid="{00000000-0005-0000-0000-0000FF500000}"/>
    <cellStyle name="Note 2 8" xfId="20479" xr:uid="{00000000-0005-0000-0000-000000510000}"/>
    <cellStyle name="Note 2 8 2" xfId="20480" xr:uid="{00000000-0005-0000-0000-000001510000}"/>
    <cellStyle name="Note 2 8 2 2" xfId="21157" xr:uid="{00000000-0005-0000-0000-000002510000}"/>
    <cellStyle name="Note 2 8 3" xfId="20481" xr:uid="{00000000-0005-0000-0000-000003510000}"/>
    <cellStyle name="Note 2 8 3 2" xfId="21156" xr:uid="{00000000-0005-0000-0000-000004510000}"/>
    <cellStyle name="Note 2 8 4" xfId="20482" xr:uid="{00000000-0005-0000-0000-000005510000}"/>
    <cellStyle name="Note 2 8 4 2" xfId="21155" xr:uid="{00000000-0005-0000-0000-000006510000}"/>
    <cellStyle name="Note 2 8 5" xfId="20483" xr:uid="{00000000-0005-0000-0000-000007510000}"/>
    <cellStyle name="Note 2 8 5 2" xfId="21154" xr:uid="{00000000-0005-0000-0000-000008510000}"/>
    <cellStyle name="Note 2 9" xfId="20484" xr:uid="{00000000-0005-0000-0000-000009510000}"/>
    <cellStyle name="Note 2 9 2" xfId="20485" xr:uid="{00000000-0005-0000-0000-00000A510000}"/>
    <cellStyle name="Note 2 9 2 2" xfId="21153" xr:uid="{00000000-0005-0000-0000-00000B510000}"/>
    <cellStyle name="Note 2 9 3" xfId="20486" xr:uid="{00000000-0005-0000-0000-00000C510000}"/>
    <cellStyle name="Note 2 9 3 2" xfId="21152" xr:uid="{00000000-0005-0000-0000-00000D510000}"/>
    <cellStyle name="Note 2 9 4" xfId="20487" xr:uid="{00000000-0005-0000-0000-00000E510000}"/>
    <cellStyle name="Note 2 9 4 2" xfId="21151" xr:uid="{00000000-0005-0000-0000-00000F510000}"/>
    <cellStyle name="Note 2 9 5" xfId="20488" xr:uid="{00000000-0005-0000-0000-000010510000}"/>
    <cellStyle name="Note 2 9 5 2" xfId="21150" xr:uid="{00000000-0005-0000-0000-000011510000}"/>
    <cellStyle name="Note 3 2" xfId="20489" xr:uid="{00000000-0005-0000-0000-000012510000}"/>
    <cellStyle name="Note 3 2 2" xfId="20490" xr:uid="{00000000-0005-0000-0000-000013510000}"/>
    <cellStyle name="Note 3 2 2 2" xfId="21148" xr:uid="{00000000-0005-0000-0000-000014510000}"/>
    <cellStyle name="Note 3 2 3" xfId="20491" xr:uid="{00000000-0005-0000-0000-000015510000}"/>
    <cellStyle name="Note 3 2 4" xfId="21149" xr:uid="{00000000-0005-0000-0000-000016510000}"/>
    <cellStyle name="Note 3 3" xfId="20492" xr:uid="{00000000-0005-0000-0000-000017510000}"/>
    <cellStyle name="Note 3 3 2" xfId="20493" xr:uid="{00000000-0005-0000-0000-000018510000}"/>
    <cellStyle name="Note 3 3 3" xfId="21147" xr:uid="{00000000-0005-0000-0000-000019510000}"/>
    <cellStyle name="Note 3 4" xfId="20494" xr:uid="{00000000-0005-0000-0000-00001A510000}"/>
    <cellStyle name="Note 3 4 2" xfId="21146" xr:uid="{00000000-0005-0000-0000-00001B510000}"/>
    <cellStyle name="Note 3 5" xfId="20495" xr:uid="{00000000-0005-0000-0000-00001C510000}"/>
    <cellStyle name="Note 4 2" xfId="20496" xr:uid="{00000000-0005-0000-0000-00001D510000}"/>
    <cellStyle name="Note 4 2 2" xfId="20497" xr:uid="{00000000-0005-0000-0000-00001E510000}"/>
    <cellStyle name="Note 4 2 2 2" xfId="21144" xr:uid="{00000000-0005-0000-0000-00001F510000}"/>
    <cellStyle name="Note 4 2 3" xfId="20498" xr:uid="{00000000-0005-0000-0000-000020510000}"/>
    <cellStyle name="Note 4 2 4" xfId="21145" xr:uid="{00000000-0005-0000-0000-000021510000}"/>
    <cellStyle name="Note 4 3" xfId="20499" xr:uid="{00000000-0005-0000-0000-000022510000}"/>
    <cellStyle name="Note 4 4" xfId="20500" xr:uid="{00000000-0005-0000-0000-000023510000}"/>
    <cellStyle name="Note 4 4 2" xfId="21143" xr:uid="{00000000-0005-0000-0000-000024510000}"/>
    <cellStyle name="Note 4 5" xfId="20501" xr:uid="{00000000-0005-0000-0000-000025510000}"/>
    <cellStyle name="Note 5" xfId="20502" xr:uid="{00000000-0005-0000-0000-000026510000}"/>
    <cellStyle name="Note 5 2" xfId="20503" xr:uid="{00000000-0005-0000-0000-000027510000}"/>
    <cellStyle name="Note 5 2 2" xfId="20504" xr:uid="{00000000-0005-0000-0000-000028510000}"/>
    <cellStyle name="Note 5 2 3" xfId="21141" xr:uid="{00000000-0005-0000-0000-000029510000}"/>
    <cellStyle name="Note 5 3" xfId="20505" xr:uid="{00000000-0005-0000-0000-00002A510000}"/>
    <cellStyle name="Note 5 3 2" xfId="20506" xr:uid="{00000000-0005-0000-0000-00002B510000}"/>
    <cellStyle name="Note 5 3 3" xfId="21140" xr:uid="{00000000-0005-0000-0000-00002C510000}"/>
    <cellStyle name="Note 5 4" xfId="20507" xr:uid="{00000000-0005-0000-0000-00002D510000}"/>
    <cellStyle name="Note 5 4 2" xfId="21139" xr:uid="{00000000-0005-0000-0000-00002E510000}"/>
    <cellStyle name="Note 5 5" xfId="20508" xr:uid="{00000000-0005-0000-0000-00002F510000}"/>
    <cellStyle name="Note 5 6" xfId="21142" xr:uid="{00000000-0005-0000-0000-000030510000}"/>
    <cellStyle name="Note 6" xfId="20509" xr:uid="{00000000-0005-0000-0000-000031510000}"/>
    <cellStyle name="Note 6 2" xfId="20510" xr:uid="{00000000-0005-0000-0000-000032510000}"/>
    <cellStyle name="Note 6 2 2" xfId="20511" xr:uid="{00000000-0005-0000-0000-000033510000}"/>
    <cellStyle name="Note 6 2 3" xfId="21137" xr:uid="{00000000-0005-0000-0000-000034510000}"/>
    <cellStyle name="Note 6 3" xfId="20512" xr:uid="{00000000-0005-0000-0000-000035510000}"/>
    <cellStyle name="Note 6 4" xfId="20513" xr:uid="{00000000-0005-0000-0000-000036510000}"/>
    <cellStyle name="Note 6 5" xfId="21138" xr:uid="{00000000-0005-0000-0000-000037510000}"/>
    <cellStyle name="Note 7" xfId="20514" xr:uid="{00000000-0005-0000-0000-000038510000}"/>
    <cellStyle name="Note 7 2" xfId="21136" xr:uid="{00000000-0005-0000-0000-000039510000}"/>
    <cellStyle name="Note 8" xfId="20515" xr:uid="{00000000-0005-0000-0000-00003A510000}"/>
    <cellStyle name="Note 8 2" xfId="20516" xr:uid="{00000000-0005-0000-0000-00003B510000}"/>
    <cellStyle name="Note 8 2 2" xfId="21134" xr:uid="{00000000-0005-0000-0000-00003C510000}"/>
    <cellStyle name="Note 8 3" xfId="21135" xr:uid="{00000000-0005-0000-0000-00003D510000}"/>
    <cellStyle name="Note 9" xfId="20517" xr:uid="{00000000-0005-0000-0000-00003E510000}"/>
    <cellStyle name="Note 9 2" xfId="21133" xr:uid="{00000000-0005-0000-0000-00003F510000}"/>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2" xfId="21130" xr:uid="{00000000-0005-0000-0000-00004E510000}"/>
    <cellStyle name="Output 2 10 3" xfId="20531" xr:uid="{00000000-0005-0000-0000-00004F510000}"/>
    <cellStyle name="Output 2 10 3 2" xfId="21129" xr:uid="{00000000-0005-0000-0000-000050510000}"/>
    <cellStyle name="Output 2 10 4" xfId="20532" xr:uid="{00000000-0005-0000-0000-000051510000}"/>
    <cellStyle name="Output 2 10 4 2" xfId="21128" xr:uid="{00000000-0005-0000-0000-000052510000}"/>
    <cellStyle name="Output 2 10 5" xfId="20533" xr:uid="{00000000-0005-0000-0000-000053510000}"/>
    <cellStyle name="Output 2 10 5 2" xfId="21127" xr:uid="{00000000-0005-0000-0000-000054510000}"/>
    <cellStyle name="Output 2 11" xfId="20534" xr:uid="{00000000-0005-0000-0000-000055510000}"/>
    <cellStyle name="Output 2 11 2" xfId="20535" xr:uid="{00000000-0005-0000-0000-000056510000}"/>
    <cellStyle name="Output 2 11 2 2" xfId="21125" xr:uid="{00000000-0005-0000-0000-000057510000}"/>
    <cellStyle name="Output 2 11 3" xfId="20536" xr:uid="{00000000-0005-0000-0000-000058510000}"/>
    <cellStyle name="Output 2 11 3 2" xfId="21124" xr:uid="{00000000-0005-0000-0000-000059510000}"/>
    <cellStyle name="Output 2 11 4" xfId="20537" xr:uid="{00000000-0005-0000-0000-00005A510000}"/>
    <cellStyle name="Output 2 11 4 2" xfId="21123" xr:uid="{00000000-0005-0000-0000-00005B510000}"/>
    <cellStyle name="Output 2 11 5" xfId="20538" xr:uid="{00000000-0005-0000-0000-00005C510000}"/>
    <cellStyle name="Output 2 11 5 2" xfId="21122" xr:uid="{00000000-0005-0000-0000-00005D510000}"/>
    <cellStyle name="Output 2 11 6" xfId="21126" xr:uid="{00000000-0005-0000-0000-00005E510000}"/>
    <cellStyle name="Output 2 12" xfId="20539" xr:uid="{00000000-0005-0000-0000-00005F510000}"/>
    <cellStyle name="Output 2 12 2" xfId="20540" xr:uid="{00000000-0005-0000-0000-000060510000}"/>
    <cellStyle name="Output 2 12 2 2" xfId="21120" xr:uid="{00000000-0005-0000-0000-000061510000}"/>
    <cellStyle name="Output 2 12 3" xfId="20541" xr:uid="{00000000-0005-0000-0000-000062510000}"/>
    <cellStyle name="Output 2 12 3 2" xfId="21119" xr:uid="{00000000-0005-0000-0000-000063510000}"/>
    <cellStyle name="Output 2 12 4" xfId="20542" xr:uid="{00000000-0005-0000-0000-000064510000}"/>
    <cellStyle name="Output 2 12 4 2" xfId="21118" xr:uid="{00000000-0005-0000-0000-000065510000}"/>
    <cellStyle name="Output 2 12 5" xfId="20543" xr:uid="{00000000-0005-0000-0000-000066510000}"/>
    <cellStyle name="Output 2 12 5 2" xfId="21117" xr:uid="{00000000-0005-0000-0000-000067510000}"/>
    <cellStyle name="Output 2 12 6" xfId="21121" xr:uid="{00000000-0005-0000-0000-000068510000}"/>
    <cellStyle name="Output 2 13" xfId="20544" xr:uid="{00000000-0005-0000-0000-000069510000}"/>
    <cellStyle name="Output 2 13 2" xfId="20545" xr:uid="{00000000-0005-0000-0000-00006A510000}"/>
    <cellStyle name="Output 2 13 2 2" xfId="21115" xr:uid="{00000000-0005-0000-0000-00006B510000}"/>
    <cellStyle name="Output 2 13 3" xfId="20546" xr:uid="{00000000-0005-0000-0000-00006C510000}"/>
    <cellStyle name="Output 2 13 3 2" xfId="21114" xr:uid="{00000000-0005-0000-0000-00006D510000}"/>
    <cellStyle name="Output 2 13 4" xfId="20547" xr:uid="{00000000-0005-0000-0000-00006E510000}"/>
    <cellStyle name="Output 2 13 4 2" xfId="21113" xr:uid="{00000000-0005-0000-0000-00006F510000}"/>
    <cellStyle name="Output 2 13 5" xfId="21116" xr:uid="{00000000-0005-0000-0000-000070510000}"/>
    <cellStyle name="Output 2 14" xfId="20548" xr:uid="{00000000-0005-0000-0000-000071510000}"/>
    <cellStyle name="Output 2 14 2" xfId="21112" xr:uid="{00000000-0005-0000-0000-000072510000}"/>
    <cellStyle name="Output 2 15" xfId="20549" xr:uid="{00000000-0005-0000-0000-000073510000}"/>
    <cellStyle name="Output 2 15 2" xfId="21111" xr:uid="{00000000-0005-0000-0000-000074510000}"/>
    <cellStyle name="Output 2 16" xfId="20550" xr:uid="{00000000-0005-0000-0000-000075510000}"/>
    <cellStyle name="Output 2 16 2" xfId="21110" xr:uid="{00000000-0005-0000-0000-000076510000}"/>
    <cellStyle name="Output 2 17" xfId="21131" xr:uid="{00000000-0005-0000-0000-000077510000}"/>
    <cellStyle name="Output 2 2" xfId="20551" xr:uid="{00000000-0005-0000-0000-000078510000}"/>
    <cellStyle name="Output 2 2 10" xfId="21109" xr:uid="{00000000-0005-0000-0000-000079510000}"/>
    <cellStyle name="Output 2 2 2" xfId="20552" xr:uid="{00000000-0005-0000-0000-00007A510000}"/>
    <cellStyle name="Output 2 2 2 2" xfId="20553" xr:uid="{00000000-0005-0000-0000-00007B510000}"/>
    <cellStyle name="Output 2 2 2 2 2" xfId="21107" xr:uid="{00000000-0005-0000-0000-00007C510000}"/>
    <cellStyle name="Output 2 2 2 3" xfId="20554" xr:uid="{00000000-0005-0000-0000-00007D510000}"/>
    <cellStyle name="Output 2 2 2 3 2" xfId="21106" xr:uid="{00000000-0005-0000-0000-00007E510000}"/>
    <cellStyle name="Output 2 2 2 4" xfId="20555" xr:uid="{00000000-0005-0000-0000-00007F510000}"/>
    <cellStyle name="Output 2 2 2 4 2" xfId="21105" xr:uid="{00000000-0005-0000-0000-000080510000}"/>
    <cellStyle name="Output 2 2 2 5" xfId="21108" xr:uid="{00000000-0005-0000-0000-000081510000}"/>
    <cellStyle name="Output 2 2 3" xfId="20556" xr:uid="{00000000-0005-0000-0000-000082510000}"/>
    <cellStyle name="Output 2 2 3 2" xfId="20557" xr:uid="{00000000-0005-0000-0000-000083510000}"/>
    <cellStyle name="Output 2 2 3 2 2" xfId="21103" xr:uid="{00000000-0005-0000-0000-000084510000}"/>
    <cellStyle name="Output 2 2 3 3" xfId="20558" xr:uid="{00000000-0005-0000-0000-000085510000}"/>
    <cellStyle name="Output 2 2 3 3 2" xfId="21102" xr:uid="{00000000-0005-0000-0000-000086510000}"/>
    <cellStyle name="Output 2 2 3 4" xfId="20559" xr:uid="{00000000-0005-0000-0000-000087510000}"/>
    <cellStyle name="Output 2 2 3 4 2" xfId="21101" xr:uid="{00000000-0005-0000-0000-000088510000}"/>
    <cellStyle name="Output 2 2 3 5" xfId="21104" xr:uid="{00000000-0005-0000-0000-000089510000}"/>
    <cellStyle name="Output 2 2 4" xfId="20560" xr:uid="{00000000-0005-0000-0000-00008A510000}"/>
    <cellStyle name="Output 2 2 4 2" xfId="20561" xr:uid="{00000000-0005-0000-0000-00008B510000}"/>
    <cellStyle name="Output 2 2 4 2 2" xfId="21099" xr:uid="{00000000-0005-0000-0000-00008C510000}"/>
    <cellStyle name="Output 2 2 4 3" xfId="20562" xr:uid="{00000000-0005-0000-0000-00008D510000}"/>
    <cellStyle name="Output 2 2 4 3 2" xfId="21098" xr:uid="{00000000-0005-0000-0000-00008E510000}"/>
    <cellStyle name="Output 2 2 4 4" xfId="20563" xr:uid="{00000000-0005-0000-0000-00008F510000}"/>
    <cellStyle name="Output 2 2 4 4 2" xfId="21097" xr:uid="{00000000-0005-0000-0000-000090510000}"/>
    <cellStyle name="Output 2 2 4 5" xfId="21100" xr:uid="{00000000-0005-0000-0000-000091510000}"/>
    <cellStyle name="Output 2 2 5" xfId="20564" xr:uid="{00000000-0005-0000-0000-000092510000}"/>
    <cellStyle name="Output 2 2 5 2" xfId="20565" xr:uid="{00000000-0005-0000-0000-000093510000}"/>
    <cellStyle name="Output 2 2 5 2 2" xfId="21095" xr:uid="{00000000-0005-0000-0000-000094510000}"/>
    <cellStyle name="Output 2 2 5 3" xfId="20566" xr:uid="{00000000-0005-0000-0000-000095510000}"/>
    <cellStyle name="Output 2 2 5 3 2" xfId="21094" xr:uid="{00000000-0005-0000-0000-000096510000}"/>
    <cellStyle name="Output 2 2 5 4" xfId="20567" xr:uid="{00000000-0005-0000-0000-000097510000}"/>
    <cellStyle name="Output 2 2 5 4 2" xfId="21093" xr:uid="{00000000-0005-0000-0000-000098510000}"/>
    <cellStyle name="Output 2 2 5 5" xfId="21096" xr:uid="{00000000-0005-0000-0000-000099510000}"/>
    <cellStyle name="Output 2 2 6" xfId="20568" xr:uid="{00000000-0005-0000-0000-00009A510000}"/>
    <cellStyle name="Output 2 2 6 2" xfId="21092" xr:uid="{00000000-0005-0000-0000-00009B510000}"/>
    <cellStyle name="Output 2 2 7" xfId="20569" xr:uid="{00000000-0005-0000-0000-00009C510000}"/>
    <cellStyle name="Output 2 2 7 2" xfId="21091" xr:uid="{00000000-0005-0000-0000-00009D510000}"/>
    <cellStyle name="Output 2 2 8" xfId="20570" xr:uid="{00000000-0005-0000-0000-00009E510000}"/>
    <cellStyle name="Output 2 2 8 2" xfId="21090" xr:uid="{00000000-0005-0000-0000-00009F510000}"/>
    <cellStyle name="Output 2 2 9" xfId="20571" xr:uid="{00000000-0005-0000-0000-0000A0510000}"/>
    <cellStyle name="Output 2 2 9 2" xfId="21089" xr:uid="{00000000-0005-0000-0000-0000A1510000}"/>
    <cellStyle name="Output 2 3" xfId="20572" xr:uid="{00000000-0005-0000-0000-0000A2510000}"/>
    <cellStyle name="Output 2 3 2" xfId="20573" xr:uid="{00000000-0005-0000-0000-0000A3510000}"/>
    <cellStyle name="Output 2 3 2 2" xfId="21088" xr:uid="{00000000-0005-0000-0000-0000A4510000}"/>
    <cellStyle name="Output 2 3 3" xfId="20574" xr:uid="{00000000-0005-0000-0000-0000A5510000}"/>
    <cellStyle name="Output 2 3 3 2" xfId="21087" xr:uid="{00000000-0005-0000-0000-0000A6510000}"/>
    <cellStyle name="Output 2 3 4" xfId="20575" xr:uid="{00000000-0005-0000-0000-0000A7510000}"/>
    <cellStyle name="Output 2 3 4 2" xfId="21086" xr:uid="{00000000-0005-0000-0000-0000A8510000}"/>
    <cellStyle name="Output 2 3 5" xfId="20576" xr:uid="{00000000-0005-0000-0000-0000A9510000}"/>
    <cellStyle name="Output 2 3 5 2" xfId="21085" xr:uid="{00000000-0005-0000-0000-0000AA510000}"/>
    <cellStyle name="Output 2 4" xfId="20577" xr:uid="{00000000-0005-0000-0000-0000AB510000}"/>
    <cellStyle name="Output 2 4 2" xfId="20578" xr:uid="{00000000-0005-0000-0000-0000AC510000}"/>
    <cellStyle name="Output 2 4 2 2" xfId="21084" xr:uid="{00000000-0005-0000-0000-0000AD510000}"/>
    <cellStyle name="Output 2 4 3" xfId="20579" xr:uid="{00000000-0005-0000-0000-0000AE510000}"/>
    <cellStyle name="Output 2 4 3 2" xfId="21083" xr:uid="{00000000-0005-0000-0000-0000AF510000}"/>
    <cellStyle name="Output 2 4 4" xfId="20580" xr:uid="{00000000-0005-0000-0000-0000B0510000}"/>
    <cellStyle name="Output 2 4 4 2" xfId="21082" xr:uid="{00000000-0005-0000-0000-0000B1510000}"/>
    <cellStyle name="Output 2 4 5" xfId="20581" xr:uid="{00000000-0005-0000-0000-0000B2510000}"/>
    <cellStyle name="Output 2 4 5 2" xfId="21081" xr:uid="{00000000-0005-0000-0000-0000B3510000}"/>
    <cellStyle name="Output 2 5" xfId="20582" xr:uid="{00000000-0005-0000-0000-0000B4510000}"/>
    <cellStyle name="Output 2 5 2" xfId="20583" xr:uid="{00000000-0005-0000-0000-0000B5510000}"/>
    <cellStyle name="Output 2 5 2 2" xfId="21080" xr:uid="{00000000-0005-0000-0000-0000B6510000}"/>
    <cellStyle name="Output 2 5 3" xfId="20584" xr:uid="{00000000-0005-0000-0000-0000B7510000}"/>
    <cellStyle name="Output 2 5 3 2" xfId="21079" xr:uid="{00000000-0005-0000-0000-0000B8510000}"/>
    <cellStyle name="Output 2 5 4" xfId="20585" xr:uid="{00000000-0005-0000-0000-0000B9510000}"/>
    <cellStyle name="Output 2 5 4 2" xfId="21078" xr:uid="{00000000-0005-0000-0000-0000BA510000}"/>
    <cellStyle name="Output 2 5 5" xfId="20586" xr:uid="{00000000-0005-0000-0000-0000BB510000}"/>
    <cellStyle name="Output 2 5 5 2" xfId="21077" xr:uid="{00000000-0005-0000-0000-0000BC510000}"/>
    <cellStyle name="Output 2 6" xfId="20587" xr:uid="{00000000-0005-0000-0000-0000BD510000}"/>
    <cellStyle name="Output 2 6 2" xfId="20588" xr:uid="{00000000-0005-0000-0000-0000BE510000}"/>
    <cellStyle name="Output 2 6 2 2" xfId="21076" xr:uid="{00000000-0005-0000-0000-0000BF510000}"/>
    <cellStyle name="Output 2 6 3" xfId="20589" xr:uid="{00000000-0005-0000-0000-0000C0510000}"/>
    <cellStyle name="Output 2 6 3 2" xfId="21075" xr:uid="{00000000-0005-0000-0000-0000C1510000}"/>
    <cellStyle name="Output 2 6 4" xfId="20590" xr:uid="{00000000-0005-0000-0000-0000C2510000}"/>
    <cellStyle name="Output 2 6 4 2" xfId="21074" xr:uid="{00000000-0005-0000-0000-0000C3510000}"/>
    <cellStyle name="Output 2 6 5" xfId="20591" xr:uid="{00000000-0005-0000-0000-0000C4510000}"/>
    <cellStyle name="Output 2 6 5 2" xfId="21073" xr:uid="{00000000-0005-0000-0000-0000C5510000}"/>
    <cellStyle name="Output 2 7" xfId="20592" xr:uid="{00000000-0005-0000-0000-0000C6510000}"/>
    <cellStyle name="Output 2 7 2" xfId="20593" xr:uid="{00000000-0005-0000-0000-0000C7510000}"/>
    <cellStyle name="Output 2 7 2 2" xfId="21072" xr:uid="{00000000-0005-0000-0000-0000C8510000}"/>
    <cellStyle name="Output 2 7 3" xfId="20594" xr:uid="{00000000-0005-0000-0000-0000C9510000}"/>
    <cellStyle name="Output 2 7 3 2" xfId="21071" xr:uid="{00000000-0005-0000-0000-0000CA510000}"/>
    <cellStyle name="Output 2 7 4" xfId="20595" xr:uid="{00000000-0005-0000-0000-0000CB510000}"/>
    <cellStyle name="Output 2 7 4 2" xfId="21070" xr:uid="{00000000-0005-0000-0000-0000CC510000}"/>
    <cellStyle name="Output 2 7 5" xfId="20596" xr:uid="{00000000-0005-0000-0000-0000CD510000}"/>
    <cellStyle name="Output 2 7 5 2" xfId="21069" xr:uid="{00000000-0005-0000-0000-0000CE510000}"/>
    <cellStyle name="Output 2 8" xfId="20597" xr:uid="{00000000-0005-0000-0000-0000CF510000}"/>
    <cellStyle name="Output 2 8 2" xfId="20598" xr:uid="{00000000-0005-0000-0000-0000D0510000}"/>
    <cellStyle name="Output 2 8 2 2" xfId="21068" xr:uid="{00000000-0005-0000-0000-0000D1510000}"/>
    <cellStyle name="Output 2 8 3" xfId="20599" xr:uid="{00000000-0005-0000-0000-0000D2510000}"/>
    <cellStyle name="Output 2 8 3 2" xfId="21067" xr:uid="{00000000-0005-0000-0000-0000D3510000}"/>
    <cellStyle name="Output 2 8 4" xfId="20600" xr:uid="{00000000-0005-0000-0000-0000D4510000}"/>
    <cellStyle name="Output 2 8 4 2" xfId="21066" xr:uid="{00000000-0005-0000-0000-0000D5510000}"/>
    <cellStyle name="Output 2 8 5" xfId="20601" xr:uid="{00000000-0005-0000-0000-0000D6510000}"/>
    <cellStyle name="Output 2 8 5 2" xfId="21065" xr:uid="{00000000-0005-0000-0000-0000D7510000}"/>
    <cellStyle name="Output 2 9" xfId="20602" xr:uid="{00000000-0005-0000-0000-0000D8510000}"/>
    <cellStyle name="Output 2 9 2" xfId="20603" xr:uid="{00000000-0005-0000-0000-0000D9510000}"/>
    <cellStyle name="Output 2 9 2 2" xfId="21064" xr:uid="{00000000-0005-0000-0000-0000DA510000}"/>
    <cellStyle name="Output 2 9 3" xfId="20604" xr:uid="{00000000-0005-0000-0000-0000DB510000}"/>
    <cellStyle name="Output 2 9 3 2" xfId="21063" xr:uid="{00000000-0005-0000-0000-0000DC510000}"/>
    <cellStyle name="Output 2 9 4" xfId="20605" xr:uid="{00000000-0005-0000-0000-0000DD510000}"/>
    <cellStyle name="Output 2 9 4 2" xfId="21062" xr:uid="{00000000-0005-0000-0000-0000DE510000}"/>
    <cellStyle name="Output 2 9 5" xfId="20606" xr:uid="{00000000-0005-0000-0000-0000DF510000}"/>
    <cellStyle name="Output 2 9 5 2" xfId="21061" xr:uid="{00000000-0005-0000-0000-0000E0510000}"/>
    <cellStyle name="Output 3" xfId="20607" xr:uid="{00000000-0005-0000-0000-0000E1510000}"/>
    <cellStyle name="Output 3 2" xfId="20608" xr:uid="{00000000-0005-0000-0000-0000E2510000}"/>
    <cellStyle name="Output 3 2 2" xfId="21059" xr:uid="{00000000-0005-0000-0000-0000E3510000}"/>
    <cellStyle name="Output 3 3" xfId="20609" xr:uid="{00000000-0005-0000-0000-0000E4510000}"/>
    <cellStyle name="Output 3 3 2" xfId="21058" xr:uid="{00000000-0005-0000-0000-0000E5510000}"/>
    <cellStyle name="Output 3 4" xfId="21060" xr:uid="{00000000-0005-0000-0000-0000E6510000}"/>
    <cellStyle name="Output 4" xfId="20610" xr:uid="{00000000-0005-0000-0000-0000E7510000}"/>
    <cellStyle name="Output 4 2" xfId="20611" xr:uid="{00000000-0005-0000-0000-0000E8510000}"/>
    <cellStyle name="Output 4 2 2" xfId="21056" xr:uid="{00000000-0005-0000-0000-0000E9510000}"/>
    <cellStyle name="Output 4 3" xfId="20612" xr:uid="{00000000-0005-0000-0000-0000EA510000}"/>
    <cellStyle name="Output 4 3 2" xfId="21055" xr:uid="{00000000-0005-0000-0000-0000EB510000}"/>
    <cellStyle name="Output 4 4" xfId="21057" xr:uid="{00000000-0005-0000-0000-0000EC510000}"/>
    <cellStyle name="Output 5" xfId="20613" xr:uid="{00000000-0005-0000-0000-0000ED510000}"/>
    <cellStyle name="Output 5 2" xfId="20614" xr:uid="{00000000-0005-0000-0000-0000EE510000}"/>
    <cellStyle name="Output 5 2 2" xfId="21053" xr:uid="{00000000-0005-0000-0000-0000EF510000}"/>
    <cellStyle name="Output 5 3" xfId="20615" xr:uid="{00000000-0005-0000-0000-0000F0510000}"/>
    <cellStyle name="Output 5 3 2" xfId="21052" xr:uid="{00000000-0005-0000-0000-0000F1510000}"/>
    <cellStyle name="Output 5 4" xfId="21054" xr:uid="{00000000-0005-0000-0000-0000F2510000}"/>
    <cellStyle name="Output 6" xfId="20616" xr:uid="{00000000-0005-0000-0000-0000F3510000}"/>
    <cellStyle name="Output 6 2" xfId="20617" xr:uid="{00000000-0005-0000-0000-0000F4510000}"/>
    <cellStyle name="Output 6 2 2" xfId="21050" xr:uid="{00000000-0005-0000-0000-0000F5510000}"/>
    <cellStyle name="Output 6 3" xfId="20618" xr:uid="{00000000-0005-0000-0000-0000F6510000}"/>
    <cellStyle name="Output 6 3 2" xfId="21049" xr:uid="{00000000-0005-0000-0000-0000F7510000}"/>
    <cellStyle name="Output 6 4" xfId="21051" xr:uid="{00000000-0005-0000-0000-0000F8510000}"/>
    <cellStyle name="Output 7" xfId="20619" xr:uid="{00000000-0005-0000-0000-0000F9510000}"/>
    <cellStyle name="Output 7 2" xfId="21048" xr:uid="{00000000-0005-0000-0000-0000FA510000}"/>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ParameterE" xfId="20787" xr:uid="{00000000-0005-0000-0000-0000A6520000}"/>
    <cellStyle name="showParameterE 2" xfId="21046" xr:uid="{00000000-0005-0000-0000-0000A7520000}"/>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2" xfId="21044" xr:uid="{00000000-0005-0000-0000-0000CF520000}"/>
    <cellStyle name="Total 2 10 3" xfId="20826" xr:uid="{00000000-0005-0000-0000-0000D0520000}"/>
    <cellStyle name="Total 2 10 3 2" xfId="21043" xr:uid="{00000000-0005-0000-0000-0000D1520000}"/>
    <cellStyle name="Total 2 10 4" xfId="20827" xr:uid="{00000000-0005-0000-0000-0000D2520000}"/>
    <cellStyle name="Total 2 10 4 2" xfId="21042" xr:uid="{00000000-0005-0000-0000-0000D3520000}"/>
    <cellStyle name="Total 2 10 5" xfId="20828" xr:uid="{00000000-0005-0000-0000-0000D4520000}"/>
    <cellStyle name="Total 2 10 5 2" xfId="21041" xr:uid="{00000000-0005-0000-0000-0000D5520000}"/>
    <cellStyle name="Total 2 11" xfId="20829" xr:uid="{00000000-0005-0000-0000-0000D6520000}"/>
    <cellStyle name="Total 2 11 2" xfId="20830" xr:uid="{00000000-0005-0000-0000-0000D7520000}"/>
    <cellStyle name="Total 2 11 2 2" xfId="21039" xr:uid="{00000000-0005-0000-0000-0000D8520000}"/>
    <cellStyle name="Total 2 11 3" xfId="20831" xr:uid="{00000000-0005-0000-0000-0000D9520000}"/>
    <cellStyle name="Total 2 11 3 2" xfId="21038" xr:uid="{00000000-0005-0000-0000-0000DA520000}"/>
    <cellStyle name="Total 2 11 4" xfId="20832" xr:uid="{00000000-0005-0000-0000-0000DB520000}"/>
    <cellStyle name="Total 2 11 4 2" xfId="21037" xr:uid="{00000000-0005-0000-0000-0000DC520000}"/>
    <cellStyle name="Total 2 11 5" xfId="20833" xr:uid="{00000000-0005-0000-0000-0000DD520000}"/>
    <cellStyle name="Total 2 11 5 2" xfId="21036" xr:uid="{00000000-0005-0000-0000-0000DE520000}"/>
    <cellStyle name="Total 2 11 6" xfId="21040" xr:uid="{00000000-0005-0000-0000-0000DF520000}"/>
    <cellStyle name="Total 2 12" xfId="20834" xr:uid="{00000000-0005-0000-0000-0000E0520000}"/>
    <cellStyle name="Total 2 12 2" xfId="20835" xr:uid="{00000000-0005-0000-0000-0000E1520000}"/>
    <cellStyle name="Total 2 12 2 2" xfId="21034" xr:uid="{00000000-0005-0000-0000-0000E2520000}"/>
    <cellStyle name="Total 2 12 3" xfId="20836" xr:uid="{00000000-0005-0000-0000-0000E3520000}"/>
    <cellStyle name="Total 2 12 3 2" xfId="21033" xr:uid="{00000000-0005-0000-0000-0000E4520000}"/>
    <cellStyle name="Total 2 12 4" xfId="20837" xr:uid="{00000000-0005-0000-0000-0000E5520000}"/>
    <cellStyle name="Total 2 12 4 2" xfId="21032" xr:uid="{00000000-0005-0000-0000-0000E6520000}"/>
    <cellStyle name="Total 2 12 5" xfId="20838" xr:uid="{00000000-0005-0000-0000-0000E7520000}"/>
    <cellStyle name="Total 2 12 5 2" xfId="21031" xr:uid="{00000000-0005-0000-0000-0000E8520000}"/>
    <cellStyle name="Total 2 12 6" xfId="21035" xr:uid="{00000000-0005-0000-0000-0000E9520000}"/>
    <cellStyle name="Total 2 13" xfId="20839" xr:uid="{00000000-0005-0000-0000-0000EA520000}"/>
    <cellStyle name="Total 2 13 2" xfId="20840" xr:uid="{00000000-0005-0000-0000-0000EB520000}"/>
    <cellStyle name="Total 2 13 2 2" xfId="21029" xr:uid="{00000000-0005-0000-0000-0000EC520000}"/>
    <cellStyle name="Total 2 13 3" xfId="20841" xr:uid="{00000000-0005-0000-0000-0000ED520000}"/>
    <cellStyle name="Total 2 13 3 2" xfId="21028" xr:uid="{00000000-0005-0000-0000-0000EE520000}"/>
    <cellStyle name="Total 2 13 4" xfId="20842" xr:uid="{00000000-0005-0000-0000-0000EF520000}"/>
    <cellStyle name="Total 2 13 4 2" xfId="21027" xr:uid="{00000000-0005-0000-0000-0000F0520000}"/>
    <cellStyle name="Total 2 13 5" xfId="21030" xr:uid="{00000000-0005-0000-0000-0000F1520000}"/>
    <cellStyle name="Total 2 14" xfId="20843" xr:uid="{00000000-0005-0000-0000-0000F2520000}"/>
    <cellStyle name="Total 2 14 2" xfId="21026" xr:uid="{00000000-0005-0000-0000-0000F3520000}"/>
    <cellStyle name="Total 2 15" xfId="20844" xr:uid="{00000000-0005-0000-0000-0000F4520000}"/>
    <cellStyle name="Total 2 15 2" xfId="21025" xr:uid="{00000000-0005-0000-0000-0000F5520000}"/>
    <cellStyle name="Total 2 16" xfId="20845" xr:uid="{00000000-0005-0000-0000-0000F6520000}"/>
    <cellStyle name="Total 2 16 2" xfId="21024" xr:uid="{00000000-0005-0000-0000-0000F7520000}"/>
    <cellStyle name="Total 2 17" xfId="21045" xr:uid="{00000000-0005-0000-0000-0000F8520000}"/>
    <cellStyle name="Total 2 2" xfId="20846" xr:uid="{00000000-0005-0000-0000-0000F9520000}"/>
    <cellStyle name="Total 2 2 10" xfId="21023" xr:uid="{00000000-0005-0000-0000-0000FA520000}"/>
    <cellStyle name="Total 2 2 2" xfId="20847" xr:uid="{00000000-0005-0000-0000-0000FB520000}"/>
    <cellStyle name="Total 2 2 2 2" xfId="20848" xr:uid="{00000000-0005-0000-0000-0000FC520000}"/>
    <cellStyle name="Total 2 2 2 2 2" xfId="21021" xr:uid="{00000000-0005-0000-0000-0000FD520000}"/>
    <cellStyle name="Total 2 2 2 3" xfId="20849" xr:uid="{00000000-0005-0000-0000-0000FE520000}"/>
    <cellStyle name="Total 2 2 2 3 2" xfId="21020" xr:uid="{00000000-0005-0000-0000-0000FF520000}"/>
    <cellStyle name="Total 2 2 2 4" xfId="20850" xr:uid="{00000000-0005-0000-0000-000000530000}"/>
    <cellStyle name="Total 2 2 2 4 2" xfId="21019" xr:uid="{00000000-0005-0000-0000-000001530000}"/>
    <cellStyle name="Total 2 2 2 5" xfId="21022" xr:uid="{00000000-0005-0000-0000-000002530000}"/>
    <cellStyle name="Total 2 2 3" xfId="20851" xr:uid="{00000000-0005-0000-0000-000003530000}"/>
    <cellStyle name="Total 2 2 3 2" xfId="20852" xr:uid="{00000000-0005-0000-0000-000004530000}"/>
    <cellStyle name="Total 2 2 3 2 2" xfId="21017" xr:uid="{00000000-0005-0000-0000-000005530000}"/>
    <cellStyle name="Total 2 2 3 3" xfId="20853" xr:uid="{00000000-0005-0000-0000-000006530000}"/>
    <cellStyle name="Total 2 2 3 3 2" xfId="21016" xr:uid="{00000000-0005-0000-0000-000007530000}"/>
    <cellStyle name="Total 2 2 3 4" xfId="20854" xr:uid="{00000000-0005-0000-0000-000008530000}"/>
    <cellStyle name="Total 2 2 3 4 2" xfId="21015" xr:uid="{00000000-0005-0000-0000-000009530000}"/>
    <cellStyle name="Total 2 2 3 5" xfId="21018" xr:uid="{00000000-0005-0000-0000-00000A530000}"/>
    <cellStyle name="Total 2 2 4" xfId="20855" xr:uid="{00000000-0005-0000-0000-00000B530000}"/>
    <cellStyle name="Total 2 2 4 2" xfId="20856" xr:uid="{00000000-0005-0000-0000-00000C530000}"/>
    <cellStyle name="Total 2 2 4 2 2" xfId="21013" xr:uid="{00000000-0005-0000-0000-00000D530000}"/>
    <cellStyle name="Total 2 2 4 3" xfId="20857" xr:uid="{00000000-0005-0000-0000-00000E530000}"/>
    <cellStyle name="Total 2 2 4 3 2" xfId="21012" xr:uid="{00000000-0005-0000-0000-00000F530000}"/>
    <cellStyle name="Total 2 2 4 4" xfId="20858" xr:uid="{00000000-0005-0000-0000-000010530000}"/>
    <cellStyle name="Total 2 2 4 4 2" xfId="21011" xr:uid="{00000000-0005-0000-0000-000011530000}"/>
    <cellStyle name="Total 2 2 4 5" xfId="21014" xr:uid="{00000000-0005-0000-0000-000012530000}"/>
    <cellStyle name="Total 2 2 5" xfId="20859" xr:uid="{00000000-0005-0000-0000-000013530000}"/>
    <cellStyle name="Total 2 2 5 2" xfId="20860" xr:uid="{00000000-0005-0000-0000-000014530000}"/>
    <cellStyle name="Total 2 2 5 2 2" xfId="21009" xr:uid="{00000000-0005-0000-0000-000015530000}"/>
    <cellStyle name="Total 2 2 5 3" xfId="20861" xr:uid="{00000000-0005-0000-0000-000016530000}"/>
    <cellStyle name="Total 2 2 5 3 2" xfId="21008" xr:uid="{00000000-0005-0000-0000-000017530000}"/>
    <cellStyle name="Total 2 2 5 4" xfId="20862" xr:uid="{00000000-0005-0000-0000-000018530000}"/>
    <cellStyle name="Total 2 2 5 4 2" xfId="21007" xr:uid="{00000000-0005-0000-0000-000019530000}"/>
    <cellStyle name="Total 2 2 5 5" xfId="21010" xr:uid="{00000000-0005-0000-0000-00001A530000}"/>
    <cellStyle name="Total 2 2 6" xfId="20863" xr:uid="{00000000-0005-0000-0000-00001B530000}"/>
    <cellStyle name="Total 2 2 6 2" xfId="21006" xr:uid="{00000000-0005-0000-0000-00001C530000}"/>
    <cellStyle name="Total 2 2 7" xfId="20864" xr:uid="{00000000-0005-0000-0000-00001D530000}"/>
    <cellStyle name="Total 2 2 7 2" xfId="21005" xr:uid="{00000000-0005-0000-0000-00001E530000}"/>
    <cellStyle name="Total 2 2 8" xfId="20865" xr:uid="{00000000-0005-0000-0000-00001F530000}"/>
    <cellStyle name="Total 2 2 8 2" xfId="21004" xr:uid="{00000000-0005-0000-0000-000020530000}"/>
    <cellStyle name="Total 2 2 9" xfId="20866" xr:uid="{00000000-0005-0000-0000-000021530000}"/>
    <cellStyle name="Total 2 2 9 2" xfId="21003" xr:uid="{00000000-0005-0000-0000-000022530000}"/>
    <cellStyle name="Total 2 3" xfId="20867" xr:uid="{00000000-0005-0000-0000-000023530000}"/>
    <cellStyle name="Total 2 3 2" xfId="20868" xr:uid="{00000000-0005-0000-0000-000024530000}"/>
    <cellStyle name="Total 2 3 2 2" xfId="21002" xr:uid="{00000000-0005-0000-0000-000025530000}"/>
    <cellStyle name="Total 2 3 3" xfId="20869" xr:uid="{00000000-0005-0000-0000-000026530000}"/>
    <cellStyle name="Total 2 3 3 2" xfId="21001" xr:uid="{00000000-0005-0000-0000-000027530000}"/>
    <cellStyle name="Total 2 3 4" xfId="20870" xr:uid="{00000000-0005-0000-0000-000028530000}"/>
    <cellStyle name="Total 2 3 4 2" xfId="21000" xr:uid="{00000000-0005-0000-0000-000029530000}"/>
    <cellStyle name="Total 2 3 5" xfId="20871" xr:uid="{00000000-0005-0000-0000-00002A530000}"/>
    <cellStyle name="Total 2 3 5 2" xfId="20999" xr:uid="{00000000-0005-0000-0000-00002B530000}"/>
    <cellStyle name="Total 2 4" xfId="20872" xr:uid="{00000000-0005-0000-0000-00002C530000}"/>
    <cellStyle name="Total 2 4 2" xfId="20873" xr:uid="{00000000-0005-0000-0000-00002D530000}"/>
    <cellStyle name="Total 2 4 2 2" xfId="20998" xr:uid="{00000000-0005-0000-0000-00002E530000}"/>
    <cellStyle name="Total 2 4 3" xfId="20874" xr:uid="{00000000-0005-0000-0000-00002F530000}"/>
    <cellStyle name="Total 2 4 3 2" xfId="20997" xr:uid="{00000000-0005-0000-0000-000030530000}"/>
    <cellStyle name="Total 2 4 4" xfId="20875" xr:uid="{00000000-0005-0000-0000-000031530000}"/>
    <cellStyle name="Total 2 4 4 2" xfId="20996" xr:uid="{00000000-0005-0000-0000-000032530000}"/>
    <cellStyle name="Total 2 4 5" xfId="20876" xr:uid="{00000000-0005-0000-0000-000033530000}"/>
    <cellStyle name="Total 2 4 5 2" xfId="20995" xr:uid="{00000000-0005-0000-0000-000034530000}"/>
    <cellStyle name="Total 2 5" xfId="20877" xr:uid="{00000000-0005-0000-0000-000035530000}"/>
    <cellStyle name="Total 2 5 2" xfId="20878" xr:uid="{00000000-0005-0000-0000-000036530000}"/>
    <cellStyle name="Total 2 5 2 2" xfId="20994" xr:uid="{00000000-0005-0000-0000-000037530000}"/>
    <cellStyle name="Total 2 5 3" xfId="20879" xr:uid="{00000000-0005-0000-0000-000038530000}"/>
    <cellStyle name="Total 2 5 3 2" xfId="20993" xr:uid="{00000000-0005-0000-0000-000039530000}"/>
    <cellStyle name="Total 2 5 4" xfId="20880" xr:uid="{00000000-0005-0000-0000-00003A530000}"/>
    <cellStyle name="Total 2 5 4 2" xfId="20992" xr:uid="{00000000-0005-0000-0000-00003B530000}"/>
    <cellStyle name="Total 2 5 5" xfId="20881" xr:uid="{00000000-0005-0000-0000-00003C530000}"/>
    <cellStyle name="Total 2 5 5 2" xfId="20991" xr:uid="{00000000-0005-0000-0000-00003D530000}"/>
    <cellStyle name="Total 2 6" xfId="20882" xr:uid="{00000000-0005-0000-0000-00003E530000}"/>
    <cellStyle name="Total 2 6 2" xfId="20883" xr:uid="{00000000-0005-0000-0000-00003F530000}"/>
    <cellStyle name="Total 2 6 2 2" xfId="20990" xr:uid="{00000000-0005-0000-0000-000040530000}"/>
    <cellStyle name="Total 2 6 3" xfId="20884" xr:uid="{00000000-0005-0000-0000-000041530000}"/>
    <cellStyle name="Total 2 6 3 2" xfId="20989" xr:uid="{00000000-0005-0000-0000-000042530000}"/>
    <cellStyle name="Total 2 6 4" xfId="20885" xr:uid="{00000000-0005-0000-0000-000043530000}"/>
    <cellStyle name="Total 2 6 4 2" xfId="20988" xr:uid="{00000000-0005-0000-0000-000044530000}"/>
    <cellStyle name="Total 2 6 5" xfId="20886" xr:uid="{00000000-0005-0000-0000-000045530000}"/>
    <cellStyle name="Total 2 6 5 2" xfId="20987" xr:uid="{00000000-0005-0000-0000-000046530000}"/>
    <cellStyle name="Total 2 7" xfId="20887" xr:uid="{00000000-0005-0000-0000-000047530000}"/>
    <cellStyle name="Total 2 7 2" xfId="20888" xr:uid="{00000000-0005-0000-0000-000048530000}"/>
    <cellStyle name="Total 2 7 2 2" xfId="20986" xr:uid="{00000000-0005-0000-0000-000049530000}"/>
    <cellStyle name="Total 2 7 3" xfId="20889" xr:uid="{00000000-0005-0000-0000-00004A530000}"/>
    <cellStyle name="Total 2 7 3 2" xfId="20985" xr:uid="{00000000-0005-0000-0000-00004B530000}"/>
    <cellStyle name="Total 2 7 4" xfId="20890" xr:uid="{00000000-0005-0000-0000-00004C530000}"/>
    <cellStyle name="Total 2 7 4 2" xfId="20984" xr:uid="{00000000-0005-0000-0000-00004D530000}"/>
    <cellStyle name="Total 2 7 5" xfId="20891" xr:uid="{00000000-0005-0000-0000-00004E530000}"/>
    <cellStyle name="Total 2 7 5 2" xfId="20983" xr:uid="{00000000-0005-0000-0000-00004F530000}"/>
    <cellStyle name="Total 2 8" xfId="20892" xr:uid="{00000000-0005-0000-0000-000050530000}"/>
    <cellStyle name="Total 2 8 2" xfId="20893" xr:uid="{00000000-0005-0000-0000-000051530000}"/>
    <cellStyle name="Total 2 8 2 2" xfId="20982" xr:uid="{00000000-0005-0000-0000-000052530000}"/>
    <cellStyle name="Total 2 8 3" xfId="20894" xr:uid="{00000000-0005-0000-0000-000053530000}"/>
    <cellStyle name="Total 2 8 3 2" xfId="20981" xr:uid="{00000000-0005-0000-0000-000054530000}"/>
    <cellStyle name="Total 2 8 4" xfId="20895" xr:uid="{00000000-0005-0000-0000-000055530000}"/>
    <cellStyle name="Total 2 8 4 2" xfId="20980" xr:uid="{00000000-0005-0000-0000-000056530000}"/>
    <cellStyle name="Total 2 8 5" xfId="20896" xr:uid="{00000000-0005-0000-0000-000057530000}"/>
    <cellStyle name="Total 2 8 5 2" xfId="20979" xr:uid="{00000000-0005-0000-0000-000058530000}"/>
    <cellStyle name="Total 2 9" xfId="20897" xr:uid="{00000000-0005-0000-0000-000059530000}"/>
    <cellStyle name="Total 2 9 2" xfId="20898" xr:uid="{00000000-0005-0000-0000-00005A530000}"/>
    <cellStyle name="Total 2 9 2 2" xfId="20978" xr:uid="{00000000-0005-0000-0000-00005B530000}"/>
    <cellStyle name="Total 2 9 3" xfId="20899" xr:uid="{00000000-0005-0000-0000-00005C530000}"/>
    <cellStyle name="Total 2 9 3 2" xfId="20977" xr:uid="{00000000-0005-0000-0000-00005D530000}"/>
    <cellStyle name="Total 2 9 4" xfId="20900" xr:uid="{00000000-0005-0000-0000-00005E530000}"/>
    <cellStyle name="Total 2 9 4 2" xfId="20976" xr:uid="{00000000-0005-0000-0000-00005F530000}"/>
    <cellStyle name="Total 2 9 5" xfId="20901" xr:uid="{00000000-0005-0000-0000-000060530000}"/>
    <cellStyle name="Total 2 9 5 2" xfId="20975" xr:uid="{00000000-0005-0000-0000-000061530000}"/>
    <cellStyle name="Total 3" xfId="20902" xr:uid="{00000000-0005-0000-0000-000062530000}"/>
    <cellStyle name="Total 3 2" xfId="20903" xr:uid="{00000000-0005-0000-0000-000063530000}"/>
    <cellStyle name="Total 3 2 2" xfId="20973" xr:uid="{00000000-0005-0000-0000-000064530000}"/>
    <cellStyle name="Total 3 3" xfId="20904" xr:uid="{00000000-0005-0000-0000-000065530000}"/>
    <cellStyle name="Total 3 3 2" xfId="20972" xr:uid="{00000000-0005-0000-0000-000066530000}"/>
    <cellStyle name="Total 3 4" xfId="20974" xr:uid="{00000000-0005-0000-0000-000067530000}"/>
    <cellStyle name="Total 4" xfId="20905" xr:uid="{00000000-0005-0000-0000-000068530000}"/>
    <cellStyle name="Total 4 2" xfId="20906" xr:uid="{00000000-0005-0000-0000-000069530000}"/>
    <cellStyle name="Total 4 2 2" xfId="20970" xr:uid="{00000000-0005-0000-0000-00006A530000}"/>
    <cellStyle name="Total 4 3" xfId="20907" xr:uid="{00000000-0005-0000-0000-00006B530000}"/>
    <cellStyle name="Total 4 3 2" xfId="20969" xr:uid="{00000000-0005-0000-0000-00006C530000}"/>
    <cellStyle name="Total 4 4" xfId="20971" xr:uid="{00000000-0005-0000-0000-00006D530000}"/>
    <cellStyle name="Total 5" xfId="20908" xr:uid="{00000000-0005-0000-0000-00006E530000}"/>
    <cellStyle name="Total 5 2" xfId="20909" xr:uid="{00000000-0005-0000-0000-00006F530000}"/>
    <cellStyle name="Total 5 2 2" xfId="20967" xr:uid="{00000000-0005-0000-0000-000070530000}"/>
    <cellStyle name="Total 5 3" xfId="20910" xr:uid="{00000000-0005-0000-0000-000071530000}"/>
    <cellStyle name="Total 5 3 2" xfId="20966" xr:uid="{00000000-0005-0000-0000-000072530000}"/>
    <cellStyle name="Total 5 4" xfId="20968" xr:uid="{00000000-0005-0000-0000-000073530000}"/>
    <cellStyle name="Total 6" xfId="20911" xr:uid="{00000000-0005-0000-0000-000074530000}"/>
    <cellStyle name="Total 6 2" xfId="20912" xr:uid="{00000000-0005-0000-0000-000075530000}"/>
    <cellStyle name="Total 6 2 2" xfId="20964" xr:uid="{00000000-0005-0000-0000-000076530000}"/>
    <cellStyle name="Total 6 3" xfId="20913" xr:uid="{00000000-0005-0000-0000-000077530000}"/>
    <cellStyle name="Total 6 3 2" xfId="20963" xr:uid="{00000000-0005-0000-0000-000078530000}"/>
    <cellStyle name="Total 6 4" xfId="20965" xr:uid="{00000000-0005-0000-0000-000079530000}"/>
    <cellStyle name="Total 7" xfId="20914" xr:uid="{00000000-0005-0000-0000-00007A530000}"/>
    <cellStyle name="Total 7 2" xfId="20962" xr:uid="{00000000-0005-0000-0000-00007B530000}"/>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microsoft.com/office/2017/10/relationships/person" Target="persons/perso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tyles" Target="styles.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PG1_I-BBB-QQ-YYYYMMDD-From2025-Q1%20&#4315;&#4312;&#4313;&#4320;&#4317;&#4305;&#4304;&#4316;&#4313;&#4308;&#4305;&#4312;%20-%20&#4313;&#4309;&#4304;&#4320;&#4322;&#4304;&#4314;&#4323;&#4320;&#4312;%20&#4318;&#4312;&#4314;&#4304;&#4320;%203%20(&#4325;&#4304;&#4320;&#4311;&#4323;&#4314;&#4308;&#4316;&#4317;&#4309;&#4304;&#4316;&#4312;).xlsx?AC2D2161" TargetMode="External"/><Relationship Id="rId1" Type="http://schemas.openxmlformats.org/officeDocument/2006/relationships/externalLinkPath" Target="file:///\\AC2D2161\PG1_I-BBB-QQ-YYYYMMDD-From2025-Q1%20&#4315;&#4312;&#4313;&#4320;&#4317;&#4305;&#4304;&#4316;&#4313;&#4308;&#4305;&#4312;%20-%20&#4313;&#4309;&#4304;&#4320;&#4322;&#4304;&#4314;&#4323;&#4320;&#4312;%20&#4318;&#4312;&#4314;&#4304;&#4320;%203%20(&#4325;&#4304;&#4320;&#4311;&#4323;&#4314;&#4308;&#4316;&#4317;&#4309;&#4304;&#4316;&#4312;).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Copy%20of%20PG1_I-BBB-QQ-YYYYMMDD-From2025-Q1%20&#4315;&#4312;&#4313;&#4320;&#4317;&#4305;&#4304;&#4316;&#4313;&#4308;&#4305;&#4312;%20-%20&#4313;&#4309;&#4304;&#4320;&#4322;&#4304;&#4314;&#4323;&#4320;&#4312;%20&#4318;&#4312;&#4314;&#4304;&#4320;%203%20(&#4325;&#4304;&#4320;&#4311;&#4323;&#4314;&#4308;&#4316;&#4317;&#4309;&#4304;&#4316;&#4312;).xlsx?AC2D2161" TargetMode="External"/><Relationship Id="rId1" Type="http://schemas.openxmlformats.org/officeDocument/2006/relationships/externalLinkPath" Target="file:///\\AC2D2161\Copy%20of%20PG1_I-BBB-QQ-YYYYMMDD-From2025-Q1%20&#4315;&#4312;&#4313;&#4320;&#4317;&#4305;&#4304;&#4316;&#4313;&#4308;&#4305;&#4312;%20-%20&#4313;&#4309;&#4304;&#4320;&#4322;&#4304;&#4314;&#4323;&#4320;&#4312;%20&#4318;&#4312;&#4314;&#4304;&#4320;%203%20(&#4325;&#4304;&#4320;&#4311;&#4323;&#4314;&#4308;&#4316;&#4317;&#4309;&#4304;&#4316;&#43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1. key ratios"/>
      <sheetName val="2. SOFP"/>
      <sheetName val="3. SOPL"/>
      <sheetName val="4. Off-balance"/>
      <sheetName val="5. RWA"/>
      <sheetName val="6. Administrators-shareholders"/>
      <sheetName val="7. LI1"/>
      <sheetName val="8. LI2"/>
      <sheetName val="9. Capital"/>
      <sheetName val="9.1. Capital Requirements"/>
      <sheetName val="10. CC2"/>
      <sheetName val="11. CRWA"/>
      <sheetName val="12. CRM"/>
      <sheetName val="13. CRME"/>
      <sheetName val="14. LCR"/>
      <sheetName val="15. CCR"/>
      <sheetName val="15.1. LR"/>
      <sheetName val="15.2. CVA"/>
      <sheetName val="16. NSFR"/>
      <sheetName val=" 17. Residual Maturity"/>
      <sheetName val="18. Assets by Exposure classes"/>
      <sheetName val="19. Assets by Risk Sectors"/>
      <sheetName val="20. Reserves"/>
      <sheetName val="21. NPL"/>
      <sheetName val="22. Quality"/>
      <sheetName val="23. LTV"/>
      <sheetName val="24. Risk Sector"/>
      <sheetName val="25. Collateral"/>
      <sheetName val="26. Retail Products"/>
      <sheetName val="Instruction"/>
    </sheetNames>
    <sheetDataSet>
      <sheetData sheetId="0">
        <row r="2">
          <cell r="C2"/>
        </row>
      </sheetData>
      <sheetData sheetId="1">
        <row r="2">
          <cell r="B2">
            <v>45747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4">
          <cell r="E34" t="b">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1. key ratios"/>
      <sheetName val="2. SOFP"/>
      <sheetName val="3. SOPL"/>
      <sheetName val="4. Off-balance"/>
      <sheetName val="5. RWA"/>
      <sheetName val="6. Administrators-shareholders"/>
      <sheetName val="7. LI1"/>
      <sheetName val="8. LI2"/>
      <sheetName val="9. Capital"/>
      <sheetName val="9.1. Capital Requirements"/>
      <sheetName val="10. CC2"/>
      <sheetName val="11. CRWA"/>
      <sheetName val="12. CRM"/>
      <sheetName val="13. CRME"/>
      <sheetName val="14. LCR"/>
      <sheetName val="15. CCR"/>
      <sheetName val="15.1. LR"/>
      <sheetName val="15.2. CVA"/>
      <sheetName val="16. NSFR"/>
      <sheetName val=" 17. Residual Maturity"/>
      <sheetName val="18. Assets by Exposure classes"/>
      <sheetName val="19. Assets by Risk Sectors"/>
      <sheetName val="20. Reserves"/>
      <sheetName val="21. NPL"/>
      <sheetName val="22. Quality"/>
      <sheetName val="23. LTV"/>
      <sheetName val="24. Risk Sector"/>
      <sheetName val="25. Collateral"/>
      <sheetName val="26. Retail Products"/>
      <sheetName val="Instruction"/>
    </sheetNames>
    <sheetDataSet>
      <sheetData sheetId="0">
        <row r="2">
          <cell r="C2"/>
        </row>
      </sheetData>
      <sheetData sheetId="1">
        <row r="2">
          <cell r="B2">
            <v>45747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redo.g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C38"/>
  <sheetViews>
    <sheetView zoomScaleNormal="100" workbookViewId="0">
      <pane xSplit="1" ySplit="7" topLeftCell="B8" activePane="bottomRight" state="frozen"/>
      <selection pane="topRight" activeCell="B1" sqref="B1"/>
      <selection pane="bottomLeft" activeCell="A8" sqref="A8"/>
      <selection pane="bottomRight" activeCell="C2" sqref="C2:C5"/>
    </sheetView>
  </sheetViews>
  <sheetFormatPr defaultRowHeight="14.4"/>
  <cols>
    <col min="1" max="1" width="10.21875" style="1" customWidth="1"/>
    <col min="2" max="2" width="153" bestFit="1" customWidth="1"/>
    <col min="3" max="3" width="39.44140625" customWidth="1"/>
    <col min="7" max="7" width="25" customWidth="1"/>
  </cols>
  <sheetData>
    <row r="1" spans="1:3">
      <c r="A1" s="6"/>
      <c r="B1" s="93" t="s">
        <v>148</v>
      </c>
      <c r="C1" s="45"/>
    </row>
    <row r="2" spans="1:3" s="90" customFormat="1">
      <c r="A2" s="134">
        <v>1</v>
      </c>
      <c r="B2" s="91" t="s">
        <v>149</v>
      </c>
      <c r="C2" s="710" t="s">
        <v>1035</v>
      </c>
    </row>
    <row r="3" spans="1:3" s="90" customFormat="1">
      <c r="A3" s="134">
        <v>2</v>
      </c>
      <c r="B3" s="92" t="s">
        <v>150</v>
      </c>
      <c r="C3" s="710" t="s">
        <v>1036</v>
      </c>
    </row>
    <row r="4" spans="1:3" s="90" customFormat="1">
      <c r="A4" s="134">
        <v>3</v>
      </c>
      <c r="B4" s="92" t="s">
        <v>151</v>
      </c>
      <c r="C4" s="710" t="s">
        <v>1009</v>
      </c>
    </row>
    <row r="5" spans="1:3" s="90" customFormat="1">
      <c r="A5" s="135">
        <v>4</v>
      </c>
      <c r="B5" s="95" t="s">
        <v>152</v>
      </c>
      <c r="C5" s="711" t="s">
        <v>1037</v>
      </c>
    </row>
    <row r="6" spans="1:3" s="94" customFormat="1" ht="65.25" customHeight="1">
      <c r="A6" s="777" t="s">
        <v>309</v>
      </c>
      <c r="B6" s="778"/>
      <c r="C6" s="778"/>
    </row>
    <row r="7" spans="1:3">
      <c r="A7" s="231" t="s">
        <v>240</v>
      </c>
      <c r="B7" s="232" t="s">
        <v>153</v>
      </c>
    </row>
    <row r="8" spans="1:3">
      <c r="A8" s="233">
        <v>1</v>
      </c>
      <c r="B8" s="229" t="s">
        <v>128</v>
      </c>
    </row>
    <row r="9" spans="1:3">
      <c r="A9" s="233">
        <v>2</v>
      </c>
      <c r="B9" s="229" t="s">
        <v>154</v>
      </c>
    </row>
    <row r="10" spans="1:3">
      <c r="A10" s="233">
        <v>3</v>
      </c>
      <c r="B10" s="229" t="s">
        <v>155</v>
      </c>
    </row>
    <row r="11" spans="1:3">
      <c r="A11" s="233">
        <v>4</v>
      </c>
      <c r="B11" s="229" t="s">
        <v>156</v>
      </c>
    </row>
    <row r="12" spans="1:3">
      <c r="A12" s="233">
        <v>5</v>
      </c>
      <c r="B12" s="229" t="s">
        <v>96</v>
      </c>
    </row>
    <row r="13" spans="1:3">
      <c r="A13" s="233">
        <v>6</v>
      </c>
      <c r="B13" s="234" t="s">
        <v>80</v>
      </c>
    </row>
    <row r="14" spans="1:3">
      <c r="A14" s="233">
        <v>7</v>
      </c>
      <c r="B14" s="229" t="s">
        <v>157</v>
      </c>
    </row>
    <row r="15" spans="1:3">
      <c r="A15" s="233">
        <v>8</v>
      </c>
      <c r="B15" s="229" t="s">
        <v>160</v>
      </c>
    </row>
    <row r="16" spans="1:3">
      <c r="A16" s="233">
        <v>9</v>
      </c>
      <c r="B16" s="229" t="s">
        <v>74</v>
      </c>
    </row>
    <row r="17" spans="1:2">
      <c r="A17" s="235" t="s">
        <v>366</v>
      </c>
      <c r="B17" s="229" t="s">
        <v>346</v>
      </c>
    </row>
    <row r="18" spans="1:2">
      <c r="A18" s="233">
        <v>9.1999999999999993</v>
      </c>
      <c r="B18" s="587" t="s">
        <v>945</v>
      </c>
    </row>
    <row r="19" spans="1:2">
      <c r="A19" s="233">
        <v>9.3000000000000007</v>
      </c>
      <c r="B19" s="587" t="s">
        <v>946</v>
      </c>
    </row>
    <row r="20" spans="1:2">
      <c r="A20" s="233">
        <v>10</v>
      </c>
      <c r="B20" s="229" t="s">
        <v>161</v>
      </c>
    </row>
    <row r="21" spans="1:2">
      <c r="A21" s="233">
        <v>11</v>
      </c>
      <c r="B21" s="234" t="s">
        <v>144</v>
      </c>
    </row>
    <row r="22" spans="1:2">
      <c r="A22" s="233">
        <v>12</v>
      </c>
      <c r="B22" s="234" t="s">
        <v>141</v>
      </c>
    </row>
    <row r="23" spans="1:2">
      <c r="A23" s="233">
        <v>13</v>
      </c>
      <c r="B23" s="236" t="s">
        <v>285</v>
      </c>
    </row>
    <row r="24" spans="1:2">
      <c r="A24" s="233">
        <v>14</v>
      </c>
      <c r="B24" s="229" t="s">
        <v>339</v>
      </c>
    </row>
    <row r="25" spans="1:2">
      <c r="A25" s="233">
        <v>15</v>
      </c>
      <c r="B25" s="229" t="s">
        <v>73</v>
      </c>
    </row>
    <row r="26" spans="1:2">
      <c r="A26" s="233">
        <v>15.1</v>
      </c>
      <c r="B26" s="229" t="s">
        <v>375</v>
      </c>
    </row>
    <row r="27" spans="1:2">
      <c r="A27" s="586">
        <v>15.2</v>
      </c>
      <c r="B27" s="587" t="s">
        <v>969</v>
      </c>
    </row>
    <row r="28" spans="1:2">
      <c r="A28" s="233">
        <v>16</v>
      </c>
      <c r="B28" s="229" t="s">
        <v>422</v>
      </c>
    </row>
    <row r="29" spans="1:2">
      <c r="A29" s="233">
        <v>17</v>
      </c>
      <c r="B29" s="229" t="s">
        <v>646</v>
      </c>
    </row>
    <row r="30" spans="1:2">
      <c r="A30" s="233">
        <v>18</v>
      </c>
      <c r="B30" s="229" t="s">
        <v>905</v>
      </c>
    </row>
    <row r="31" spans="1:2">
      <c r="A31" s="233">
        <v>19</v>
      </c>
      <c r="B31" s="229" t="s">
        <v>906</v>
      </c>
    </row>
    <row r="32" spans="1:2">
      <c r="A32" s="233">
        <v>20</v>
      </c>
      <c r="B32" s="229" t="s">
        <v>907</v>
      </c>
    </row>
    <row r="33" spans="1:2">
      <c r="A33" s="233">
        <v>21</v>
      </c>
      <c r="B33" s="229" t="s">
        <v>515</v>
      </c>
    </row>
    <row r="34" spans="1:2">
      <c r="A34" s="233">
        <v>22</v>
      </c>
      <c r="B34" s="229" t="s">
        <v>908</v>
      </c>
    </row>
    <row r="35" spans="1:2" ht="26.4">
      <c r="A35" s="233">
        <v>23</v>
      </c>
      <c r="B35" s="542" t="s">
        <v>904</v>
      </c>
    </row>
    <row r="36" spans="1:2">
      <c r="A36" s="233">
        <v>24</v>
      </c>
      <c r="B36" s="229" t="s">
        <v>909</v>
      </c>
    </row>
    <row r="37" spans="1:2">
      <c r="A37" s="233">
        <v>25</v>
      </c>
      <c r="B37" s="229" t="s">
        <v>910</v>
      </c>
    </row>
    <row r="38" spans="1:2">
      <c r="A38" s="233">
        <v>26</v>
      </c>
      <c r="B38" s="229" t="s">
        <v>691</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 ref="C5" r:id="rId1" xr:uid="{00000000-0004-0000-0000-00001F000000}"/>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F56"/>
  <sheetViews>
    <sheetView zoomScale="80" zoomScaleNormal="80" workbookViewId="0">
      <pane xSplit="1" ySplit="5" topLeftCell="B35" activePane="bottomRight" state="frozen"/>
      <selection pane="topRight" activeCell="B1" sqref="B1"/>
      <selection pane="bottomLeft" activeCell="A5" sqref="A5"/>
      <selection pane="bottomRight" activeCell="C45" sqref="C45"/>
    </sheetView>
  </sheetViews>
  <sheetFormatPr defaultRowHeight="14.4"/>
  <cols>
    <col min="1" max="1" width="9.5546875" style="1" bestFit="1" customWidth="1"/>
    <col min="2" max="2" width="132.44140625" style="1" customWidth="1"/>
    <col min="3" max="3" width="18.44140625" style="1" customWidth="1"/>
  </cols>
  <sheetData>
    <row r="1" spans="1:6">
      <c r="A1" s="13" t="s">
        <v>97</v>
      </c>
      <c r="B1" s="12" t="str">
        <f>Info!C2</f>
        <v>სს "კრედო ბანკი"</v>
      </c>
      <c r="D1" s="1"/>
      <c r="E1" s="1"/>
      <c r="F1" s="1"/>
    </row>
    <row r="2" spans="1:6" s="13" customFormat="1" ht="15.75" customHeight="1">
      <c r="A2" s="13" t="s">
        <v>98</v>
      </c>
      <c r="B2" s="272">
        <f>'1. key ratios'!B2</f>
        <v>46203</v>
      </c>
    </row>
    <row r="3" spans="1:6" s="13" customFormat="1" ht="15.75" customHeight="1"/>
    <row r="4" spans="1:6" ht="15" thickBot="1">
      <c r="A4" s="1" t="s">
        <v>246</v>
      </c>
      <c r="B4" s="22" t="s">
        <v>74</v>
      </c>
    </row>
    <row r="5" spans="1:6">
      <c r="A5" s="64" t="s">
        <v>25</v>
      </c>
      <c r="B5" s="65"/>
      <c r="C5" s="66" t="s">
        <v>26</v>
      </c>
    </row>
    <row r="6" spans="1:6">
      <c r="A6" s="67">
        <v>1</v>
      </c>
      <c r="B6" s="41" t="s">
        <v>27</v>
      </c>
      <c r="C6" s="144">
        <f>SUM(C7:C11)</f>
        <v>520156358.8085832</v>
      </c>
    </row>
    <row r="7" spans="1:6">
      <c r="A7" s="67">
        <v>2</v>
      </c>
      <c r="B7" s="38" t="s">
        <v>28</v>
      </c>
      <c r="C7" s="145">
        <v>5303030</v>
      </c>
    </row>
    <row r="8" spans="1:6">
      <c r="A8" s="67">
        <v>3</v>
      </c>
      <c r="B8" s="33" t="s">
        <v>29</v>
      </c>
      <c r="C8" s="145">
        <v>45359473.049999997</v>
      </c>
    </row>
    <row r="9" spans="1:6">
      <c r="A9" s="67">
        <v>4</v>
      </c>
      <c r="B9" s="33" t="s">
        <v>30</v>
      </c>
      <c r="C9" s="145">
        <v>0</v>
      </c>
    </row>
    <row r="10" spans="1:6">
      <c r="A10" s="67">
        <v>5</v>
      </c>
      <c r="B10" s="33" t="s">
        <v>31</v>
      </c>
      <c r="C10" s="145">
        <v>0</v>
      </c>
    </row>
    <row r="11" spans="1:6">
      <c r="A11" s="67">
        <v>6</v>
      </c>
      <c r="B11" s="39" t="s">
        <v>32</v>
      </c>
      <c r="C11" s="145">
        <v>469493855.75858319</v>
      </c>
    </row>
    <row r="12" spans="1:6" s="2" customFormat="1">
      <c r="A12" s="67">
        <v>7</v>
      </c>
      <c r="B12" s="41" t="s">
        <v>33</v>
      </c>
      <c r="C12" s="146">
        <f>SUM(C13:C28)</f>
        <v>39058554.609999985</v>
      </c>
    </row>
    <row r="13" spans="1:6" s="2" customFormat="1">
      <c r="A13" s="67">
        <v>8</v>
      </c>
      <c r="B13" s="40" t="s">
        <v>34</v>
      </c>
      <c r="C13" s="147"/>
    </row>
    <row r="14" spans="1:6" s="2" customFormat="1" ht="27.6">
      <c r="A14" s="67">
        <v>9</v>
      </c>
      <c r="B14" s="34" t="s">
        <v>35</v>
      </c>
      <c r="C14" s="147"/>
    </row>
    <row r="15" spans="1:6" s="2" customFormat="1">
      <c r="A15" s="67">
        <v>10</v>
      </c>
      <c r="B15" s="35" t="s">
        <v>36</v>
      </c>
      <c r="C15" s="682">
        <v>39058554.609999985</v>
      </c>
    </row>
    <row r="16" spans="1:6" s="2" customFormat="1">
      <c r="A16" s="67">
        <v>11</v>
      </c>
      <c r="B16" s="36" t="s">
        <v>37</v>
      </c>
      <c r="C16" s="147"/>
    </row>
    <row r="17" spans="1:3" s="2" customFormat="1">
      <c r="A17" s="67">
        <v>12</v>
      </c>
      <c r="B17" s="35" t="s">
        <v>38</v>
      </c>
      <c r="C17" s="147"/>
    </row>
    <row r="18" spans="1:3" s="2" customFormat="1">
      <c r="A18" s="67">
        <v>13</v>
      </c>
      <c r="B18" s="35" t="s">
        <v>39</v>
      </c>
      <c r="C18" s="147"/>
    </row>
    <row r="19" spans="1:3" s="2" customFormat="1">
      <c r="A19" s="67">
        <v>14</v>
      </c>
      <c r="B19" s="35" t="s">
        <v>40</v>
      </c>
      <c r="C19" s="147"/>
    </row>
    <row r="20" spans="1:3" s="2" customFormat="1" ht="27.6">
      <c r="A20" s="67">
        <v>15</v>
      </c>
      <c r="B20" s="35" t="s">
        <v>41</v>
      </c>
      <c r="C20" s="147"/>
    </row>
    <row r="21" spans="1:3" s="2" customFormat="1" ht="27.6">
      <c r="A21" s="67">
        <v>16</v>
      </c>
      <c r="B21" s="34" t="s">
        <v>42</v>
      </c>
      <c r="C21" s="147"/>
    </row>
    <row r="22" spans="1:3" s="2" customFormat="1">
      <c r="A22" s="67">
        <v>17</v>
      </c>
      <c r="B22" s="68" t="s">
        <v>43</v>
      </c>
      <c r="C22" s="147"/>
    </row>
    <row r="23" spans="1:3" s="2" customFormat="1">
      <c r="A23" s="67">
        <v>18</v>
      </c>
      <c r="B23" s="577" t="s">
        <v>694</v>
      </c>
      <c r="C23" s="334"/>
    </row>
    <row r="24" spans="1:3" s="2" customFormat="1" ht="27.6">
      <c r="A24" s="67">
        <v>19</v>
      </c>
      <c r="B24" s="34" t="s">
        <v>44</v>
      </c>
      <c r="C24" s="147"/>
    </row>
    <row r="25" spans="1:3" s="2" customFormat="1" ht="27.6">
      <c r="A25" s="67">
        <v>20</v>
      </c>
      <c r="B25" s="34" t="s">
        <v>45</v>
      </c>
      <c r="C25" s="147"/>
    </row>
    <row r="26" spans="1:3" s="2" customFormat="1" ht="27.6">
      <c r="A26" s="67">
        <v>21</v>
      </c>
      <c r="B26" s="36" t="s">
        <v>46</v>
      </c>
      <c r="C26" s="147"/>
    </row>
    <row r="27" spans="1:3" s="2" customFormat="1">
      <c r="A27" s="67">
        <v>22</v>
      </c>
      <c r="B27" s="36" t="s">
        <v>47</v>
      </c>
      <c r="C27" s="147"/>
    </row>
    <row r="28" spans="1:3" s="2" customFormat="1" ht="27.6">
      <c r="A28" s="67">
        <v>23</v>
      </c>
      <c r="B28" s="36" t="s">
        <v>48</v>
      </c>
      <c r="C28" s="147"/>
    </row>
    <row r="29" spans="1:3" s="2" customFormat="1">
      <c r="A29" s="67">
        <v>24</v>
      </c>
      <c r="B29" s="42" t="s">
        <v>22</v>
      </c>
      <c r="C29" s="146">
        <f>C6-C12</f>
        <v>481097804.19858325</v>
      </c>
    </row>
    <row r="30" spans="1:3" s="2" customFormat="1">
      <c r="A30" s="69"/>
      <c r="B30" s="37"/>
      <c r="C30" s="147"/>
    </row>
    <row r="31" spans="1:3" s="2" customFormat="1">
      <c r="A31" s="69">
        <v>25</v>
      </c>
      <c r="B31" s="42" t="s">
        <v>49</v>
      </c>
      <c r="C31" s="146">
        <f>C32+C35</f>
        <v>26453000.000000004</v>
      </c>
    </row>
    <row r="32" spans="1:3" s="2" customFormat="1">
      <c r="A32" s="69">
        <v>26</v>
      </c>
      <c r="B32" s="33" t="s">
        <v>50</v>
      </c>
      <c r="C32" s="148">
        <f>C33+C34</f>
        <v>26453000.000000004</v>
      </c>
    </row>
    <row r="33" spans="1:3" s="2" customFormat="1">
      <c r="A33" s="69">
        <v>27</v>
      </c>
      <c r="B33" s="88" t="s">
        <v>51</v>
      </c>
      <c r="C33" s="147"/>
    </row>
    <row r="34" spans="1:3" s="2" customFormat="1">
      <c r="A34" s="69">
        <v>28</v>
      </c>
      <c r="B34" s="88" t="s">
        <v>52</v>
      </c>
      <c r="C34" s="147">
        <v>26453000.000000004</v>
      </c>
    </row>
    <row r="35" spans="1:3" s="2" customFormat="1">
      <c r="A35" s="69">
        <v>29</v>
      </c>
      <c r="B35" s="33" t="s">
        <v>53</v>
      </c>
      <c r="C35" s="147"/>
    </row>
    <row r="36" spans="1:3" s="2" customFormat="1">
      <c r="A36" s="69">
        <v>30</v>
      </c>
      <c r="B36" s="42" t="s">
        <v>54</v>
      </c>
      <c r="C36" s="146">
        <f>SUM(C37:C41)</f>
        <v>0</v>
      </c>
    </row>
    <row r="37" spans="1:3" s="2" customFormat="1">
      <c r="A37" s="69">
        <v>31</v>
      </c>
      <c r="B37" s="34" t="s">
        <v>55</v>
      </c>
      <c r="C37" s="147"/>
    </row>
    <row r="38" spans="1:3" s="2" customFormat="1">
      <c r="A38" s="69">
        <v>32</v>
      </c>
      <c r="B38" s="35" t="s">
        <v>56</v>
      </c>
      <c r="C38" s="147"/>
    </row>
    <row r="39" spans="1:3" s="2" customFormat="1" ht="27.6">
      <c r="A39" s="69">
        <v>33</v>
      </c>
      <c r="B39" s="34" t="s">
        <v>57</v>
      </c>
      <c r="C39" s="147"/>
    </row>
    <row r="40" spans="1:3" s="2" customFormat="1" ht="27.6">
      <c r="A40" s="69">
        <v>34</v>
      </c>
      <c r="B40" s="34" t="s">
        <v>45</v>
      </c>
      <c r="C40" s="147"/>
    </row>
    <row r="41" spans="1:3" s="2" customFormat="1" ht="27.6">
      <c r="A41" s="69">
        <v>35</v>
      </c>
      <c r="B41" s="36" t="s">
        <v>58</v>
      </c>
      <c r="C41" s="147"/>
    </row>
    <row r="42" spans="1:3" s="2" customFormat="1">
      <c r="A42" s="69">
        <v>36</v>
      </c>
      <c r="B42" s="42" t="s">
        <v>23</v>
      </c>
      <c r="C42" s="146">
        <f>C31-C36</f>
        <v>26453000.000000004</v>
      </c>
    </row>
    <row r="43" spans="1:3" s="2" customFormat="1">
      <c r="A43" s="69"/>
      <c r="B43" s="37"/>
      <c r="C43" s="147"/>
    </row>
    <row r="44" spans="1:3" s="2" customFormat="1">
      <c r="A44" s="69">
        <v>37</v>
      </c>
      <c r="B44" s="43" t="s">
        <v>59</v>
      </c>
      <c r="C44" s="146">
        <f>SUM(C45:C47)</f>
        <v>132415333.75999999</v>
      </c>
    </row>
    <row r="45" spans="1:3" s="2" customFormat="1">
      <c r="A45" s="69">
        <v>38</v>
      </c>
      <c r="B45" s="33" t="s">
        <v>60</v>
      </c>
      <c r="C45" s="147">
        <v>132415333.75999999</v>
      </c>
    </row>
    <row r="46" spans="1:3" s="2" customFormat="1">
      <c r="A46" s="69">
        <v>39</v>
      </c>
      <c r="B46" s="33" t="s">
        <v>61</v>
      </c>
      <c r="C46" s="147"/>
    </row>
    <row r="47" spans="1:3" s="2" customFormat="1">
      <c r="A47" s="69">
        <v>40</v>
      </c>
      <c r="B47" s="578" t="s">
        <v>693</v>
      </c>
      <c r="C47" s="147"/>
    </row>
    <row r="48" spans="1:3" s="2" customFormat="1">
      <c r="A48" s="69">
        <v>41</v>
      </c>
      <c r="B48" s="43" t="s">
        <v>62</v>
      </c>
      <c r="C48" s="146">
        <f>SUM(C49:C52)</f>
        <v>0</v>
      </c>
    </row>
    <row r="49" spans="1:3" s="2" customFormat="1">
      <c r="A49" s="69">
        <v>42</v>
      </c>
      <c r="B49" s="34" t="s">
        <v>63</v>
      </c>
      <c r="C49" s="147"/>
    </row>
    <row r="50" spans="1:3" s="2" customFormat="1">
      <c r="A50" s="69">
        <v>43</v>
      </c>
      <c r="B50" s="35" t="s">
        <v>64</v>
      </c>
      <c r="C50" s="147"/>
    </row>
    <row r="51" spans="1:3" s="2" customFormat="1" ht="27.6">
      <c r="A51" s="69">
        <v>44</v>
      </c>
      <c r="B51" s="34" t="s">
        <v>65</v>
      </c>
      <c r="C51" s="147"/>
    </row>
    <row r="52" spans="1:3" s="2" customFormat="1" ht="27.6">
      <c r="A52" s="69">
        <v>45</v>
      </c>
      <c r="B52" s="34" t="s">
        <v>45</v>
      </c>
      <c r="C52" s="147"/>
    </row>
    <row r="53" spans="1:3" s="2" customFormat="1" ht="15" thickBot="1">
      <c r="A53" s="69">
        <v>46</v>
      </c>
      <c r="B53" s="70" t="s">
        <v>24</v>
      </c>
      <c r="C53" s="149">
        <f>C44-C48</f>
        <v>132415333.75999999</v>
      </c>
    </row>
    <row r="56" spans="1:3">
      <c r="B56" s="1" t="s">
        <v>130</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ignoredErrors>
    <ignoredError sqref="C32"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D23"/>
  <sheetViews>
    <sheetView zoomScale="80" zoomScaleNormal="80" workbookViewId="0">
      <selection activeCell="E26" sqref="E26"/>
    </sheetView>
  </sheetViews>
  <sheetFormatPr defaultColWidth="9.21875" defaultRowHeight="13.8"/>
  <cols>
    <col min="1" max="1" width="10.77734375" style="1" bestFit="1" customWidth="1"/>
    <col min="2" max="2" width="59" style="1" customWidth="1"/>
    <col min="3" max="3" width="16.77734375" style="1" bestFit="1" customWidth="1"/>
    <col min="4" max="4" width="22.21875" style="1" customWidth="1"/>
    <col min="5" max="16384" width="9.21875" style="1"/>
  </cols>
  <sheetData>
    <row r="1" spans="1:4">
      <c r="A1" s="13" t="s">
        <v>97</v>
      </c>
      <c r="B1" s="12" t="str">
        <f>Info!C2</f>
        <v>სს "კრედო ბანკი"</v>
      </c>
    </row>
    <row r="2" spans="1:4" s="13" customFormat="1" ht="15.75" customHeight="1">
      <c r="A2" s="13" t="s">
        <v>98</v>
      </c>
      <c r="B2" s="272">
        <f>'1. key ratios'!B2</f>
        <v>46203</v>
      </c>
    </row>
    <row r="3" spans="1:4" s="13" customFormat="1" ht="15.75" customHeight="1"/>
    <row r="4" spans="1:4" ht="14.4" thickBot="1">
      <c r="A4" s="1" t="s">
        <v>345</v>
      </c>
      <c r="B4" s="218" t="s">
        <v>346</v>
      </c>
    </row>
    <row r="5" spans="1:4" s="29" customFormat="1">
      <c r="A5" s="804" t="s">
        <v>347</v>
      </c>
      <c r="B5" s="805"/>
      <c r="C5" s="208" t="s">
        <v>348</v>
      </c>
      <c r="D5" s="209" t="s">
        <v>349</v>
      </c>
    </row>
    <row r="6" spans="1:4" s="219" customFormat="1">
      <c r="A6" s="210">
        <v>1</v>
      </c>
      <c r="B6" s="211" t="s">
        <v>350</v>
      </c>
      <c r="C6" s="211"/>
      <c r="D6" s="212"/>
    </row>
    <row r="7" spans="1:4" s="219" customFormat="1">
      <c r="A7" s="213" t="s">
        <v>351</v>
      </c>
      <c r="B7" s="214" t="s">
        <v>352</v>
      </c>
      <c r="C7" s="237">
        <v>4.4999999999999998E-2</v>
      </c>
      <c r="D7" s="683">
        <f>C7*'5. RWA'!$C$13</f>
        <v>157344465.06065905</v>
      </c>
    </row>
    <row r="8" spans="1:4" s="219" customFormat="1">
      <c r="A8" s="213" t="s">
        <v>353</v>
      </c>
      <c r="B8" s="214" t="s">
        <v>354</v>
      </c>
      <c r="C8" s="238">
        <v>0.06</v>
      </c>
      <c r="D8" s="683">
        <f>C8*'5. RWA'!$C$13</f>
        <v>209792620.08087873</v>
      </c>
    </row>
    <row r="9" spans="1:4" s="219" customFormat="1">
      <c r="A9" s="213" t="s">
        <v>355</v>
      </c>
      <c r="B9" s="214" t="s">
        <v>356</v>
      </c>
      <c r="C9" s="238">
        <v>0.08</v>
      </c>
      <c r="D9" s="683">
        <f>C9*'5. RWA'!$C$13</f>
        <v>279723493.44117165</v>
      </c>
    </row>
    <row r="10" spans="1:4" s="219" customFormat="1">
      <c r="A10" s="210" t="s">
        <v>357</v>
      </c>
      <c r="B10" s="211" t="s">
        <v>358</v>
      </c>
      <c r="C10" s="239"/>
      <c r="D10" s="684"/>
    </row>
    <row r="11" spans="1:4" s="220" customFormat="1">
      <c r="A11" s="215" t="s">
        <v>359</v>
      </c>
      <c r="B11" s="216" t="s">
        <v>996</v>
      </c>
      <c r="C11" s="240">
        <v>2.5000000000000001E-2</v>
      </c>
      <c r="D11" s="685">
        <f>C11*'5. RWA'!$C$13</f>
        <v>87413591.700366139</v>
      </c>
    </row>
    <row r="12" spans="1:4" s="220" customFormat="1">
      <c r="A12" s="215" t="s">
        <v>360</v>
      </c>
      <c r="B12" s="216" t="s">
        <v>361</v>
      </c>
      <c r="C12" s="240">
        <v>7.4999999999999997E-3</v>
      </c>
      <c r="D12" s="685">
        <f>C12*'5. RWA'!$C$13</f>
        <v>26224077.510109842</v>
      </c>
    </row>
    <row r="13" spans="1:4" s="220" customFormat="1">
      <c r="A13" s="215" t="s">
        <v>362</v>
      </c>
      <c r="B13" s="216" t="s">
        <v>363</v>
      </c>
      <c r="C13" s="240"/>
      <c r="D13" s="685">
        <f>C13*'5. RWA'!$C$13</f>
        <v>0</v>
      </c>
    </row>
    <row r="14" spans="1:4" s="219" customFormat="1">
      <c r="A14" s="210" t="s">
        <v>364</v>
      </c>
      <c r="B14" s="211" t="s">
        <v>409</v>
      </c>
      <c r="C14" s="241"/>
      <c r="D14" s="684"/>
    </row>
    <row r="15" spans="1:4" s="219" customFormat="1">
      <c r="A15" s="230" t="s">
        <v>367</v>
      </c>
      <c r="B15" s="216" t="s">
        <v>410</v>
      </c>
      <c r="C15" s="240">
        <v>4.0693392500546995E-2</v>
      </c>
      <c r="D15" s="685">
        <f>C15*'5. RWA'!$C$13</f>
        <v>142286223.87782225</v>
      </c>
    </row>
    <row r="16" spans="1:4" s="219" customFormat="1">
      <c r="A16" s="230" t="s">
        <v>368</v>
      </c>
      <c r="B16" s="216" t="s">
        <v>370</v>
      </c>
      <c r="C16" s="240">
        <v>4.6631887570882741E-2</v>
      </c>
      <c r="D16" s="685">
        <f>C16*'5. RWA'!$C$13</f>
        <v>163050431.21354091</v>
      </c>
    </row>
    <row r="17" spans="1:4" s="219" customFormat="1">
      <c r="A17" s="230" t="s">
        <v>369</v>
      </c>
      <c r="B17" s="216" t="s">
        <v>407</v>
      </c>
      <c r="C17" s="240">
        <v>5.4445696873956104E-2</v>
      </c>
      <c r="D17" s="685">
        <f>C17*'5. RWA'!$C$13</f>
        <v>190371756.655276</v>
      </c>
    </row>
    <row r="18" spans="1:4" s="29" customFormat="1">
      <c r="A18" s="806" t="s">
        <v>408</v>
      </c>
      <c r="B18" s="807"/>
      <c r="C18" s="242" t="s">
        <v>348</v>
      </c>
      <c r="D18" s="686" t="s">
        <v>349</v>
      </c>
    </row>
    <row r="19" spans="1:4" s="219" customFormat="1">
      <c r="A19" s="217">
        <v>4</v>
      </c>
      <c r="B19" s="216" t="s">
        <v>22</v>
      </c>
      <c r="C19" s="240">
        <f>C7+C11+C12+C13+C15</f>
        <v>0.118193392500547</v>
      </c>
      <c r="D19" s="683">
        <f>C19*'5. RWA'!$C$13</f>
        <v>413268358.14895731</v>
      </c>
    </row>
    <row r="20" spans="1:4" s="219" customFormat="1">
      <c r="A20" s="217">
        <v>5</v>
      </c>
      <c r="B20" s="216" t="s">
        <v>75</v>
      </c>
      <c r="C20" s="240">
        <f>C8+C11+C12+C13+C16</f>
        <v>0.13913188757088274</v>
      </c>
      <c r="D20" s="683">
        <f>C20*'5. RWA'!$C$13</f>
        <v>486480720.50489563</v>
      </c>
    </row>
    <row r="21" spans="1:4" s="219" customFormat="1" ht="14.4" thickBot="1">
      <c r="A21" s="221" t="s">
        <v>365</v>
      </c>
      <c r="B21" s="222" t="s">
        <v>74</v>
      </c>
      <c r="C21" s="243">
        <f>C9+C11+C12+C13+C17</f>
        <v>0.16694569687395611</v>
      </c>
      <c r="D21" s="687">
        <f>C21*'5. RWA'!$C$13</f>
        <v>583732919.30692363</v>
      </c>
    </row>
    <row r="23" spans="1:4">
      <c r="B23" s="17"/>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E27"/>
  <sheetViews>
    <sheetView showGridLines="0" zoomScaleNormal="100" workbookViewId="0">
      <selection activeCell="B19" sqref="B19"/>
    </sheetView>
  </sheetViews>
  <sheetFormatPr defaultRowHeight="14.4"/>
  <cols>
    <col min="1" max="1" width="107.109375" bestFit="1" customWidth="1"/>
    <col min="2" max="2" width="50.88671875" bestFit="1" customWidth="1"/>
    <col min="3" max="3" width="28.109375" bestFit="1" customWidth="1"/>
    <col min="4" max="4" width="28.21875" customWidth="1"/>
    <col min="5" max="7" width="28.109375" customWidth="1"/>
  </cols>
  <sheetData>
    <row r="1" spans="1:2">
      <c r="A1" s="548" t="s">
        <v>97</v>
      </c>
      <c r="B1" s="12" t="str">
        <f>Info!C2</f>
        <v>სს "კრედო ბანკი"</v>
      </c>
    </row>
    <row r="2" spans="1:2">
      <c r="A2" s="548" t="s">
        <v>98</v>
      </c>
      <c r="B2" s="272">
        <f>'1. key ratios'!B2</f>
        <v>46203</v>
      </c>
    </row>
    <row r="3" spans="1:2">
      <c r="A3" s="549" t="s">
        <v>947</v>
      </c>
      <c r="B3" s="544" t="s">
        <v>918</v>
      </c>
    </row>
    <row r="4" spans="1:2" ht="15" thickBot="1"/>
    <row r="5" spans="1:2">
      <c r="A5" s="554"/>
      <c r="B5" s="555" t="s">
        <v>919</v>
      </c>
    </row>
    <row r="6" spans="1:2">
      <c r="A6" s="550" t="s">
        <v>920</v>
      </c>
      <c r="B6" s="556">
        <f>SUM(B7,B11)</f>
        <v>639966137.95858324</v>
      </c>
    </row>
    <row r="7" spans="1:2" ht="15.6">
      <c r="A7" s="550" t="s">
        <v>953</v>
      </c>
      <c r="B7" s="556">
        <f>SUM(B8:B10)</f>
        <v>639966137.95858324</v>
      </c>
    </row>
    <row r="8" spans="1:2">
      <c r="A8" s="551" t="s">
        <v>921</v>
      </c>
      <c r="B8" s="557">
        <f>'9. Capital'!C29</f>
        <v>481097804.19858325</v>
      </c>
    </row>
    <row r="9" spans="1:2">
      <c r="A9" s="551" t="s">
        <v>922</v>
      </c>
      <c r="B9" s="557">
        <f>'9. Capital'!C42</f>
        <v>26453000.000000004</v>
      </c>
    </row>
    <row r="10" spans="1:2">
      <c r="A10" s="551" t="s">
        <v>923</v>
      </c>
      <c r="B10" s="557">
        <f>'9. Capital'!C53</f>
        <v>132415333.75999999</v>
      </c>
    </row>
    <row r="11" spans="1:2">
      <c r="A11" s="550" t="s">
        <v>924</v>
      </c>
      <c r="B11" s="556">
        <f>SUM(B12:B13)</f>
        <v>0</v>
      </c>
    </row>
    <row r="12" spans="1:2" ht="15.6">
      <c r="A12" s="551" t="s">
        <v>954</v>
      </c>
      <c r="B12" s="557"/>
    </row>
    <row r="13" spans="1:2" ht="15.6">
      <c r="A13" s="551" t="s">
        <v>955</v>
      </c>
      <c r="B13" s="557"/>
    </row>
    <row r="14" spans="1:2">
      <c r="A14" s="550" t="s">
        <v>925</v>
      </c>
      <c r="B14" s="556">
        <f>SUM(B15:B16)</f>
        <v>639966137.95858324</v>
      </c>
    </row>
    <row r="15" spans="1:2">
      <c r="A15" s="552" t="s">
        <v>926</v>
      </c>
      <c r="B15" s="557"/>
    </row>
    <row r="16" spans="1:2">
      <c r="A16" s="552" t="s">
        <v>74</v>
      </c>
      <c r="B16" s="557">
        <f>B7</f>
        <v>639966137.95858324</v>
      </c>
    </row>
    <row r="17" spans="1:5">
      <c r="A17" s="550" t="s">
        <v>927</v>
      </c>
      <c r="B17" s="556"/>
    </row>
    <row r="18" spans="1:5">
      <c r="A18" s="552" t="s">
        <v>928</v>
      </c>
      <c r="B18" s="557">
        <f>'5. RWA'!C13</f>
        <v>3496543668.0146456</v>
      </c>
    </row>
    <row r="19" spans="1:5">
      <c r="A19" s="552" t="s">
        <v>929</v>
      </c>
      <c r="B19" s="557">
        <f>'15.1. LR'!C32</f>
        <v>4258522850.2189107</v>
      </c>
    </row>
    <row r="20" spans="1:5">
      <c r="A20" s="550" t="s">
        <v>930</v>
      </c>
      <c r="B20" s="556"/>
    </row>
    <row r="21" spans="1:5">
      <c r="A21" s="553" t="s">
        <v>931</v>
      </c>
      <c r="B21" s="558">
        <f>IFERROR(B6/B18,0)</f>
        <v>0.18302821263546784</v>
      </c>
    </row>
    <row r="22" spans="1:5">
      <c r="A22" s="553" t="s">
        <v>932</v>
      </c>
      <c r="B22" s="558">
        <f>IFERROR(B6/B19,0)</f>
        <v>0.15027890197317728</v>
      </c>
    </row>
    <row r="23" spans="1:5" ht="15" thickBot="1">
      <c r="A23" s="559" t="s">
        <v>933</v>
      </c>
      <c r="B23" s="560">
        <f>IFERROR(B6/B14,0)</f>
        <v>1</v>
      </c>
    </row>
    <row r="24" spans="1:5" ht="16.5" customHeight="1">
      <c r="A24" s="547" t="s">
        <v>956</v>
      </c>
      <c r="B24" s="545"/>
      <c r="C24" s="545"/>
      <c r="D24" s="545"/>
      <c r="E24" s="545"/>
    </row>
    <row r="25" spans="1:5" ht="25.5" customHeight="1">
      <c r="A25" s="547" t="s">
        <v>957</v>
      </c>
    </row>
    <row r="26" spans="1:5" ht="57" customHeight="1">
      <c r="A26" s="547" t="s">
        <v>958</v>
      </c>
    </row>
    <row r="27" spans="1:5">
      <c r="A27" s="546"/>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F20"/>
  <sheetViews>
    <sheetView showGridLines="0" topLeftCell="A4" zoomScaleNormal="100" workbookViewId="0">
      <selection activeCell="A9" sqref="A9"/>
    </sheetView>
  </sheetViews>
  <sheetFormatPr defaultRowHeight="14.4"/>
  <cols>
    <col min="1" max="1" width="82" customWidth="1"/>
    <col min="2" max="2" width="28.109375" bestFit="1" customWidth="1"/>
    <col min="3" max="3" width="28.21875" customWidth="1"/>
    <col min="4" max="6" width="28.109375" customWidth="1"/>
  </cols>
  <sheetData>
    <row r="1" spans="1:6">
      <c r="A1" s="548" t="s">
        <v>97</v>
      </c>
      <c r="B1" s="12" t="str">
        <f>Info!C2</f>
        <v>სს "კრედო ბანკი"</v>
      </c>
      <c r="C1" s="1"/>
    </row>
    <row r="2" spans="1:6">
      <c r="A2" s="548" t="s">
        <v>98</v>
      </c>
      <c r="B2" s="272">
        <f>'1. key ratios'!B2</f>
        <v>46203</v>
      </c>
      <c r="C2" s="1"/>
    </row>
    <row r="3" spans="1:6">
      <c r="A3" s="549" t="s">
        <v>948</v>
      </c>
      <c r="B3" s="544" t="s">
        <v>918</v>
      </c>
      <c r="C3" s="1"/>
    </row>
    <row r="5" spans="1:6">
      <c r="A5" s="546"/>
    </row>
    <row r="6" spans="1:6" ht="15" thickBot="1">
      <c r="A6" s="561"/>
      <c r="B6" s="561"/>
      <c r="C6" s="561"/>
      <c r="D6" s="561"/>
      <c r="E6" s="561"/>
      <c r="F6" s="561"/>
    </row>
    <row r="7" spans="1:6">
      <c r="A7" s="808"/>
      <c r="B7" s="810" t="s">
        <v>934</v>
      </c>
      <c r="C7" s="810"/>
      <c r="D7" s="810"/>
      <c r="E7" s="810"/>
      <c r="F7" s="811" t="s">
        <v>935</v>
      </c>
    </row>
    <row r="8" spans="1:6" ht="27.6">
      <c r="A8" s="809"/>
      <c r="B8" s="562" t="s">
        <v>936</v>
      </c>
      <c r="C8" s="562" t="s">
        <v>937</v>
      </c>
      <c r="D8" s="562" t="s">
        <v>938</v>
      </c>
      <c r="E8" s="562" t="s">
        <v>939</v>
      </c>
      <c r="F8" s="812"/>
    </row>
    <row r="9" spans="1:6">
      <c r="A9" s="563" t="s">
        <v>940</v>
      </c>
      <c r="B9" s="564">
        <f>B13+B17</f>
        <v>0</v>
      </c>
      <c r="C9" s="564">
        <f t="shared" ref="C9:E9" si="0">C13+C17</f>
        <v>0</v>
      </c>
      <c r="D9" s="564">
        <f t="shared" si="0"/>
        <v>0</v>
      </c>
      <c r="E9" s="564">
        <f t="shared" si="0"/>
        <v>0</v>
      </c>
      <c r="F9" s="565">
        <f>F13+F17</f>
        <v>0</v>
      </c>
    </row>
    <row r="10" spans="1:6">
      <c r="A10" s="566" t="s">
        <v>941</v>
      </c>
      <c r="B10" s="567">
        <f t="shared" ref="B10:E12" si="1">B14+B18</f>
        <v>0</v>
      </c>
      <c r="C10" s="567">
        <f t="shared" si="1"/>
        <v>0</v>
      </c>
      <c r="D10" s="567">
        <f t="shared" si="1"/>
        <v>0</v>
      </c>
      <c r="E10" s="567">
        <f t="shared" si="1"/>
        <v>0</v>
      </c>
      <c r="F10" s="565">
        <f>SUM(B10:E10)</f>
        <v>0</v>
      </c>
    </row>
    <row r="11" spans="1:6">
      <c r="A11" s="566" t="s">
        <v>942</v>
      </c>
      <c r="B11" s="567">
        <f t="shared" si="1"/>
        <v>0</v>
      </c>
      <c r="C11" s="567">
        <f t="shared" si="1"/>
        <v>0</v>
      </c>
      <c r="D11" s="567">
        <f t="shared" si="1"/>
        <v>0</v>
      </c>
      <c r="E11" s="567">
        <f t="shared" si="1"/>
        <v>0</v>
      </c>
      <c r="F11" s="565">
        <f t="shared" ref="F11:F12" si="2">SUM(B11:E11)</f>
        <v>0</v>
      </c>
    </row>
    <row r="12" spans="1:6">
      <c r="A12" s="568" t="s">
        <v>943</v>
      </c>
      <c r="B12" s="567">
        <f t="shared" si="1"/>
        <v>0</v>
      </c>
      <c r="C12" s="567">
        <f t="shared" si="1"/>
        <v>0</v>
      </c>
      <c r="D12" s="567">
        <f t="shared" si="1"/>
        <v>0</v>
      </c>
      <c r="E12" s="567">
        <f t="shared" si="1"/>
        <v>0</v>
      </c>
      <c r="F12" s="565">
        <f t="shared" si="2"/>
        <v>0</v>
      </c>
    </row>
    <row r="13" spans="1:6">
      <c r="A13" s="569" t="s">
        <v>944</v>
      </c>
      <c r="B13" s="570"/>
      <c r="C13" s="570"/>
      <c r="D13" s="570"/>
      <c r="E13" s="570"/>
      <c r="F13" s="571"/>
    </row>
    <row r="14" spans="1:6">
      <c r="A14" s="566" t="s">
        <v>941</v>
      </c>
      <c r="B14" s="572"/>
      <c r="C14" s="572"/>
      <c r="D14" s="572"/>
      <c r="E14" s="572"/>
      <c r="F14" s="573"/>
    </row>
    <row r="15" spans="1:6">
      <c r="A15" s="566" t="s">
        <v>942</v>
      </c>
      <c r="B15" s="572"/>
      <c r="C15" s="572"/>
      <c r="D15" s="572"/>
      <c r="E15" s="572"/>
      <c r="F15" s="573"/>
    </row>
    <row r="16" spans="1:6">
      <c r="A16" s="568" t="s">
        <v>943</v>
      </c>
      <c r="B16" s="572"/>
      <c r="C16" s="572"/>
      <c r="D16" s="572"/>
      <c r="E16" s="572"/>
      <c r="F16" s="573"/>
    </row>
    <row r="17" spans="1:6">
      <c r="A17" s="569" t="s">
        <v>924</v>
      </c>
      <c r="B17" s="570"/>
      <c r="C17" s="570"/>
      <c r="D17" s="570"/>
      <c r="E17" s="570"/>
      <c r="F17" s="573"/>
    </row>
    <row r="18" spans="1:6">
      <c r="A18" s="566" t="s">
        <v>941</v>
      </c>
      <c r="B18" s="572"/>
      <c r="C18" s="572"/>
      <c r="D18" s="572"/>
      <c r="E18" s="572"/>
      <c r="F18" s="573"/>
    </row>
    <row r="19" spans="1:6">
      <c r="A19" s="566" t="s">
        <v>942</v>
      </c>
      <c r="B19" s="572"/>
      <c r="C19" s="572"/>
      <c r="D19" s="572"/>
      <c r="E19" s="572"/>
      <c r="F19" s="573"/>
    </row>
    <row r="20" spans="1:6" ht="15" thickBot="1">
      <c r="A20" s="574" t="s">
        <v>943</v>
      </c>
      <c r="B20" s="575"/>
      <c r="C20" s="575"/>
      <c r="D20" s="575"/>
      <c r="E20" s="575"/>
      <c r="F20" s="576"/>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F68"/>
  <sheetViews>
    <sheetView zoomScale="80" zoomScaleNormal="80" workbookViewId="0">
      <pane xSplit="1" ySplit="5" topLeftCell="B49" activePane="bottomRight" state="frozen"/>
      <selection pane="topRight" activeCell="B1" sqref="B1"/>
      <selection pane="bottomLeft" activeCell="A5" sqref="A5"/>
      <selection pane="bottomRight" activeCell="C54" sqref="C54:C66"/>
    </sheetView>
  </sheetViews>
  <sheetFormatPr defaultRowHeight="14.4"/>
  <cols>
    <col min="1" max="1" width="10.77734375" style="30" customWidth="1"/>
    <col min="2" max="2" width="91.77734375" style="30" customWidth="1"/>
    <col min="3" max="3" width="53.21875" style="30" customWidth="1"/>
    <col min="4" max="4" width="32.21875" style="30" customWidth="1"/>
    <col min="5" max="5" width="9.44140625" customWidth="1"/>
  </cols>
  <sheetData>
    <row r="1" spans="1:6">
      <c r="A1" s="13" t="s">
        <v>97</v>
      </c>
      <c r="B1" s="14" t="str">
        <f>Info!C2</f>
        <v>სს "კრედო ბანკი"</v>
      </c>
      <c r="E1" s="1"/>
      <c r="F1" s="1"/>
    </row>
    <row r="2" spans="1:6" s="13" customFormat="1" ht="15.75" customHeight="1">
      <c r="A2" s="13" t="s">
        <v>98</v>
      </c>
      <c r="B2" s="272">
        <f>'1. key ratios'!B2</f>
        <v>46203</v>
      </c>
    </row>
    <row r="3" spans="1:6" s="13" customFormat="1" ht="15.75" customHeight="1">
      <c r="A3" s="19"/>
    </row>
    <row r="4" spans="1:6" s="13" customFormat="1" ht="15.75" customHeight="1" thickBot="1">
      <c r="A4" s="13" t="s">
        <v>247</v>
      </c>
      <c r="B4" s="110" t="s">
        <v>161</v>
      </c>
      <c r="D4" s="112" t="s">
        <v>76</v>
      </c>
    </row>
    <row r="5" spans="1:6" ht="27.6">
      <c r="A5" s="76" t="s">
        <v>25</v>
      </c>
      <c r="B5" s="77" t="s">
        <v>133</v>
      </c>
      <c r="C5" s="78" t="s">
        <v>826</v>
      </c>
      <c r="D5" s="111" t="s">
        <v>162</v>
      </c>
    </row>
    <row r="6" spans="1:6">
      <c r="A6" s="378">
        <v>1</v>
      </c>
      <c r="B6" s="337" t="s">
        <v>811</v>
      </c>
      <c r="C6" s="411">
        <f>SUM(C7:C9)</f>
        <v>583926070.83000004</v>
      </c>
      <c r="D6" s="71"/>
      <c r="E6" s="4"/>
    </row>
    <row r="7" spans="1:6">
      <c r="A7" s="378">
        <v>1.1000000000000001</v>
      </c>
      <c r="B7" s="339" t="s">
        <v>85</v>
      </c>
      <c r="C7" s="404">
        <v>99245123.319999993</v>
      </c>
      <c r="D7" s="72"/>
      <c r="E7" s="4"/>
    </row>
    <row r="8" spans="1:6">
      <c r="A8" s="378">
        <v>1.2</v>
      </c>
      <c r="B8" s="339" t="s">
        <v>86</v>
      </c>
      <c r="C8" s="404">
        <v>331766895.59000003</v>
      </c>
      <c r="D8" s="72"/>
      <c r="E8" s="4"/>
    </row>
    <row r="9" spans="1:6">
      <c r="A9" s="378">
        <v>1.3</v>
      </c>
      <c r="B9" s="339" t="s">
        <v>87</v>
      </c>
      <c r="C9" s="404">
        <v>152914051.91999999</v>
      </c>
      <c r="D9" s="72"/>
      <c r="E9" s="4"/>
    </row>
    <row r="10" spans="1:6">
      <c r="A10" s="378">
        <v>2</v>
      </c>
      <c r="B10" s="340" t="s">
        <v>698</v>
      </c>
      <c r="C10" s="413">
        <v>126021.62</v>
      </c>
      <c r="D10" s="72"/>
      <c r="E10" s="4"/>
    </row>
    <row r="11" spans="1:6">
      <c r="A11" s="378">
        <v>2.1</v>
      </c>
      <c r="B11" s="341" t="s">
        <v>699</v>
      </c>
      <c r="C11" s="405">
        <v>126021.62</v>
      </c>
      <c r="D11" s="73"/>
      <c r="E11" s="5"/>
    </row>
    <row r="12" spans="1:6" ht="23.55" customHeight="1">
      <c r="A12" s="378">
        <v>3</v>
      </c>
      <c r="B12" s="342" t="s">
        <v>700</v>
      </c>
      <c r="C12" s="412"/>
      <c r="D12" s="73"/>
      <c r="E12" s="5"/>
    </row>
    <row r="13" spans="1:6" ht="22.95" customHeight="1">
      <c r="A13" s="378">
        <v>4</v>
      </c>
      <c r="B13" s="343" t="s">
        <v>701</v>
      </c>
      <c r="C13" s="412"/>
      <c r="D13" s="73"/>
      <c r="E13" s="5"/>
    </row>
    <row r="14" spans="1:6">
      <c r="A14" s="378">
        <v>5</v>
      </c>
      <c r="B14" s="343" t="s">
        <v>702</v>
      </c>
      <c r="C14" s="412">
        <f>SUM(C15:C17)</f>
        <v>0</v>
      </c>
      <c r="D14" s="73"/>
      <c r="E14" s="5"/>
    </row>
    <row r="15" spans="1:6">
      <c r="A15" s="378">
        <v>5.0999999999999996</v>
      </c>
      <c r="B15" s="344" t="s">
        <v>703</v>
      </c>
      <c r="C15" s="404"/>
      <c r="D15" s="73"/>
      <c r="E15" s="4"/>
    </row>
    <row r="16" spans="1:6">
      <c r="A16" s="378">
        <v>5.2</v>
      </c>
      <c r="B16" s="344" t="s">
        <v>538</v>
      </c>
      <c r="C16" s="404"/>
      <c r="D16" s="72"/>
      <c r="E16" s="4"/>
    </row>
    <row r="17" spans="1:5">
      <c r="A17" s="378">
        <v>5.3</v>
      </c>
      <c r="B17" s="344" t="s">
        <v>704</v>
      </c>
      <c r="C17" s="404"/>
      <c r="D17" s="72"/>
      <c r="E17" s="4"/>
    </row>
    <row r="18" spans="1:5">
      <c r="A18" s="378">
        <v>6</v>
      </c>
      <c r="B18" s="342" t="s">
        <v>705</v>
      </c>
      <c r="C18" s="413">
        <f>SUM(C19:C20)</f>
        <v>3398814340.400043</v>
      </c>
      <c r="D18" s="72"/>
      <c r="E18" s="4"/>
    </row>
    <row r="19" spans="1:5">
      <c r="A19" s="378">
        <v>6.1</v>
      </c>
      <c r="B19" s="344" t="s">
        <v>538</v>
      </c>
      <c r="C19" s="405">
        <v>54464579.82</v>
      </c>
      <c r="D19" s="72"/>
      <c r="E19" s="4"/>
    </row>
    <row r="20" spans="1:5">
      <c r="A20" s="378">
        <v>6.2</v>
      </c>
      <c r="B20" s="344" t="s">
        <v>704</v>
      </c>
      <c r="C20" s="405">
        <v>3344349760.5800428</v>
      </c>
      <c r="D20" s="72"/>
      <c r="E20" s="4"/>
    </row>
    <row r="21" spans="1:5">
      <c r="A21" s="378">
        <v>7</v>
      </c>
      <c r="B21" s="345" t="s">
        <v>706</v>
      </c>
      <c r="C21" s="412">
        <v>3709467.2800000003</v>
      </c>
      <c r="D21" s="72"/>
      <c r="E21" s="4"/>
    </row>
    <row r="22" spans="1:5">
      <c r="A22" s="378">
        <v>8</v>
      </c>
      <c r="B22" s="346" t="s">
        <v>707</v>
      </c>
      <c r="C22" s="413"/>
      <c r="D22" s="72"/>
      <c r="E22" s="4"/>
    </row>
    <row r="23" spans="1:5">
      <c r="A23" s="378">
        <v>9</v>
      </c>
      <c r="B23" s="343" t="s">
        <v>708</v>
      </c>
      <c r="C23" s="413">
        <f>SUM(C24:C25)</f>
        <v>55160443.689999968</v>
      </c>
      <c r="D23" s="403"/>
      <c r="E23" s="4"/>
    </row>
    <row r="24" spans="1:5">
      <c r="A24" s="378">
        <v>9.1</v>
      </c>
      <c r="B24" s="347" t="s">
        <v>709</v>
      </c>
      <c r="C24" s="406">
        <v>55160443.689999968</v>
      </c>
      <c r="D24" s="74"/>
      <c r="E24" s="4"/>
    </row>
    <row r="25" spans="1:5">
      <c r="A25" s="378">
        <v>9.1999999999999993</v>
      </c>
      <c r="B25" s="347" t="s">
        <v>710</v>
      </c>
      <c r="C25" s="407"/>
      <c r="D25" s="402"/>
      <c r="E25" s="3"/>
    </row>
    <row r="26" spans="1:5">
      <c r="A26" s="378">
        <v>10</v>
      </c>
      <c r="B26" s="343" t="s">
        <v>36</v>
      </c>
      <c r="C26" s="414">
        <f>SUM(C27:C28)</f>
        <v>44289248.359999985</v>
      </c>
      <c r="D26" s="541" t="s">
        <v>1030</v>
      </c>
      <c r="E26" s="4"/>
    </row>
    <row r="27" spans="1:5">
      <c r="A27" s="378">
        <v>10.1</v>
      </c>
      <c r="B27" s="347" t="s">
        <v>711</v>
      </c>
      <c r="C27" s="404"/>
      <c r="D27" s="72"/>
      <c r="E27" s="4"/>
    </row>
    <row r="28" spans="1:5">
      <c r="A28" s="378">
        <v>10.199999999999999</v>
      </c>
      <c r="B28" s="347" t="s">
        <v>712</v>
      </c>
      <c r="C28" s="404">
        <v>44289248.359999985</v>
      </c>
      <c r="D28" s="72"/>
      <c r="E28" s="4"/>
    </row>
    <row r="29" spans="1:5">
      <c r="A29" s="378">
        <v>11</v>
      </c>
      <c r="B29" s="343" t="s">
        <v>713</v>
      </c>
      <c r="C29" s="413">
        <f>SUM(C30:C31)</f>
        <v>0</v>
      </c>
      <c r="D29" s="72"/>
      <c r="E29" s="4"/>
    </row>
    <row r="30" spans="1:5">
      <c r="A30" s="378">
        <v>11.1</v>
      </c>
      <c r="B30" s="347" t="s">
        <v>714</v>
      </c>
      <c r="C30" s="404"/>
      <c r="D30" s="72"/>
      <c r="E30" s="4"/>
    </row>
    <row r="31" spans="1:5">
      <c r="A31" s="378">
        <v>11.2</v>
      </c>
      <c r="B31" s="347" t="s">
        <v>715</v>
      </c>
      <c r="C31" s="404"/>
      <c r="D31" s="72"/>
      <c r="E31" s="4"/>
    </row>
    <row r="32" spans="1:5">
      <c r="A32" s="378">
        <v>13</v>
      </c>
      <c r="B32" s="343" t="s">
        <v>88</v>
      </c>
      <c r="C32" s="413">
        <v>68908947.779999986</v>
      </c>
      <c r="D32" s="72"/>
      <c r="E32" s="4"/>
    </row>
    <row r="33" spans="1:5">
      <c r="A33" s="378">
        <v>13.1</v>
      </c>
      <c r="B33" s="348" t="s">
        <v>716</v>
      </c>
      <c r="C33" s="404">
        <v>37551182.650000006</v>
      </c>
      <c r="D33" s="72"/>
      <c r="E33" s="4"/>
    </row>
    <row r="34" spans="1:5">
      <c r="A34" s="378">
        <v>13.2</v>
      </c>
      <c r="B34" s="348" t="s">
        <v>717</v>
      </c>
      <c r="C34" s="406"/>
      <c r="D34" s="74"/>
      <c r="E34" s="4"/>
    </row>
    <row r="35" spans="1:5">
      <c r="A35" s="378">
        <v>14</v>
      </c>
      <c r="B35" s="349" t="s">
        <v>718</v>
      </c>
      <c r="C35" s="415">
        <f>SUM(C6,C10,C12,C13,C14,C18,C21,C22,C23,C26,C29,C32)</f>
        <v>4154934539.9600439</v>
      </c>
      <c r="D35" s="74"/>
      <c r="E35" s="4"/>
    </row>
    <row r="36" spans="1:5">
      <c r="A36" s="378"/>
      <c r="B36" s="350" t="s">
        <v>93</v>
      </c>
      <c r="C36" s="150"/>
      <c r="D36" s="75"/>
      <c r="E36" s="4"/>
    </row>
    <row r="37" spans="1:5">
      <c r="A37" s="378">
        <v>15</v>
      </c>
      <c r="B37" s="351" t="s">
        <v>719</v>
      </c>
      <c r="C37" s="407">
        <v>13713498.93</v>
      </c>
      <c r="D37" s="402"/>
      <c r="E37" s="3"/>
    </row>
    <row r="38" spans="1:5">
      <c r="A38" s="378">
        <v>15.1</v>
      </c>
      <c r="B38" s="353" t="s">
        <v>699</v>
      </c>
      <c r="C38" s="404">
        <v>13713498.93</v>
      </c>
      <c r="D38" s="72"/>
      <c r="E38" s="4"/>
    </row>
    <row r="39" spans="1:5" ht="20.399999999999999">
      <c r="A39" s="378">
        <v>16</v>
      </c>
      <c r="B39" s="345" t="s">
        <v>720</v>
      </c>
      <c r="C39" s="413"/>
      <c r="D39" s="72"/>
      <c r="E39" s="4"/>
    </row>
    <row r="40" spans="1:5">
      <c r="A40" s="378">
        <v>17</v>
      </c>
      <c r="B40" s="345" t="s">
        <v>721</v>
      </c>
      <c r="C40" s="413">
        <f>SUM(C41:C44)</f>
        <v>3329067384.6487117</v>
      </c>
      <c r="D40" s="72"/>
      <c r="E40" s="4"/>
    </row>
    <row r="41" spans="1:5">
      <c r="A41" s="378">
        <v>17.100000000000001</v>
      </c>
      <c r="B41" s="354" t="s">
        <v>722</v>
      </c>
      <c r="C41" s="404">
        <v>2048065503.3487115</v>
      </c>
      <c r="D41" s="72"/>
      <c r="E41" s="4"/>
    </row>
    <row r="42" spans="1:5">
      <c r="A42" s="394">
        <v>17.2</v>
      </c>
      <c r="B42" s="395" t="s">
        <v>89</v>
      </c>
      <c r="C42" s="406">
        <v>1257372999.6700001</v>
      </c>
      <c r="D42" s="74"/>
      <c r="E42" s="4"/>
    </row>
    <row r="43" spans="1:5">
      <c r="A43" s="378">
        <v>17.3</v>
      </c>
      <c r="B43" s="396" t="s">
        <v>723</v>
      </c>
      <c r="C43" s="408">
        <v>0</v>
      </c>
      <c r="D43" s="397"/>
      <c r="E43" s="4"/>
    </row>
    <row r="44" spans="1:5">
      <c r="A44" s="378">
        <v>17.399999999999999</v>
      </c>
      <c r="B44" s="396" t="s">
        <v>724</v>
      </c>
      <c r="C44" s="408">
        <v>23628881.630000003</v>
      </c>
      <c r="D44" s="397"/>
      <c r="E44" s="4"/>
    </row>
    <row r="45" spans="1:5">
      <c r="A45" s="378">
        <v>18</v>
      </c>
      <c r="B45" s="362" t="s">
        <v>725</v>
      </c>
      <c r="C45" s="416">
        <v>2546293.98</v>
      </c>
      <c r="D45" s="397"/>
      <c r="E45" s="3"/>
    </row>
    <row r="46" spans="1:5">
      <c r="A46" s="378">
        <v>19</v>
      </c>
      <c r="B46" s="362" t="s">
        <v>726</v>
      </c>
      <c r="C46" s="413">
        <f>SUM(C47:C48)</f>
        <v>8857882.980000006</v>
      </c>
      <c r="D46" s="398"/>
    </row>
    <row r="47" spans="1:5">
      <c r="A47" s="378">
        <v>19.100000000000001</v>
      </c>
      <c r="B47" s="399" t="s">
        <v>727</v>
      </c>
      <c r="C47" s="408">
        <v>2376268.6700000055</v>
      </c>
      <c r="D47" s="398"/>
    </row>
    <row r="48" spans="1:5">
      <c r="A48" s="378">
        <v>19.2</v>
      </c>
      <c r="B48" s="399" t="s">
        <v>728</v>
      </c>
      <c r="C48" s="408">
        <v>6481614.3100000005</v>
      </c>
      <c r="D48" s="541" t="s">
        <v>1030</v>
      </c>
    </row>
    <row r="49" spans="1:4">
      <c r="A49" s="378">
        <v>20</v>
      </c>
      <c r="B49" s="358" t="s">
        <v>90</v>
      </c>
      <c r="C49" s="413">
        <v>225105402.00999999</v>
      </c>
      <c r="D49" s="541" t="s">
        <v>1031</v>
      </c>
    </row>
    <row r="50" spans="1:4">
      <c r="A50" s="378">
        <v>21</v>
      </c>
      <c r="B50" s="359" t="s">
        <v>78</v>
      </c>
      <c r="C50" s="413">
        <v>55487718.310000002</v>
      </c>
      <c r="D50" s="398"/>
    </row>
    <row r="51" spans="1:4">
      <c r="A51" s="378">
        <v>21.1</v>
      </c>
      <c r="B51" s="355" t="s">
        <v>729</v>
      </c>
      <c r="C51" s="409"/>
      <c r="D51" s="398"/>
    </row>
    <row r="52" spans="1:4">
      <c r="A52" s="378">
        <v>22</v>
      </c>
      <c r="B52" s="358" t="s">
        <v>730</v>
      </c>
      <c r="C52" s="413">
        <f>SUM(C37,C39,C40,C45,C46,C49,C50)</f>
        <v>3634778180.8587117</v>
      </c>
      <c r="D52" s="398"/>
    </row>
    <row r="53" spans="1:4">
      <c r="A53" s="378"/>
      <c r="B53" s="360" t="s">
        <v>731</v>
      </c>
      <c r="C53" s="398"/>
      <c r="D53" s="398"/>
    </row>
    <row r="54" spans="1:4">
      <c r="A54" s="378">
        <v>23</v>
      </c>
      <c r="B54" s="358" t="s">
        <v>94</v>
      </c>
      <c r="C54" s="413">
        <v>5303030</v>
      </c>
      <c r="D54" s="541" t="s">
        <v>1032</v>
      </c>
    </row>
    <row r="55" spans="1:4">
      <c r="A55" s="378">
        <v>24</v>
      </c>
      <c r="B55" s="358" t="s">
        <v>732</v>
      </c>
      <c r="C55" s="417"/>
      <c r="D55" s="688"/>
    </row>
    <row r="56" spans="1:4">
      <c r="A56" s="378">
        <v>25</v>
      </c>
      <c r="B56" s="358" t="s">
        <v>91</v>
      </c>
      <c r="C56" s="413">
        <v>45359473.049999997</v>
      </c>
      <c r="D56" s="541" t="s">
        <v>1033</v>
      </c>
    </row>
    <row r="57" spans="1:4">
      <c r="A57" s="378">
        <v>26</v>
      </c>
      <c r="B57" s="362" t="s">
        <v>733</v>
      </c>
      <c r="C57" s="417"/>
      <c r="D57" s="398"/>
    </row>
    <row r="58" spans="1:4">
      <c r="A58" s="378">
        <v>27</v>
      </c>
      <c r="B58" s="362" t="s">
        <v>734</v>
      </c>
      <c r="C58" s="417">
        <f>SUM(C59:C60)</f>
        <v>0</v>
      </c>
      <c r="D58" s="398"/>
    </row>
    <row r="59" spans="1:4">
      <c r="A59" s="378">
        <v>27.1</v>
      </c>
      <c r="B59" s="399" t="s">
        <v>735</v>
      </c>
      <c r="C59" s="410"/>
      <c r="D59" s="398"/>
    </row>
    <row r="60" spans="1:4">
      <c r="A60" s="378">
        <v>27.2</v>
      </c>
      <c r="B60" s="396" t="s">
        <v>736</v>
      </c>
      <c r="C60" s="410"/>
      <c r="D60" s="398"/>
    </row>
    <row r="61" spans="1:4">
      <c r="A61" s="378">
        <v>28</v>
      </c>
      <c r="B61" s="359" t="s">
        <v>737</v>
      </c>
      <c r="C61" s="417"/>
      <c r="D61" s="398"/>
    </row>
    <row r="62" spans="1:4">
      <c r="A62" s="378">
        <v>29</v>
      </c>
      <c r="B62" s="362" t="s">
        <v>738</v>
      </c>
      <c r="C62" s="417">
        <f>SUM(C63:C65)</f>
        <v>0</v>
      </c>
      <c r="D62" s="398"/>
    </row>
    <row r="63" spans="1:4">
      <c r="A63" s="378">
        <v>29.1</v>
      </c>
      <c r="B63" s="400" t="s">
        <v>739</v>
      </c>
      <c r="C63" s="410"/>
      <c r="D63" s="398"/>
    </row>
    <row r="64" spans="1:4" ht="24" customHeight="1">
      <c r="A64" s="378">
        <v>29.2</v>
      </c>
      <c r="B64" s="399" t="s">
        <v>740</v>
      </c>
      <c r="C64" s="410"/>
      <c r="D64" s="398"/>
    </row>
    <row r="65" spans="1:4" ht="22.05" customHeight="1">
      <c r="A65" s="378">
        <v>29.3</v>
      </c>
      <c r="B65" s="401" t="s">
        <v>741</v>
      </c>
      <c r="C65" s="410"/>
      <c r="D65" s="398"/>
    </row>
    <row r="66" spans="1:4">
      <c r="A66" s="378">
        <v>30</v>
      </c>
      <c r="B66" s="362" t="s">
        <v>92</v>
      </c>
      <c r="C66" s="413">
        <v>469493855.75858319</v>
      </c>
      <c r="D66" s="541" t="s">
        <v>1034</v>
      </c>
    </row>
    <row r="67" spans="1:4">
      <c r="A67" s="378">
        <v>31</v>
      </c>
      <c r="B67" s="361" t="s">
        <v>742</v>
      </c>
      <c r="C67" s="413">
        <f>SUM(C54,C55,C56,C57,C58,C61,C62,C66)</f>
        <v>520156358.8085832</v>
      </c>
      <c r="D67" s="398"/>
    </row>
    <row r="68" spans="1:4">
      <c r="A68" s="378">
        <v>32</v>
      </c>
      <c r="B68" s="362" t="s">
        <v>743</v>
      </c>
      <c r="C68" s="413">
        <f>SUM(C52,C67)</f>
        <v>4154934539.667295</v>
      </c>
      <c r="D68" s="398"/>
    </row>
  </sheetData>
  <pageMargins left="0.7" right="0.7" top="0.75" bottom="0.75" header="0.3" footer="0.3"/>
  <pageSetup paperSize="9" orientation="portrait" horizontalDpi="4294967295" verticalDpi="4294967295"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S22"/>
  <sheetViews>
    <sheetView zoomScale="70" zoomScaleNormal="70" workbookViewId="0">
      <pane xSplit="2" ySplit="7" topLeftCell="C14" activePane="bottomRight" state="frozen"/>
      <selection pane="topRight" activeCell="C1" sqref="C1"/>
      <selection pane="bottomLeft" activeCell="A8" sqref="A8"/>
      <selection pane="bottomRight" activeCell="C8" sqref="C8:R21"/>
    </sheetView>
  </sheetViews>
  <sheetFormatPr defaultColWidth="9.21875" defaultRowHeight="13.8"/>
  <cols>
    <col min="1" max="1" width="15.109375" style="1" customWidth="1"/>
    <col min="2" max="2" width="46.109375" style="1" customWidth="1"/>
    <col min="3" max="3" width="14.5546875" style="1" bestFit="1" customWidth="1"/>
    <col min="4" max="4" width="13.21875" style="1" bestFit="1" customWidth="1"/>
    <col min="5" max="5" width="14" style="1" customWidth="1"/>
    <col min="6" max="6" width="10.6640625" style="1" customWidth="1"/>
    <col min="7" max="7" width="13.6640625" style="1" customWidth="1"/>
    <col min="8" max="8" width="13.21875" style="1" bestFit="1" customWidth="1"/>
    <col min="9" max="9" width="15.44140625" style="1" customWidth="1"/>
    <col min="10" max="10" width="8.88671875" style="1" customWidth="1"/>
    <col min="11" max="11" width="13.5546875" style="1" bestFit="1" customWidth="1"/>
    <col min="12" max="12" width="14.6640625" style="1" bestFit="1" customWidth="1"/>
    <col min="13" max="13" width="14.5546875" style="1" customWidth="1"/>
    <col min="14" max="14" width="11" style="1" customWidth="1"/>
    <col min="15" max="15" width="13.44140625" style="1" customWidth="1"/>
    <col min="16" max="16" width="13.21875" style="1" bestFit="1" customWidth="1"/>
    <col min="17" max="17" width="12.44140625" style="1" bestFit="1" customWidth="1"/>
    <col min="18" max="18" width="13.21875" style="1" bestFit="1" customWidth="1"/>
    <col min="19" max="19" width="17" style="1" customWidth="1"/>
    <col min="20" max="16384" width="9.21875" style="8"/>
  </cols>
  <sheetData>
    <row r="1" spans="1:19" ht="14.4" customHeight="1">
      <c r="A1" s="1" t="s">
        <v>97</v>
      </c>
      <c r="B1" s="1" t="str">
        <f>Info!C2</f>
        <v>სს "კრედო ბანკი"</v>
      </c>
    </row>
    <row r="2" spans="1:19" ht="18.600000000000001" customHeight="1">
      <c r="A2" s="1" t="s">
        <v>98</v>
      </c>
      <c r="B2" s="272">
        <f>'1. key ratios'!B2</f>
        <v>46203</v>
      </c>
    </row>
    <row r="3" spans="1:19" ht="15.6" customHeight="1"/>
    <row r="4" spans="1:19" ht="39.6" customHeight="1" thickBot="1">
      <c r="A4" s="29" t="s">
        <v>248</v>
      </c>
      <c r="B4" s="165" t="s">
        <v>282</v>
      </c>
    </row>
    <row r="5" spans="1:19" ht="34.200000000000003" customHeight="1">
      <c r="A5" s="61"/>
      <c r="B5" s="63"/>
      <c r="C5" s="55" t="s">
        <v>0</v>
      </c>
      <c r="D5" s="55" t="s">
        <v>1</v>
      </c>
      <c r="E5" s="55" t="s">
        <v>2</v>
      </c>
      <c r="F5" s="55" t="s">
        <v>3</v>
      </c>
      <c r="G5" s="55" t="s">
        <v>4</v>
      </c>
      <c r="H5" s="55" t="s">
        <v>5</v>
      </c>
      <c r="I5" s="55" t="s">
        <v>134</v>
      </c>
      <c r="J5" s="55" t="s">
        <v>135</v>
      </c>
      <c r="K5" s="55" t="s">
        <v>136</v>
      </c>
      <c r="L5" s="55" t="s">
        <v>137</v>
      </c>
      <c r="M5" s="55" t="s">
        <v>138</v>
      </c>
      <c r="N5" s="55" t="s">
        <v>139</v>
      </c>
      <c r="O5" s="55" t="s">
        <v>269</v>
      </c>
      <c r="P5" s="55" t="s">
        <v>270</v>
      </c>
      <c r="Q5" s="55" t="s">
        <v>271</v>
      </c>
      <c r="R5" s="159" t="s">
        <v>272</v>
      </c>
      <c r="S5" s="56" t="s">
        <v>273</v>
      </c>
    </row>
    <row r="6" spans="1:19" ht="25.2" customHeight="1">
      <c r="A6" s="79"/>
      <c r="B6" s="817" t="s">
        <v>274</v>
      </c>
      <c r="C6" s="815">
        <v>0</v>
      </c>
      <c r="D6" s="816"/>
      <c r="E6" s="815">
        <v>0.2</v>
      </c>
      <c r="F6" s="816"/>
      <c r="G6" s="815">
        <v>0.35</v>
      </c>
      <c r="H6" s="816"/>
      <c r="I6" s="815">
        <v>0.5</v>
      </c>
      <c r="J6" s="816"/>
      <c r="K6" s="815">
        <v>0.75</v>
      </c>
      <c r="L6" s="816"/>
      <c r="M6" s="815">
        <v>1</v>
      </c>
      <c r="N6" s="816"/>
      <c r="O6" s="815">
        <v>1.5</v>
      </c>
      <c r="P6" s="816"/>
      <c r="Q6" s="815">
        <v>2.5</v>
      </c>
      <c r="R6" s="816"/>
      <c r="S6" s="813" t="s">
        <v>145</v>
      </c>
    </row>
    <row r="7" spans="1:19" ht="10.8" customHeight="1">
      <c r="A7" s="79"/>
      <c r="B7" s="818"/>
      <c r="C7" s="164" t="s">
        <v>267</v>
      </c>
      <c r="D7" s="164" t="s">
        <v>268</v>
      </c>
      <c r="E7" s="164" t="s">
        <v>267</v>
      </c>
      <c r="F7" s="164" t="s">
        <v>268</v>
      </c>
      <c r="G7" s="164" t="s">
        <v>267</v>
      </c>
      <c r="H7" s="164" t="s">
        <v>268</v>
      </c>
      <c r="I7" s="164" t="s">
        <v>267</v>
      </c>
      <c r="J7" s="164" t="s">
        <v>268</v>
      </c>
      <c r="K7" s="164" t="s">
        <v>267</v>
      </c>
      <c r="L7" s="164" t="s">
        <v>268</v>
      </c>
      <c r="M7" s="164" t="s">
        <v>267</v>
      </c>
      <c r="N7" s="164" t="s">
        <v>268</v>
      </c>
      <c r="O7" s="164" t="s">
        <v>267</v>
      </c>
      <c r="P7" s="164" t="s">
        <v>268</v>
      </c>
      <c r="Q7" s="164" t="s">
        <v>267</v>
      </c>
      <c r="R7" s="164" t="s">
        <v>268</v>
      </c>
      <c r="S7" s="814"/>
    </row>
    <row r="8" spans="1:19" ht="24" customHeight="1">
      <c r="A8" s="59">
        <v>1</v>
      </c>
      <c r="B8" s="34" t="s">
        <v>123</v>
      </c>
      <c r="C8" s="689">
        <v>315350069.10000002</v>
      </c>
      <c r="D8" s="689"/>
      <c r="E8" s="689">
        <v>0</v>
      </c>
      <c r="F8" s="766"/>
      <c r="G8" s="689">
        <v>0</v>
      </c>
      <c r="H8" s="689"/>
      <c r="I8" s="689">
        <v>0</v>
      </c>
      <c r="J8" s="689"/>
      <c r="K8" s="689">
        <v>0</v>
      </c>
      <c r="L8" s="689"/>
      <c r="M8" s="689">
        <v>70881406.310000002</v>
      </c>
      <c r="N8" s="689"/>
      <c r="O8" s="689">
        <v>0</v>
      </c>
      <c r="P8" s="689"/>
      <c r="Q8" s="689">
        <v>0</v>
      </c>
      <c r="R8" s="766"/>
      <c r="S8" s="767">
        <f>$C$6*SUM(C8:D8)+$E$6*SUM(E8:F8)+$G$6*SUM(G8:H8)+$I$6*SUM(I8:J8)+$K$6*SUM(K8:L8)+$M$6*SUM(M8:N8)+$O$6*SUM(O8:P8)+$Q$6*SUM(Q8:R8)</f>
        <v>70881406.310000002</v>
      </c>
    </row>
    <row r="9" spans="1:19" ht="41.4">
      <c r="A9" s="59">
        <v>2</v>
      </c>
      <c r="B9" s="34" t="s">
        <v>124</v>
      </c>
      <c r="C9" s="689">
        <v>0</v>
      </c>
      <c r="D9" s="689"/>
      <c r="E9" s="689">
        <v>0</v>
      </c>
      <c r="F9" s="689"/>
      <c r="G9" s="689">
        <v>0</v>
      </c>
      <c r="H9" s="689"/>
      <c r="I9" s="689">
        <v>0</v>
      </c>
      <c r="J9" s="689"/>
      <c r="K9" s="689">
        <v>0</v>
      </c>
      <c r="L9" s="689"/>
      <c r="M9" s="689">
        <v>0</v>
      </c>
      <c r="N9" s="689"/>
      <c r="O9" s="689">
        <v>0</v>
      </c>
      <c r="P9" s="689"/>
      <c r="Q9" s="689">
        <v>0</v>
      </c>
      <c r="R9" s="766"/>
      <c r="S9" s="767">
        <f t="shared" ref="S9:S21" si="0">$C$6*SUM(C9:D9)+$E$6*SUM(E9:F9)+$G$6*SUM(G9:H9)+$I$6*SUM(I9:J9)+$K$6*SUM(K9:L9)+$M$6*SUM(M9:N9)+$O$6*SUM(O9:P9)+$Q$6*SUM(Q9:R9)</f>
        <v>0</v>
      </c>
    </row>
    <row r="10" spans="1:19" ht="27.6">
      <c r="A10" s="59">
        <v>3</v>
      </c>
      <c r="B10" s="34" t="s">
        <v>125</v>
      </c>
      <c r="C10" s="689">
        <v>0</v>
      </c>
      <c r="D10" s="689"/>
      <c r="E10" s="689">
        <v>0</v>
      </c>
      <c r="F10" s="689"/>
      <c r="G10" s="689">
        <v>0</v>
      </c>
      <c r="H10" s="689"/>
      <c r="I10" s="689">
        <v>0</v>
      </c>
      <c r="J10" s="689"/>
      <c r="K10" s="689">
        <v>0</v>
      </c>
      <c r="L10" s="689"/>
      <c r="M10" s="689">
        <v>0</v>
      </c>
      <c r="N10" s="689"/>
      <c r="O10" s="689">
        <v>0</v>
      </c>
      <c r="P10" s="689"/>
      <c r="Q10" s="689">
        <v>0</v>
      </c>
      <c r="R10" s="766"/>
      <c r="S10" s="767">
        <f t="shared" si="0"/>
        <v>0</v>
      </c>
    </row>
    <row r="11" spans="1:19" ht="27.6">
      <c r="A11" s="59">
        <v>4</v>
      </c>
      <c r="B11" s="34" t="s">
        <v>126</v>
      </c>
      <c r="C11" s="689">
        <v>0</v>
      </c>
      <c r="D11" s="689"/>
      <c r="E11" s="689">
        <v>0</v>
      </c>
      <c r="F11" s="689"/>
      <c r="G11" s="689">
        <v>0</v>
      </c>
      <c r="H11" s="689"/>
      <c r="I11" s="689">
        <v>0</v>
      </c>
      <c r="J11" s="689"/>
      <c r="K11" s="689">
        <v>0</v>
      </c>
      <c r="L11" s="689"/>
      <c r="M11" s="689">
        <v>0</v>
      </c>
      <c r="N11" s="689"/>
      <c r="O11" s="689">
        <v>0</v>
      </c>
      <c r="P11" s="689"/>
      <c r="Q11" s="689">
        <v>0</v>
      </c>
      <c r="R11" s="766"/>
      <c r="S11" s="767">
        <f t="shared" si="0"/>
        <v>0</v>
      </c>
    </row>
    <row r="12" spans="1:19" ht="41.4">
      <c r="A12" s="59">
        <v>5</v>
      </c>
      <c r="B12" s="34" t="s">
        <v>911</v>
      </c>
      <c r="C12" s="689">
        <v>0</v>
      </c>
      <c r="D12" s="689"/>
      <c r="E12" s="689">
        <v>0</v>
      </c>
      <c r="F12" s="689"/>
      <c r="G12" s="689">
        <v>0</v>
      </c>
      <c r="H12" s="689"/>
      <c r="I12" s="689">
        <v>0</v>
      </c>
      <c r="J12" s="689"/>
      <c r="K12" s="689">
        <v>0</v>
      </c>
      <c r="L12" s="689"/>
      <c r="M12" s="689">
        <v>0</v>
      </c>
      <c r="N12" s="689"/>
      <c r="O12" s="689">
        <v>0</v>
      </c>
      <c r="P12" s="689"/>
      <c r="Q12" s="689">
        <v>0</v>
      </c>
      <c r="R12" s="766"/>
      <c r="S12" s="767">
        <f t="shared" si="0"/>
        <v>0</v>
      </c>
    </row>
    <row r="13" spans="1:19" ht="27.6">
      <c r="A13" s="59">
        <v>6</v>
      </c>
      <c r="B13" s="34" t="s">
        <v>127</v>
      </c>
      <c r="C13" s="689">
        <v>0</v>
      </c>
      <c r="D13" s="689"/>
      <c r="E13" s="689">
        <v>137695585.55000001</v>
      </c>
      <c r="F13" s="689"/>
      <c r="G13" s="689">
        <v>0</v>
      </c>
      <c r="H13" s="689"/>
      <c r="I13" s="689">
        <v>14994005.07</v>
      </c>
      <c r="J13" s="689"/>
      <c r="K13" s="689">
        <v>0</v>
      </c>
      <c r="L13" s="689"/>
      <c r="M13" s="689">
        <v>211642.07000000819</v>
      </c>
      <c r="N13" s="689"/>
      <c r="O13" s="689">
        <v>12819.23</v>
      </c>
      <c r="P13" s="689"/>
      <c r="Q13" s="689">
        <v>0</v>
      </c>
      <c r="R13" s="766"/>
      <c r="S13" s="767">
        <f t="shared" si="0"/>
        <v>35266990.56000001</v>
      </c>
    </row>
    <row r="14" spans="1:19" ht="27.6">
      <c r="A14" s="59">
        <v>7</v>
      </c>
      <c r="B14" s="34" t="s">
        <v>71</v>
      </c>
      <c r="C14" s="689">
        <v>0</v>
      </c>
      <c r="D14" s="689"/>
      <c r="E14" s="689">
        <v>0</v>
      </c>
      <c r="F14" s="689"/>
      <c r="G14" s="689">
        <v>0</v>
      </c>
      <c r="H14" s="689"/>
      <c r="I14" s="689">
        <v>0</v>
      </c>
      <c r="J14" s="689"/>
      <c r="K14" s="689">
        <v>0</v>
      </c>
      <c r="L14" s="689"/>
      <c r="M14" s="689">
        <v>135543428.53259084</v>
      </c>
      <c r="N14" s="689">
        <v>9161083</v>
      </c>
      <c r="O14" s="689">
        <v>0</v>
      </c>
      <c r="P14" s="689"/>
      <c r="Q14" s="689">
        <v>0</v>
      </c>
      <c r="R14" s="766"/>
      <c r="S14" s="767">
        <f t="shared" si="0"/>
        <v>144704511.53259084</v>
      </c>
    </row>
    <row r="15" spans="1:19" ht="26.4" customHeight="1">
      <c r="A15" s="59">
        <v>8</v>
      </c>
      <c r="B15" s="34" t="s">
        <v>72</v>
      </c>
      <c r="C15" s="689">
        <v>0</v>
      </c>
      <c r="D15" s="689"/>
      <c r="E15" s="689">
        <v>0</v>
      </c>
      <c r="F15" s="689"/>
      <c r="G15" s="689">
        <v>0</v>
      </c>
      <c r="H15" s="689"/>
      <c r="I15" s="689">
        <v>0</v>
      </c>
      <c r="J15" s="689"/>
      <c r="K15" s="689">
        <v>3058346952.9038672</v>
      </c>
      <c r="L15" s="689">
        <v>127922980.17924863</v>
      </c>
      <c r="M15" s="689">
        <v>0</v>
      </c>
      <c r="N15" s="689"/>
      <c r="O15" s="689">
        <v>0</v>
      </c>
      <c r="P15" s="689"/>
      <c r="Q15" s="689">
        <v>0</v>
      </c>
      <c r="R15" s="766"/>
      <c r="S15" s="767">
        <f t="shared" si="0"/>
        <v>2389702449.8123369</v>
      </c>
    </row>
    <row r="16" spans="1:19" ht="41.4">
      <c r="A16" s="59">
        <v>9</v>
      </c>
      <c r="B16" s="34" t="s">
        <v>912</v>
      </c>
      <c r="C16" s="689">
        <v>0</v>
      </c>
      <c r="D16" s="689"/>
      <c r="E16" s="689">
        <v>0</v>
      </c>
      <c r="F16" s="689"/>
      <c r="G16" s="689">
        <v>141701814.93440637</v>
      </c>
      <c r="H16" s="689"/>
      <c r="I16" s="689">
        <v>0</v>
      </c>
      <c r="J16" s="689"/>
      <c r="K16" s="689">
        <v>0</v>
      </c>
      <c r="L16" s="689"/>
      <c r="M16" s="689">
        <v>0</v>
      </c>
      <c r="N16" s="689"/>
      <c r="O16" s="689">
        <v>0</v>
      </c>
      <c r="P16" s="689"/>
      <c r="Q16" s="689">
        <v>0</v>
      </c>
      <c r="R16" s="766"/>
      <c r="S16" s="767">
        <f t="shared" si="0"/>
        <v>49595635.227042228</v>
      </c>
    </row>
    <row r="17" spans="1:19" ht="28.8" customHeight="1">
      <c r="A17" s="59">
        <v>10</v>
      </c>
      <c r="B17" s="34" t="s">
        <v>67</v>
      </c>
      <c r="C17" s="689">
        <v>0</v>
      </c>
      <c r="D17" s="689"/>
      <c r="E17" s="689">
        <v>0</v>
      </c>
      <c r="F17" s="689"/>
      <c r="G17" s="689">
        <v>0</v>
      </c>
      <c r="H17" s="689"/>
      <c r="I17" s="689">
        <v>212933.41660123377</v>
      </c>
      <c r="J17" s="689"/>
      <c r="K17" s="689">
        <v>0</v>
      </c>
      <c r="L17" s="689"/>
      <c r="M17" s="689">
        <v>6709953.4740121104</v>
      </c>
      <c r="N17" s="689"/>
      <c r="O17" s="689">
        <v>1834677.3188865427</v>
      </c>
      <c r="P17" s="689"/>
      <c r="Q17" s="689">
        <v>0</v>
      </c>
      <c r="R17" s="766"/>
      <c r="S17" s="767">
        <f t="shared" si="0"/>
        <v>9568436.1606425419</v>
      </c>
    </row>
    <row r="18" spans="1:19" ht="27.6">
      <c r="A18" s="59">
        <v>11</v>
      </c>
      <c r="B18" s="34" t="s">
        <v>68</v>
      </c>
      <c r="C18" s="689">
        <v>0</v>
      </c>
      <c r="D18" s="689"/>
      <c r="E18" s="689">
        <v>0</v>
      </c>
      <c r="F18" s="689"/>
      <c r="G18" s="689">
        <v>0</v>
      </c>
      <c r="H18" s="689"/>
      <c r="I18" s="689">
        <v>0</v>
      </c>
      <c r="J18" s="689"/>
      <c r="K18" s="689">
        <v>0</v>
      </c>
      <c r="L18" s="689"/>
      <c r="M18" s="689">
        <v>0</v>
      </c>
      <c r="N18" s="689"/>
      <c r="O18" s="689">
        <v>0</v>
      </c>
      <c r="P18" s="689"/>
      <c r="Q18" s="689">
        <v>0</v>
      </c>
      <c r="R18" s="766"/>
      <c r="S18" s="767">
        <f t="shared" si="0"/>
        <v>0</v>
      </c>
    </row>
    <row r="19" spans="1:19" ht="27.6">
      <c r="A19" s="59">
        <v>12</v>
      </c>
      <c r="B19" s="34" t="s">
        <v>69</v>
      </c>
      <c r="C19" s="689">
        <v>0</v>
      </c>
      <c r="D19" s="689"/>
      <c r="E19" s="689">
        <v>0</v>
      </c>
      <c r="F19" s="689"/>
      <c r="G19" s="689">
        <v>0</v>
      </c>
      <c r="H19" s="689"/>
      <c r="I19" s="689">
        <v>0</v>
      </c>
      <c r="J19" s="689"/>
      <c r="K19" s="689">
        <v>0</v>
      </c>
      <c r="L19" s="689"/>
      <c r="M19" s="689">
        <v>0</v>
      </c>
      <c r="N19" s="689"/>
      <c r="O19" s="689">
        <v>0</v>
      </c>
      <c r="P19" s="689"/>
      <c r="Q19" s="689">
        <v>0</v>
      </c>
      <c r="R19" s="766"/>
      <c r="S19" s="767">
        <f t="shared" si="0"/>
        <v>0</v>
      </c>
    </row>
    <row r="20" spans="1:19">
      <c r="A20" s="59">
        <v>13</v>
      </c>
      <c r="B20" s="34" t="s">
        <v>70</v>
      </c>
      <c r="C20" s="689">
        <v>0</v>
      </c>
      <c r="D20" s="689"/>
      <c r="E20" s="689">
        <v>0</v>
      </c>
      <c r="F20" s="689"/>
      <c r="G20" s="689">
        <v>0</v>
      </c>
      <c r="H20" s="689"/>
      <c r="I20" s="689">
        <v>0</v>
      </c>
      <c r="J20" s="689"/>
      <c r="K20" s="689">
        <v>0</v>
      </c>
      <c r="L20" s="689"/>
      <c r="M20" s="689">
        <v>0</v>
      </c>
      <c r="N20" s="689"/>
      <c r="O20" s="689">
        <v>0</v>
      </c>
      <c r="P20" s="689"/>
      <c r="Q20" s="689">
        <v>0</v>
      </c>
      <c r="R20" s="766"/>
      <c r="S20" s="767">
        <f t="shared" si="0"/>
        <v>0</v>
      </c>
    </row>
    <row r="21" spans="1:19">
      <c r="A21" s="59">
        <v>14</v>
      </c>
      <c r="B21" s="34" t="s">
        <v>143</v>
      </c>
      <c r="C21" s="689">
        <v>99245123.320000008</v>
      </c>
      <c r="D21" s="689"/>
      <c r="E21" s="689">
        <v>0</v>
      </c>
      <c r="F21" s="689"/>
      <c r="G21" s="689">
        <v>0</v>
      </c>
      <c r="H21" s="689"/>
      <c r="I21" s="689">
        <v>0</v>
      </c>
      <c r="J21" s="689"/>
      <c r="K21" s="689">
        <v>0</v>
      </c>
      <c r="L21" s="689"/>
      <c r="M21" s="689">
        <v>129426106.83999996</v>
      </c>
      <c r="N21" s="689"/>
      <c r="O21" s="689">
        <v>0</v>
      </c>
      <c r="P21" s="689"/>
      <c r="Q21" s="689">
        <v>3709467.2800000003</v>
      </c>
      <c r="R21" s="766"/>
      <c r="S21" s="767">
        <f t="shared" si="0"/>
        <v>138699775.03999996</v>
      </c>
    </row>
    <row r="22" spans="1:19" ht="14.4" thickBot="1">
      <c r="A22" s="53"/>
      <c r="B22" s="83" t="s">
        <v>66</v>
      </c>
      <c r="C22" s="152">
        <f>SUM(C8:C21)</f>
        <v>414595192.42000002</v>
      </c>
      <c r="D22" s="152">
        <f t="shared" ref="D22:S22" si="1">SUM(D8:D21)</f>
        <v>0</v>
      </c>
      <c r="E22" s="152">
        <f t="shared" si="1"/>
        <v>137695585.55000001</v>
      </c>
      <c r="F22" s="152">
        <f t="shared" si="1"/>
        <v>0</v>
      </c>
      <c r="G22" s="152">
        <f t="shared" si="1"/>
        <v>141701814.93440637</v>
      </c>
      <c r="H22" s="152">
        <f t="shared" si="1"/>
        <v>0</v>
      </c>
      <c r="I22" s="152">
        <f t="shared" si="1"/>
        <v>15206938.486601233</v>
      </c>
      <c r="J22" s="152">
        <f t="shared" si="1"/>
        <v>0</v>
      </c>
      <c r="K22" s="152">
        <f t="shared" si="1"/>
        <v>3058346952.9038672</v>
      </c>
      <c r="L22" s="152">
        <f t="shared" si="1"/>
        <v>127922980.17924863</v>
      </c>
      <c r="M22" s="152">
        <f t="shared" si="1"/>
        <v>342772537.22660291</v>
      </c>
      <c r="N22" s="152">
        <f t="shared" si="1"/>
        <v>9161083</v>
      </c>
      <c r="O22" s="152">
        <f t="shared" si="1"/>
        <v>1847496.5488865427</v>
      </c>
      <c r="P22" s="152">
        <f t="shared" si="1"/>
        <v>0</v>
      </c>
      <c r="Q22" s="152">
        <f t="shared" si="1"/>
        <v>3709467.2800000003</v>
      </c>
      <c r="R22" s="152">
        <f t="shared" si="1"/>
        <v>0</v>
      </c>
      <c r="S22" s="690">
        <f t="shared" si="1"/>
        <v>2838419204.6426125</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V28"/>
  <sheetViews>
    <sheetView zoomScale="80" zoomScaleNormal="80" workbookViewId="0">
      <pane xSplit="2" ySplit="6" topLeftCell="C9" activePane="bottomRight" state="frozen"/>
      <selection pane="topRight" activeCell="C1" sqref="C1"/>
      <selection pane="bottomLeft" activeCell="A6" sqref="A6"/>
      <selection pane="bottomRight" activeCell="D14" sqref="D14"/>
    </sheetView>
  </sheetViews>
  <sheetFormatPr defaultColWidth="9.21875" defaultRowHeight="13.8"/>
  <cols>
    <col min="1" max="1" width="10.5546875" style="1" bestFit="1" customWidth="1"/>
    <col min="2" max="2" width="97" style="1" bestFit="1" customWidth="1"/>
    <col min="3" max="3" width="19" style="1" customWidth="1"/>
    <col min="4" max="4" width="19.5546875" style="1" customWidth="1"/>
    <col min="5" max="5" width="31.21875" style="1" customWidth="1"/>
    <col min="6" max="6" width="29.21875" style="1" customWidth="1"/>
    <col min="7" max="7" width="28.5546875" style="1" customWidth="1"/>
    <col min="8" max="8" width="26.44140625" style="1" customWidth="1"/>
    <col min="9" max="9" width="23.77734375" style="1" customWidth="1"/>
    <col min="10" max="10" width="21.5546875" style="1" customWidth="1"/>
    <col min="11" max="11" width="15.77734375" style="1" customWidth="1"/>
    <col min="12" max="12" width="13.21875" style="1" customWidth="1"/>
    <col min="13" max="13" width="20.77734375" style="1" customWidth="1"/>
    <col min="14" max="14" width="19.21875" style="1" customWidth="1"/>
    <col min="15" max="15" width="18.44140625" style="1" customWidth="1"/>
    <col min="16" max="16" width="19" style="1" customWidth="1"/>
    <col min="17" max="17" width="20.21875" style="1" customWidth="1"/>
    <col min="18" max="18" width="18" style="1" customWidth="1"/>
    <col min="19" max="19" width="36" style="1" customWidth="1"/>
    <col min="20" max="20" width="19.44140625" style="1" customWidth="1"/>
    <col min="21" max="21" width="19.21875" style="1" customWidth="1"/>
    <col min="22" max="22" width="20" style="1" customWidth="1"/>
    <col min="23" max="16384" width="9.21875" style="8"/>
  </cols>
  <sheetData>
    <row r="1" spans="1:22">
      <c r="A1" s="1" t="s">
        <v>97</v>
      </c>
      <c r="B1" s="1" t="str">
        <f>Info!C2</f>
        <v>სს "კრედო ბანკი"</v>
      </c>
    </row>
    <row r="2" spans="1:22">
      <c r="A2" s="1" t="s">
        <v>98</v>
      </c>
      <c r="B2" s="272">
        <f>'1. key ratios'!B2</f>
        <v>46203</v>
      </c>
    </row>
    <row r="4" spans="1:22" ht="28.2" thickBot="1">
      <c r="A4" s="1" t="s">
        <v>249</v>
      </c>
      <c r="B4" s="165" t="s">
        <v>283</v>
      </c>
      <c r="V4" s="112" t="s">
        <v>76</v>
      </c>
    </row>
    <row r="5" spans="1:22">
      <c r="A5" s="51"/>
      <c r="B5" s="52"/>
      <c r="C5" s="819" t="s">
        <v>105</v>
      </c>
      <c r="D5" s="820"/>
      <c r="E5" s="820"/>
      <c r="F5" s="820"/>
      <c r="G5" s="820"/>
      <c r="H5" s="820"/>
      <c r="I5" s="820"/>
      <c r="J5" s="820"/>
      <c r="K5" s="820"/>
      <c r="L5" s="821"/>
      <c r="M5" s="819" t="s">
        <v>106</v>
      </c>
      <c r="N5" s="820"/>
      <c r="O5" s="820"/>
      <c r="P5" s="820"/>
      <c r="Q5" s="820"/>
      <c r="R5" s="820"/>
      <c r="S5" s="821"/>
      <c r="T5" s="824" t="s">
        <v>281</v>
      </c>
      <c r="U5" s="824" t="s">
        <v>280</v>
      </c>
      <c r="V5" s="822" t="s">
        <v>107</v>
      </c>
    </row>
    <row r="6" spans="1:22" s="29" customFormat="1" ht="138">
      <c r="A6" s="57"/>
      <c r="B6" s="89"/>
      <c r="C6" s="49" t="s">
        <v>108</v>
      </c>
      <c r="D6" s="48" t="s">
        <v>109</v>
      </c>
      <c r="E6" s="46" t="s">
        <v>110</v>
      </c>
      <c r="F6" s="46" t="s">
        <v>275</v>
      </c>
      <c r="G6" s="48" t="s">
        <v>111</v>
      </c>
      <c r="H6" s="48" t="s">
        <v>112</v>
      </c>
      <c r="I6" s="48" t="s">
        <v>113</v>
      </c>
      <c r="J6" s="48" t="s">
        <v>142</v>
      </c>
      <c r="K6" s="48" t="s">
        <v>114</v>
      </c>
      <c r="L6" s="50" t="s">
        <v>115</v>
      </c>
      <c r="M6" s="49" t="s">
        <v>116</v>
      </c>
      <c r="N6" s="48" t="s">
        <v>117</v>
      </c>
      <c r="O6" s="48" t="s">
        <v>118</v>
      </c>
      <c r="P6" s="48" t="s">
        <v>119</v>
      </c>
      <c r="Q6" s="48" t="s">
        <v>120</v>
      </c>
      <c r="R6" s="48" t="s">
        <v>121</v>
      </c>
      <c r="S6" s="50" t="s">
        <v>122</v>
      </c>
      <c r="T6" s="825"/>
      <c r="U6" s="825"/>
      <c r="V6" s="823"/>
    </row>
    <row r="7" spans="1:22">
      <c r="A7" s="82">
        <v>1</v>
      </c>
      <c r="B7" s="87" t="s">
        <v>123</v>
      </c>
      <c r="C7" s="153"/>
      <c r="D7" s="151"/>
      <c r="E7" s="151"/>
      <c r="F7" s="151"/>
      <c r="G7" s="151"/>
      <c r="H7" s="151"/>
      <c r="I7" s="151"/>
      <c r="J7" s="151"/>
      <c r="K7" s="151"/>
      <c r="L7" s="154"/>
      <c r="M7" s="153"/>
      <c r="N7" s="151"/>
      <c r="O7" s="151"/>
      <c r="P7" s="151"/>
      <c r="Q7" s="151"/>
      <c r="R7" s="151"/>
      <c r="S7" s="154"/>
      <c r="T7" s="162"/>
      <c r="U7" s="161"/>
      <c r="V7" s="155">
        <f>SUM(C7:S7)</f>
        <v>0</v>
      </c>
    </row>
    <row r="8" spans="1:22">
      <c r="A8" s="82">
        <v>2</v>
      </c>
      <c r="B8" s="87" t="s">
        <v>124</v>
      </c>
      <c r="C8" s="153"/>
      <c r="D8" s="151"/>
      <c r="E8" s="151"/>
      <c r="F8" s="151"/>
      <c r="G8" s="151"/>
      <c r="H8" s="151"/>
      <c r="I8" s="151"/>
      <c r="J8" s="151"/>
      <c r="K8" s="151"/>
      <c r="L8" s="154"/>
      <c r="M8" s="153"/>
      <c r="N8" s="151"/>
      <c r="O8" s="151"/>
      <c r="P8" s="151"/>
      <c r="Q8" s="151"/>
      <c r="R8" s="151"/>
      <c r="S8" s="154"/>
      <c r="T8" s="161"/>
      <c r="U8" s="161"/>
      <c r="V8" s="155">
        <f t="shared" ref="V8:V20" si="0">SUM(C8:S8)</f>
        <v>0</v>
      </c>
    </row>
    <row r="9" spans="1:22">
      <c r="A9" s="82">
        <v>3</v>
      </c>
      <c r="B9" s="87" t="s">
        <v>125</v>
      </c>
      <c r="C9" s="153"/>
      <c r="D9" s="151"/>
      <c r="E9" s="151"/>
      <c r="F9" s="151"/>
      <c r="G9" s="151"/>
      <c r="H9" s="151"/>
      <c r="I9" s="151"/>
      <c r="J9" s="151"/>
      <c r="K9" s="151"/>
      <c r="L9" s="154"/>
      <c r="M9" s="153"/>
      <c r="N9" s="151"/>
      <c r="O9" s="151"/>
      <c r="P9" s="151"/>
      <c r="Q9" s="151"/>
      <c r="R9" s="151"/>
      <c r="S9" s="154"/>
      <c r="T9" s="161"/>
      <c r="U9" s="161"/>
      <c r="V9" s="155">
        <f>SUM(C9:S9)</f>
        <v>0</v>
      </c>
    </row>
    <row r="10" spans="1:22">
      <c r="A10" s="82">
        <v>4</v>
      </c>
      <c r="B10" s="87" t="s">
        <v>126</v>
      </c>
      <c r="C10" s="153"/>
      <c r="D10" s="151"/>
      <c r="E10" s="151"/>
      <c r="F10" s="151"/>
      <c r="G10" s="151"/>
      <c r="H10" s="151"/>
      <c r="I10" s="151"/>
      <c r="J10" s="151"/>
      <c r="K10" s="151"/>
      <c r="L10" s="154"/>
      <c r="M10" s="153"/>
      <c r="N10" s="151"/>
      <c r="O10" s="151"/>
      <c r="P10" s="151"/>
      <c r="Q10" s="151"/>
      <c r="R10" s="151"/>
      <c r="S10" s="154"/>
      <c r="T10" s="161"/>
      <c r="U10" s="161"/>
      <c r="V10" s="155">
        <f t="shared" si="0"/>
        <v>0</v>
      </c>
    </row>
    <row r="11" spans="1:22">
      <c r="A11" s="82">
        <v>5</v>
      </c>
      <c r="B11" s="87" t="s">
        <v>911</v>
      </c>
      <c r="C11" s="153"/>
      <c r="D11" s="151"/>
      <c r="E11" s="151"/>
      <c r="F11" s="151"/>
      <c r="G11" s="151"/>
      <c r="H11" s="151"/>
      <c r="I11" s="151"/>
      <c r="J11" s="151"/>
      <c r="K11" s="151"/>
      <c r="L11" s="154"/>
      <c r="M11" s="153"/>
      <c r="N11" s="151"/>
      <c r="O11" s="151"/>
      <c r="P11" s="151"/>
      <c r="Q11" s="151"/>
      <c r="R11" s="151"/>
      <c r="S11" s="154"/>
      <c r="T11" s="161"/>
      <c r="U11" s="161"/>
      <c r="V11" s="155">
        <f t="shared" si="0"/>
        <v>0</v>
      </c>
    </row>
    <row r="12" spans="1:22">
      <c r="A12" s="82">
        <v>6</v>
      </c>
      <c r="B12" s="87" t="s">
        <v>127</v>
      </c>
      <c r="C12" s="153"/>
      <c r="D12" s="151"/>
      <c r="E12" s="151"/>
      <c r="F12" s="151"/>
      <c r="G12" s="151"/>
      <c r="H12" s="151"/>
      <c r="I12" s="151"/>
      <c r="J12" s="151"/>
      <c r="K12" s="151"/>
      <c r="L12" s="154"/>
      <c r="M12" s="153"/>
      <c r="N12" s="151"/>
      <c r="O12" s="151"/>
      <c r="P12" s="151"/>
      <c r="Q12" s="151"/>
      <c r="R12" s="151"/>
      <c r="S12" s="154"/>
      <c r="T12" s="161"/>
      <c r="U12" s="161"/>
      <c r="V12" s="155">
        <f t="shared" si="0"/>
        <v>0</v>
      </c>
    </row>
    <row r="13" spans="1:22">
      <c r="A13" s="82">
        <v>7</v>
      </c>
      <c r="B13" s="87" t="s">
        <v>71</v>
      </c>
      <c r="C13" s="153"/>
      <c r="D13" s="151"/>
      <c r="E13" s="151"/>
      <c r="F13" s="151"/>
      <c r="G13" s="151"/>
      <c r="H13" s="151"/>
      <c r="I13" s="151"/>
      <c r="J13" s="151"/>
      <c r="K13" s="151"/>
      <c r="L13" s="154"/>
      <c r="M13" s="153"/>
      <c r="N13" s="151"/>
      <c r="O13" s="151"/>
      <c r="P13" s="151"/>
      <c r="Q13" s="151"/>
      <c r="R13" s="151"/>
      <c r="S13" s="154"/>
      <c r="T13" s="161"/>
      <c r="U13" s="161"/>
      <c r="V13" s="155">
        <f t="shared" si="0"/>
        <v>0</v>
      </c>
    </row>
    <row r="14" spans="1:22">
      <c r="A14" s="82">
        <v>8</v>
      </c>
      <c r="B14" s="87" t="s">
        <v>72</v>
      </c>
      <c r="C14" s="153"/>
      <c r="D14" s="151">
        <v>908763.13649999967</v>
      </c>
      <c r="E14" s="151"/>
      <c r="F14" s="151"/>
      <c r="G14" s="151"/>
      <c r="H14" s="151"/>
      <c r="I14" s="151"/>
      <c r="J14" s="151"/>
      <c r="K14" s="151"/>
      <c r="L14" s="154"/>
      <c r="M14" s="153"/>
      <c r="N14" s="151"/>
      <c r="O14" s="151"/>
      <c r="P14" s="151"/>
      <c r="Q14" s="151"/>
      <c r="R14" s="151"/>
      <c r="S14" s="154"/>
      <c r="T14" s="161"/>
      <c r="U14" s="161"/>
      <c r="V14" s="155">
        <f t="shared" si="0"/>
        <v>908763.13649999967</v>
      </c>
    </row>
    <row r="15" spans="1:22">
      <c r="A15" s="82">
        <v>9</v>
      </c>
      <c r="B15" s="87" t="s">
        <v>912</v>
      </c>
      <c r="C15" s="153"/>
      <c r="D15" s="151"/>
      <c r="E15" s="151"/>
      <c r="F15" s="151"/>
      <c r="G15" s="151"/>
      <c r="H15" s="151"/>
      <c r="I15" s="151"/>
      <c r="J15" s="151"/>
      <c r="K15" s="151"/>
      <c r="L15" s="154"/>
      <c r="M15" s="153"/>
      <c r="N15" s="151"/>
      <c r="O15" s="151"/>
      <c r="P15" s="151"/>
      <c r="Q15" s="151"/>
      <c r="R15" s="151"/>
      <c r="S15" s="154"/>
      <c r="T15" s="161"/>
      <c r="U15" s="161"/>
      <c r="V15" s="155">
        <f t="shared" si="0"/>
        <v>0</v>
      </c>
    </row>
    <row r="16" spans="1:22">
      <c r="A16" s="82">
        <v>10</v>
      </c>
      <c r="B16" s="87" t="s">
        <v>67</v>
      </c>
      <c r="C16" s="153"/>
      <c r="D16" s="151"/>
      <c r="E16" s="151"/>
      <c r="F16" s="151"/>
      <c r="G16" s="151"/>
      <c r="H16" s="151"/>
      <c r="I16" s="151"/>
      <c r="J16" s="151"/>
      <c r="K16" s="151"/>
      <c r="L16" s="154"/>
      <c r="M16" s="153"/>
      <c r="N16" s="151"/>
      <c r="O16" s="151"/>
      <c r="P16" s="151"/>
      <c r="Q16" s="151"/>
      <c r="R16" s="151"/>
      <c r="S16" s="154"/>
      <c r="T16" s="161"/>
      <c r="U16" s="161"/>
      <c r="V16" s="155">
        <f t="shared" si="0"/>
        <v>0</v>
      </c>
    </row>
    <row r="17" spans="1:22">
      <c r="A17" s="82">
        <v>11</v>
      </c>
      <c r="B17" s="87" t="s">
        <v>68</v>
      </c>
      <c r="C17" s="153"/>
      <c r="D17" s="151"/>
      <c r="E17" s="151"/>
      <c r="F17" s="151"/>
      <c r="G17" s="151"/>
      <c r="H17" s="151"/>
      <c r="I17" s="151"/>
      <c r="J17" s="151"/>
      <c r="K17" s="151"/>
      <c r="L17" s="154"/>
      <c r="M17" s="153"/>
      <c r="N17" s="151"/>
      <c r="O17" s="151"/>
      <c r="P17" s="151"/>
      <c r="Q17" s="151"/>
      <c r="R17" s="151"/>
      <c r="S17" s="154"/>
      <c r="T17" s="161"/>
      <c r="U17" s="161"/>
      <c r="V17" s="155">
        <f t="shared" si="0"/>
        <v>0</v>
      </c>
    </row>
    <row r="18" spans="1:22">
      <c r="A18" s="82">
        <v>12</v>
      </c>
      <c r="B18" s="87" t="s">
        <v>69</v>
      </c>
      <c r="C18" s="153"/>
      <c r="D18" s="151"/>
      <c r="E18" s="151"/>
      <c r="F18" s="151"/>
      <c r="G18" s="151"/>
      <c r="H18" s="151"/>
      <c r="I18" s="151"/>
      <c r="J18" s="151"/>
      <c r="K18" s="151"/>
      <c r="L18" s="154"/>
      <c r="M18" s="153"/>
      <c r="N18" s="151"/>
      <c r="O18" s="151"/>
      <c r="P18" s="151"/>
      <c r="Q18" s="151"/>
      <c r="R18" s="151"/>
      <c r="S18" s="154"/>
      <c r="T18" s="161"/>
      <c r="U18" s="161"/>
      <c r="V18" s="155">
        <f t="shared" si="0"/>
        <v>0</v>
      </c>
    </row>
    <row r="19" spans="1:22">
      <c r="A19" s="82">
        <v>13</v>
      </c>
      <c r="B19" s="87" t="s">
        <v>70</v>
      </c>
      <c r="C19" s="153"/>
      <c r="D19" s="151"/>
      <c r="E19" s="151"/>
      <c r="F19" s="151"/>
      <c r="G19" s="151"/>
      <c r="H19" s="151"/>
      <c r="I19" s="151"/>
      <c r="J19" s="151"/>
      <c r="K19" s="151"/>
      <c r="L19" s="154"/>
      <c r="M19" s="153"/>
      <c r="N19" s="151"/>
      <c r="O19" s="151"/>
      <c r="P19" s="151"/>
      <c r="Q19" s="151"/>
      <c r="R19" s="151"/>
      <c r="S19" s="154"/>
      <c r="T19" s="161"/>
      <c r="U19" s="161"/>
      <c r="V19" s="155">
        <f t="shared" si="0"/>
        <v>0</v>
      </c>
    </row>
    <row r="20" spans="1:22">
      <c r="A20" s="82">
        <v>14</v>
      </c>
      <c r="B20" s="87" t="s">
        <v>143</v>
      </c>
      <c r="C20" s="153"/>
      <c r="D20" s="151"/>
      <c r="E20" s="151"/>
      <c r="F20" s="151"/>
      <c r="G20" s="151"/>
      <c r="H20" s="151"/>
      <c r="I20" s="151"/>
      <c r="J20" s="151"/>
      <c r="K20" s="151"/>
      <c r="L20" s="154"/>
      <c r="M20" s="153"/>
      <c r="N20" s="151"/>
      <c r="O20" s="151"/>
      <c r="P20" s="151"/>
      <c r="Q20" s="151"/>
      <c r="R20" s="151"/>
      <c r="S20" s="154"/>
      <c r="T20" s="161"/>
      <c r="U20" s="161"/>
      <c r="V20" s="155">
        <f t="shared" si="0"/>
        <v>0</v>
      </c>
    </row>
    <row r="21" spans="1:22" ht="14.4" thickBot="1">
      <c r="A21" s="53"/>
      <c r="B21" s="54" t="s">
        <v>66</v>
      </c>
      <c r="C21" s="156">
        <f>SUM(C7:C20)</f>
        <v>0</v>
      </c>
      <c r="D21" s="152">
        <f t="shared" ref="D21:V21" si="1">SUM(D7:D20)</f>
        <v>908763.13649999967</v>
      </c>
      <c r="E21" s="152">
        <f t="shared" si="1"/>
        <v>0</v>
      </c>
      <c r="F21" s="152">
        <f t="shared" si="1"/>
        <v>0</v>
      </c>
      <c r="G21" s="152">
        <f t="shared" si="1"/>
        <v>0</v>
      </c>
      <c r="H21" s="152">
        <f t="shared" si="1"/>
        <v>0</v>
      </c>
      <c r="I21" s="152">
        <f t="shared" si="1"/>
        <v>0</v>
      </c>
      <c r="J21" s="152">
        <f t="shared" si="1"/>
        <v>0</v>
      </c>
      <c r="K21" s="152">
        <f t="shared" si="1"/>
        <v>0</v>
      </c>
      <c r="L21" s="157">
        <f t="shared" si="1"/>
        <v>0</v>
      </c>
      <c r="M21" s="156">
        <f t="shared" si="1"/>
        <v>0</v>
      </c>
      <c r="N21" s="152">
        <f t="shared" si="1"/>
        <v>0</v>
      </c>
      <c r="O21" s="152">
        <f t="shared" si="1"/>
        <v>0</v>
      </c>
      <c r="P21" s="152">
        <f t="shared" si="1"/>
        <v>0</v>
      </c>
      <c r="Q21" s="152">
        <f t="shared" si="1"/>
        <v>0</v>
      </c>
      <c r="R21" s="152">
        <f t="shared" si="1"/>
        <v>0</v>
      </c>
      <c r="S21" s="157">
        <f t="shared" si="1"/>
        <v>0</v>
      </c>
      <c r="T21" s="157">
        <f>SUM(T7:T20)</f>
        <v>0</v>
      </c>
      <c r="U21" s="157">
        <f t="shared" si="1"/>
        <v>0</v>
      </c>
      <c r="V21" s="158">
        <f t="shared" si="1"/>
        <v>908763.13649999967</v>
      </c>
    </row>
    <row r="24" spans="1:22">
      <c r="C24" s="32"/>
      <c r="D24" s="32"/>
      <c r="E24" s="32"/>
    </row>
    <row r="25" spans="1:22">
      <c r="A25" s="28"/>
      <c r="B25" s="28"/>
      <c r="D25" s="32"/>
      <c r="E25" s="32"/>
    </row>
    <row r="26" spans="1:22">
      <c r="A26" s="28"/>
      <c r="B26" s="47"/>
      <c r="D26" s="32"/>
      <c r="E26" s="32"/>
    </row>
    <row r="27" spans="1:22">
      <c r="A27" s="28"/>
      <c r="B27" s="28"/>
      <c r="D27" s="32"/>
      <c r="E27" s="32"/>
    </row>
    <row r="28" spans="1:22">
      <c r="A28" s="28"/>
      <c r="B28" s="47"/>
      <c r="D28" s="32"/>
      <c r="E28" s="32"/>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I28"/>
  <sheetViews>
    <sheetView zoomScale="80" zoomScaleNormal="80" workbookViewId="0">
      <pane xSplit="1" ySplit="7" topLeftCell="B8" activePane="bottomRight" state="frozen"/>
      <selection activeCell="L18" sqref="L18"/>
      <selection pane="topRight" activeCell="L18" sqref="L18"/>
      <selection pane="bottomLeft" activeCell="L18" sqref="L18"/>
      <selection pane="bottomRight" activeCell="C8" sqref="C8:G21"/>
    </sheetView>
  </sheetViews>
  <sheetFormatPr defaultColWidth="9.21875" defaultRowHeight="13.8"/>
  <cols>
    <col min="1" max="1" width="10.5546875" style="1" bestFit="1" customWidth="1"/>
    <col min="2" max="2" width="101.77734375" style="1" customWidth="1"/>
    <col min="3" max="3" width="13.77734375" style="1" customWidth="1"/>
    <col min="4" max="4" width="14.77734375" style="1" bestFit="1" customWidth="1"/>
    <col min="5" max="5" width="17.77734375" style="1" customWidth="1"/>
    <col min="6" max="6" width="15.77734375" style="1" customWidth="1"/>
    <col min="7" max="7" width="17.44140625" style="1" customWidth="1"/>
    <col min="8" max="8" width="15.21875" style="1" customWidth="1"/>
    <col min="9" max="16384" width="9.21875" style="8"/>
  </cols>
  <sheetData>
    <row r="1" spans="1:9">
      <c r="A1" s="1" t="s">
        <v>97</v>
      </c>
      <c r="B1" s="1" t="str">
        <f>Info!C2</f>
        <v>სს "კრედო ბანკი"</v>
      </c>
    </row>
    <row r="2" spans="1:9">
      <c r="A2" s="1" t="s">
        <v>98</v>
      </c>
      <c r="B2" s="272">
        <f>'1. key ratios'!B2</f>
        <v>46203</v>
      </c>
    </row>
    <row r="4" spans="1:9" ht="14.4" thickBot="1">
      <c r="A4" s="1" t="s">
        <v>250</v>
      </c>
      <c r="B4" s="22" t="s">
        <v>284</v>
      </c>
    </row>
    <row r="5" spans="1:9">
      <c r="A5" s="51"/>
      <c r="B5" s="80"/>
      <c r="C5" s="84" t="s">
        <v>0</v>
      </c>
      <c r="D5" s="84" t="s">
        <v>1</v>
      </c>
      <c r="E5" s="84" t="s">
        <v>2</v>
      </c>
      <c r="F5" s="84" t="s">
        <v>3</v>
      </c>
      <c r="G5" s="160" t="s">
        <v>4</v>
      </c>
      <c r="H5" s="85" t="s">
        <v>5</v>
      </c>
      <c r="I5" s="18"/>
    </row>
    <row r="6" spans="1:9" ht="15" customHeight="1">
      <c r="A6" s="79"/>
      <c r="B6" s="16"/>
      <c r="C6" s="817" t="s">
        <v>276</v>
      </c>
      <c r="D6" s="828" t="s">
        <v>297</v>
      </c>
      <c r="E6" s="829"/>
      <c r="F6" s="817" t="s">
        <v>303</v>
      </c>
      <c r="G6" s="817" t="s">
        <v>304</v>
      </c>
      <c r="H6" s="826" t="s">
        <v>278</v>
      </c>
      <c r="I6" s="18"/>
    </row>
    <row r="7" spans="1:9" ht="69">
      <c r="A7" s="79"/>
      <c r="B7" s="16"/>
      <c r="C7" s="818"/>
      <c r="D7" s="163" t="s">
        <v>279</v>
      </c>
      <c r="E7" s="163" t="s">
        <v>277</v>
      </c>
      <c r="F7" s="818"/>
      <c r="G7" s="818"/>
      <c r="H7" s="827"/>
      <c r="I7" s="18"/>
    </row>
    <row r="8" spans="1:9">
      <c r="A8" s="44">
        <v>1</v>
      </c>
      <c r="B8" s="87" t="s">
        <v>123</v>
      </c>
      <c r="C8" s="689">
        <v>386231475.41000003</v>
      </c>
      <c r="D8" s="689"/>
      <c r="E8" s="689"/>
      <c r="F8" s="689">
        <v>70881406.310000002</v>
      </c>
      <c r="G8" s="766">
        <v>70881406.310000002</v>
      </c>
      <c r="H8" s="166">
        <f>G8/(C8+E8)</f>
        <v>0.18352053321070372</v>
      </c>
    </row>
    <row r="9" spans="1:9" ht="15" customHeight="1">
      <c r="A9" s="44">
        <v>2</v>
      </c>
      <c r="B9" s="87" t="s">
        <v>124</v>
      </c>
      <c r="C9" s="689">
        <v>0</v>
      </c>
      <c r="D9" s="689"/>
      <c r="E9" s="689"/>
      <c r="F9" s="689">
        <v>0</v>
      </c>
      <c r="G9" s="766">
        <v>0</v>
      </c>
      <c r="H9" s="166"/>
    </row>
    <row r="10" spans="1:9">
      <c r="A10" s="44">
        <v>3</v>
      </c>
      <c r="B10" s="87" t="s">
        <v>125</v>
      </c>
      <c r="C10" s="689">
        <v>0</v>
      </c>
      <c r="D10" s="689"/>
      <c r="E10" s="689"/>
      <c r="F10" s="689">
        <v>0</v>
      </c>
      <c r="G10" s="766">
        <v>0</v>
      </c>
      <c r="H10" s="166"/>
    </row>
    <row r="11" spans="1:9">
      <c r="A11" s="44">
        <v>4</v>
      </c>
      <c r="B11" s="87" t="s">
        <v>126</v>
      </c>
      <c r="C11" s="689">
        <v>0</v>
      </c>
      <c r="D11" s="689"/>
      <c r="E11" s="689"/>
      <c r="F11" s="689">
        <v>0</v>
      </c>
      <c r="G11" s="766">
        <v>0</v>
      </c>
      <c r="H11" s="166"/>
    </row>
    <row r="12" spans="1:9">
      <c r="A12" s="44">
        <v>5</v>
      </c>
      <c r="B12" s="87" t="s">
        <v>911</v>
      </c>
      <c r="C12" s="689">
        <v>0</v>
      </c>
      <c r="D12" s="689"/>
      <c r="E12" s="689"/>
      <c r="F12" s="689">
        <v>0</v>
      </c>
      <c r="G12" s="766">
        <v>0</v>
      </c>
      <c r="H12" s="166"/>
    </row>
    <row r="13" spans="1:9">
      <c r="A13" s="44">
        <v>6</v>
      </c>
      <c r="B13" s="87" t="s">
        <v>127</v>
      </c>
      <c r="C13" s="689">
        <v>152914051.92000002</v>
      </c>
      <c r="D13" s="689"/>
      <c r="E13" s="689"/>
      <c r="F13" s="689">
        <v>35266990.56000001</v>
      </c>
      <c r="G13" s="766">
        <v>35266990.56000001</v>
      </c>
      <c r="H13" s="166">
        <f t="shared" ref="H13:H21" si="0">G13/(C13+E13)</f>
        <v>0.23063276472753877</v>
      </c>
    </row>
    <row r="14" spans="1:9">
      <c r="A14" s="44">
        <v>7</v>
      </c>
      <c r="B14" s="87" t="s">
        <v>71</v>
      </c>
      <c r="C14" s="689">
        <v>135543428.53259084</v>
      </c>
      <c r="D14" s="689">
        <v>18322166</v>
      </c>
      <c r="E14" s="689">
        <v>9161083</v>
      </c>
      <c r="F14" s="689">
        <v>144704511.53259084</v>
      </c>
      <c r="G14" s="766">
        <v>144704511.53259084</v>
      </c>
      <c r="H14" s="166">
        <f>G14/(C14+E14)</f>
        <v>1</v>
      </c>
    </row>
    <row r="15" spans="1:9">
      <c r="A15" s="44">
        <v>8</v>
      </c>
      <c r="B15" s="87" t="s">
        <v>72</v>
      </c>
      <c r="C15" s="689">
        <v>3058346952.9038672</v>
      </c>
      <c r="D15" s="689">
        <v>494525677.94360864</v>
      </c>
      <c r="E15" s="689">
        <v>127922980.17924863</v>
      </c>
      <c r="F15" s="689">
        <v>2389702449.8123369</v>
      </c>
      <c r="G15" s="766">
        <v>2388793686.675837</v>
      </c>
      <c r="H15" s="166">
        <f t="shared" si="0"/>
        <v>0.74971478777517742</v>
      </c>
    </row>
    <row r="16" spans="1:9">
      <c r="A16" s="44">
        <v>9</v>
      </c>
      <c r="B16" s="87" t="s">
        <v>912</v>
      </c>
      <c r="C16" s="689">
        <v>141701814.93440637</v>
      </c>
      <c r="D16" s="689"/>
      <c r="E16" s="689"/>
      <c r="F16" s="689">
        <v>49595635.227042228</v>
      </c>
      <c r="G16" s="766">
        <v>49595635.227042228</v>
      </c>
      <c r="H16" s="166">
        <f t="shared" si="0"/>
        <v>0.35</v>
      </c>
    </row>
    <row r="17" spans="1:8">
      <c r="A17" s="44">
        <v>10</v>
      </c>
      <c r="B17" s="87" t="s">
        <v>67</v>
      </c>
      <c r="C17" s="689">
        <v>8757564.2094998881</v>
      </c>
      <c r="D17" s="689"/>
      <c r="E17" s="689"/>
      <c r="F17" s="689">
        <v>9568436.1606425419</v>
      </c>
      <c r="G17" s="766">
        <v>9568436.1606425419</v>
      </c>
      <c r="H17" s="166">
        <f t="shared" si="0"/>
        <v>1.0925910369304572</v>
      </c>
    </row>
    <row r="18" spans="1:8">
      <c r="A18" s="44">
        <v>11</v>
      </c>
      <c r="B18" s="87" t="s">
        <v>68</v>
      </c>
      <c r="C18" s="689">
        <v>0</v>
      </c>
      <c r="D18" s="689"/>
      <c r="E18" s="689"/>
      <c r="F18" s="689">
        <v>0</v>
      </c>
      <c r="G18" s="766">
        <v>0</v>
      </c>
      <c r="H18" s="166"/>
    </row>
    <row r="19" spans="1:8">
      <c r="A19" s="44">
        <v>12</v>
      </c>
      <c r="B19" s="87" t="s">
        <v>69</v>
      </c>
      <c r="C19" s="689">
        <v>0</v>
      </c>
      <c r="D19" s="689"/>
      <c r="E19" s="689"/>
      <c r="F19" s="689">
        <v>0</v>
      </c>
      <c r="G19" s="766">
        <v>0</v>
      </c>
      <c r="H19" s="166"/>
    </row>
    <row r="20" spans="1:8">
      <c r="A20" s="44">
        <v>13</v>
      </c>
      <c r="B20" s="87" t="s">
        <v>70</v>
      </c>
      <c r="C20" s="689">
        <v>0</v>
      </c>
      <c r="D20" s="689"/>
      <c r="E20" s="689"/>
      <c r="F20" s="689">
        <v>0</v>
      </c>
      <c r="G20" s="766">
        <v>0</v>
      </c>
      <c r="H20" s="166"/>
    </row>
    <row r="21" spans="1:8">
      <c r="A21" s="44">
        <v>14</v>
      </c>
      <c r="B21" s="87" t="s">
        <v>143</v>
      </c>
      <c r="C21" s="689">
        <v>232380697.44</v>
      </c>
      <c r="D21" s="689"/>
      <c r="E21" s="689"/>
      <c r="F21" s="689">
        <v>138699775.03999996</v>
      </c>
      <c r="G21" s="766">
        <v>138699775.03999996</v>
      </c>
      <c r="H21" s="166">
        <f t="shared" si="0"/>
        <v>0.59686444084200163</v>
      </c>
    </row>
    <row r="22" spans="1:8" ht="14.4" thickBot="1">
      <c r="A22" s="81"/>
      <c r="B22" s="86" t="s">
        <v>66</v>
      </c>
      <c r="C22" s="152">
        <f>SUM(C8:C21)</f>
        <v>4115875985.3503642</v>
      </c>
      <c r="D22" s="152">
        <f>SUM(D8:D21)</f>
        <v>512847843.94360864</v>
      </c>
      <c r="E22" s="152">
        <f>SUM(E8:E21)</f>
        <v>137084063.17924863</v>
      </c>
      <c r="F22" s="152">
        <f>SUM(F8:F21)</f>
        <v>2838419204.6426125</v>
      </c>
      <c r="G22" s="152">
        <f>SUM(G8:G21)</f>
        <v>2837510441.5061126</v>
      </c>
      <c r="H22" s="762">
        <f>G22/(C22+E22)</f>
        <v>0.66718483341670054</v>
      </c>
    </row>
    <row r="24" spans="1:8">
      <c r="F24" s="768"/>
      <c r="G24" s="691"/>
      <c r="H24" s="691"/>
    </row>
    <row r="25" spans="1:8">
      <c r="H25" s="691"/>
    </row>
    <row r="26" spans="1:8">
      <c r="G26" s="691"/>
    </row>
    <row r="28" spans="1:8"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K28"/>
  <sheetViews>
    <sheetView zoomScale="80" zoomScaleNormal="80" workbookViewId="0">
      <pane xSplit="2" ySplit="6" topLeftCell="C7" activePane="bottomRight" state="frozen"/>
      <selection pane="topRight" activeCell="C1" sqref="C1"/>
      <selection pane="bottomLeft" activeCell="A6" sqref="A6"/>
      <selection pane="bottomRight" activeCell="F8" sqref="F8:K8"/>
    </sheetView>
  </sheetViews>
  <sheetFormatPr defaultColWidth="9.21875" defaultRowHeight="13.8"/>
  <cols>
    <col min="1" max="1" width="10.5546875" style="1" bestFit="1" customWidth="1"/>
    <col min="2" max="2" width="104.21875" style="1" customWidth="1"/>
    <col min="3" max="11" width="12.77734375" style="1" customWidth="1"/>
    <col min="12" max="16384" width="9.21875" style="1"/>
  </cols>
  <sheetData>
    <row r="1" spans="1:11">
      <c r="A1" s="1" t="s">
        <v>97</v>
      </c>
      <c r="B1" s="1" t="str">
        <f>Info!C2</f>
        <v>სს "კრედო ბანკი"</v>
      </c>
    </row>
    <row r="2" spans="1:11">
      <c r="A2" s="1" t="s">
        <v>98</v>
      </c>
      <c r="B2" s="272">
        <f>'1. key ratios'!B2</f>
        <v>46203</v>
      </c>
    </row>
    <row r="4" spans="1:11" ht="14.4" thickBot="1">
      <c r="A4" s="1" t="s">
        <v>340</v>
      </c>
      <c r="B4" s="22" t="s">
        <v>339</v>
      </c>
    </row>
    <row r="5" spans="1:11" ht="30" customHeight="1">
      <c r="A5" s="833"/>
      <c r="B5" s="834"/>
      <c r="C5" s="831" t="s">
        <v>372</v>
      </c>
      <c r="D5" s="831"/>
      <c r="E5" s="831"/>
      <c r="F5" s="831" t="s">
        <v>373</v>
      </c>
      <c r="G5" s="831"/>
      <c r="H5" s="831"/>
      <c r="I5" s="831" t="s">
        <v>374</v>
      </c>
      <c r="J5" s="831"/>
      <c r="K5" s="832"/>
    </row>
    <row r="6" spans="1:11">
      <c r="A6" s="189"/>
      <c r="B6" s="190"/>
      <c r="C6" s="191" t="s">
        <v>26</v>
      </c>
      <c r="D6" s="191" t="s">
        <v>79</v>
      </c>
      <c r="E6" s="191" t="s">
        <v>66</v>
      </c>
      <c r="F6" s="191" t="s">
        <v>26</v>
      </c>
      <c r="G6" s="191" t="s">
        <v>79</v>
      </c>
      <c r="H6" s="191" t="s">
        <v>66</v>
      </c>
      <c r="I6" s="191" t="s">
        <v>26</v>
      </c>
      <c r="J6" s="191" t="s">
        <v>79</v>
      </c>
      <c r="K6" s="193" t="s">
        <v>66</v>
      </c>
    </row>
    <row r="7" spans="1:11">
      <c r="A7" s="194" t="s">
        <v>310</v>
      </c>
      <c r="B7" s="188"/>
      <c r="C7" s="188"/>
      <c r="D7" s="188"/>
      <c r="E7" s="188"/>
      <c r="F7" s="188"/>
      <c r="G7" s="188"/>
      <c r="H7" s="188"/>
      <c r="I7" s="188"/>
      <c r="J7" s="188"/>
      <c r="K7" s="195"/>
    </row>
    <row r="8" spans="1:11">
      <c r="A8" s="187">
        <v>1</v>
      </c>
      <c r="B8" s="172" t="s">
        <v>310</v>
      </c>
      <c r="C8" s="170"/>
      <c r="D8" s="170"/>
      <c r="E8" s="170"/>
      <c r="F8" s="701">
        <v>286541791.62923157</v>
      </c>
      <c r="G8" s="701">
        <v>267375453.88641354</v>
      </c>
      <c r="H8" s="698">
        <f>F8+G8</f>
        <v>553917245.51564515</v>
      </c>
      <c r="I8" s="701">
        <v>140381850.72582501</v>
      </c>
      <c r="J8" s="701">
        <v>105350781.53971021</v>
      </c>
      <c r="K8" s="702">
        <f>I8+J8</f>
        <v>245732632.26553524</v>
      </c>
    </row>
    <row r="9" spans="1:11">
      <c r="A9" s="194" t="s">
        <v>311</v>
      </c>
      <c r="B9" s="188"/>
      <c r="C9" s="188"/>
      <c r="D9" s="188"/>
      <c r="E9" s="188"/>
      <c r="F9" s="188"/>
      <c r="G9" s="188"/>
      <c r="H9" s="188"/>
      <c r="I9" s="694"/>
      <c r="J9" s="694"/>
      <c r="K9" s="702"/>
    </row>
    <row r="10" spans="1:11">
      <c r="A10" s="196">
        <v>2</v>
      </c>
      <c r="B10" s="173" t="s">
        <v>312</v>
      </c>
      <c r="C10" s="289">
        <v>673045625.96960461</v>
      </c>
      <c r="D10" s="692">
        <v>491670714.17772245</v>
      </c>
      <c r="E10" s="698">
        <f>C10+D10</f>
        <v>1164716340.1473269</v>
      </c>
      <c r="F10" s="692">
        <v>118609753.16316038</v>
      </c>
      <c r="G10" s="692">
        <v>146433203.41144541</v>
      </c>
      <c r="H10" s="698">
        <f t="shared" ref="H10:H15" si="0">F10+G10</f>
        <v>265042956.57460579</v>
      </c>
      <c r="I10" s="692">
        <v>34582705.95379892</v>
      </c>
      <c r="J10" s="692">
        <v>42415683.815265261</v>
      </c>
      <c r="K10" s="702">
        <f t="shared" ref="K10:K15" si="1">I10+J10</f>
        <v>76998389.769064188</v>
      </c>
    </row>
    <row r="11" spans="1:11">
      <c r="A11" s="196">
        <v>3</v>
      </c>
      <c r="B11" s="173" t="s">
        <v>313</v>
      </c>
      <c r="C11" s="289">
        <v>1487157359.8896575</v>
      </c>
      <c r="D11" s="692">
        <v>491686173.61843705</v>
      </c>
      <c r="E11" s="698">
        <f t="shared" ref="E11:E15" si="2">C11+D11</f>
        <v>1978843533.5080945</v>
      </c>
      <c r="F11" s="692">
        <v>112118510.32890362</v>
      </c>
      <c r="G11" s="692">
        <v>11711016.807867391</v>
      </c>
      <c r="H11" s="698">
        <f t="shared" si="0"/>
        <v>123829527.13677101</v>
      </c>
      <c r="I11" s="692">
        <v>101203184.01594472</v>
      </c>
      <c r="J11" s="692">
        <v>11489467.379936043</v>
      </c>
      <c r="K11" s="702">
        <f t="shared" si="1"/>
        <v>112692651.39588076</v>
      </c>
    </row>
    <row r="12" spans="1:11">
      <c r="A12" s="196">
        <v>4</v>
      </c>
      <c r="B12" s="173" t="s">
        <v>314</v>
      </c>
      <c r="C12" s="289">
        <v>49000000</v>
      </c>
      <c r="D12" s="692">
        <v>0</v>
      </c>
      <c r="E12" s="698">
        <f t="shared" si="2"/>
        <v>49000000</v>
      </c>
      <c r="F12" s="692"/>
      <c r="G12" s="692"/>
      <c r="H12" s="698">
        <f t="shared" si="0"/>
        <v>0</v>
      </c>
      <c r="I12" s="692"/>
      <c r="J12" s="692"/>
      <c r="K12" s="702">
        <f t="shared" si="1"/>
        <v>0</v>
      </c>
    </row>
    <row r="13" spans="1:11">
      <c r="A13" s="196">
        <v>5</v>
      </c>
      <c r="B13" s="173" t="s">
        <v>315</v>
      </c>
      <c r="C13" s="289">
        <v>459830413.27164829</v>
      </c>
      <c r="D13" s="692">
        <v>39551704.478461519</v>
      </c>
      <c r="E13" s="698">
        <f t="shared" si="2"/>
        <v>499382117.75010979</v>
      </c>
      <c r="F13" s="692">
        <v>73827823.293205529</v>
      </c>
      <c r="G13" s="692">
        <v>9458341.5062296689</v>
      </c>
      <c r="H13" s="698">
        <f t="shared" si="0"/>
        <v>83286164.799435198</v>
      </c>
      <c r="I13" s="692">
        <v>22991520.663582418</v>
      </c>
      <c r="J13" s="692">
        <v>5510501.3088131882</v>
      </c>
      <c r="K13" s="702">
        <f t="shared" si="1"/>
        <v>28502021.972395606</v>
      </c>
    </row>
    <row r="14" spans="1:11">
      <c r="A14" s="196">
        <v>6</v>
      </c>
      <c r="B14" s="173" t="s">
        <v>330</v>
      </c>
      <c r="C14" s="289"/>
      <c r="D14" s="692"/>
      <c r="E14" s="698">
        <f t="shared" si="2"/>
        <v>0</v>
      </c>
      <c r="F14" s="692"/>
      <c r="G14" s="692"/>
      <c r="H14" s="698">
        <f t="shared" si="0"/>
        <v>0</v>
      </c>
      <c r="I14" s="692"/>
      <c r="J14" s="692"/>
      <c r="K14" s="702">
        <f t="shared" si="1"/>
        <v>0</v>
      </c>
    </row>
    <row r="15" spans="1:11">
      <c r="A15" s="196">
        <v>7</v>
      </c>
      <c r="B15" s="173" t="s">
        <v>317</v>
      </c>
      <c r="C15" s="289">
        <v>9660103.6593406592</v>
      </c>
      <c r="D15" s="692">
        <v>2541825.4697802207</v>
      </c>
      <c r="E15" s="698">
        <f t="shared" si="2"/>
        <v>12201929.129120879</v>
      </c>
      <c r="F15" s="692">
        <v>9660103.6593406592</v>
      </c>
      <c r="G15" s="692">
        <v>2541825.4697802207</v>
      </c>
      <c r="H15" s="698">
        <f t="shared" si="0"/>
        <v>12201929.129120879</v>
      </c>
      <c r="I15" s="692">
        <v>9660103.6593406592</v>
      </c>
      <c r="J15" s="692">
        <v>2541825.4697802207</v>
      </c>
      <c r="K15" s="702">
        <f t="shared" si="1"/>
        <v>12201929.129120879</v>
      </c>
    </row>
    <row r="16" spans="1:11">
      <c r="A16" s="196">
        <v>8</v>
      </c>
      <c r="B16" s="174" t="s">
        <v>318</v>
      </c>
      <c r="C16" s="680">
        <f>SUM(C10:C15)</f>
        <v>2678693502.7902513</v>
      </c>
      <c r="D16" s="680">
        <f t="shared" ref="D16:E16" si="3">SUM(D10:D15)</f>
        <v>1025450417.7444012</v>
      </c>
      <c r="E16" s="680">
        <f t="shared" si="3"/>
        <v>3704143920.5346518</v>
      </c>
      <c r="F16" s="698">
        <f>SUM(F10:F15)</f>
        <v>314216190.44461018</v>
      </c>
      <c r="G16" s="698">
        <f>SUM(G10:G15)</f>
        <v>170144387.19532266</v>
      </c>
      <c r="H16" s="698">
        <f>SUM(H10:H15)</f>
        <v>484360577.63993287</v>
      </c>
      <c r="I16" s="698">
        <f>SUM(I10:I15)</f>
        <v>168437514.2926667</v>
      </c>
      <c r="J16" s="698">
        <f t="shared" ref="J16:K16" si="4">SUM(J10:J15)</f>
        <v>61957477.973794714</v>
      </c>
      <c r="K16" s="698">
        <f t="shared" si="4"/>
        <v>230394992.26646143</v>
      </c>
    </row>
    <row r="17" spans="1:11">
      <c r="A17" s="194" t="s">
        <v>319</v>
      </c>
      <c r="B17" s="188"/>
      <c r="C17" s="694"/>
      <c r="D17" s="694"/>
      <c r="E17" s="694"/>
      <c r="F17" s="694"/>
      <c r="G17" s="694"/>
      <c r="H17" s="694"/>
      <c r="I17" s="694"/>
      <c r="J17" s="694"/>
      <c r="K17" s="695"/>
    </row>
    <row r="18" spans="1:11">
      <c r="A18" s="196">
        <v>9</v>
      </c>
      <c r="B18" s="173" t="s">
        <v>320</v>
      </c>
      <c r="C18" s="289">
        <v>0</v>
      </c>
      <c r="D18" s="692">
        <v>0</v>
      </c>
      <c r="E18" s="698">
        <f t="shared" ref="E18:E20" si="5">C18+D18</f>
        <v>0</v>
      </c>
      <c r="F18" s="692"/>
      <c r="G18" s="692"/>
      <c r="H18" s="698">
        <f t="shared" ref="H18:H20" si="6">F18+G18</f>
        <v>0</v>
      </c>
      <c r="I18" s="692"/>
      <c r="J18" s="692"/>
      <c r="K18" s="693">
        <f>I18+J18</f>
        <v>0</v>
      </c>
    </row>
    <row r="19" spans="1:11">
      <c r="A19" s="196">
        <v>10</v>
      </c>
      <c r="B19" s="173" t="s">
        <v>321</v>
      </c>
      <c r="C19" s="289">
        <v>2693273539.8793597</v>
      </c>
      <c r="D19" s="692">
        <v>321932304.22981107</v>
      </c>
      <c r="E19" s="698">
        <f t="shared" si="5"/>
        <v>3015205844.1091709</v>
      </c>
      <c r="F19" s="692">
        <v>55446544.929013245</v>
      </c>
      <c r="G19" s="692">
        <v>2974692.9665701725</v>
      </c>
      <c r="H19" s="698">
        <f t="shared" si="6"/>
        <v>58421237.895583421</v>
      </c>
      <c r="I19" s="692">
        <v>201606485.83241984</v>
      </c>
      <c r="J19" s="692">
        <v>165222449.16876784</v>
      </c>
      <c r="K19" s="693">
        <v>378625758.69646949</v>
      </c>
    </row>
    <row r="20" spans="1:11">
      <c r="A20" s="196">
        <v>11</v>
      </c>
      <c r="B20" s="173" t="s">
        <v>322</v>
      </c>
      <c r="C20" s="289">
        <v>118413.91208791213</v>
      </c>
      <c r="D20" s="692">
        <v>0</v>
      </c>
      <c r="E20" s="698">
        <f t="shared" si="5"/>
        <v>118413.91208791213</v>
      </c>
      <c r="F20" s="692">
        <v>107710.61538461536</v>
      </c>
      <c r="G20" s="692">
        <v>0</v>
      </c>
      <c r="H20" s="698">
        <f t="shared" si="6"/>
        <v>107710.61538461536</v>
      </c>
      <c r="I20" s="692">
        <v>107710.61538461536</v>
      </c>
      <c r="J20" s="692">
        <v>0</v>
      </c>
      <c r="K20" s="693">
        <v>286484.76111111091</v>
      </c>
    </row>
    <row r="21" spans="1:11" ht="14.4" thickBot="1">
      <c r="A21" s="120">
        <v>12</v>
      </c>
      <c r="B21" s="197" t="s">
        <v>323</v>
      </c>
      <c r="C21" s="696">
        <f>SUM(C18:C20)</f>
        <v>2693391953.7914476</v>
      </c>
      <c r="D21" s="696">
        <f t="shared" ref="D21:E21" si="7">SUM(D18:D20)</f>
        <v>321932304.22981107</v>
      </c>
      <c r="E21" s="699">
        <f t="shared" si="7"/>
        <v>3015324258.0212588</v>
      </c>
      <c r="F21" s="697">
        <f>SUM(F19:F20)</f>
        <v>55554255.544397861</v>
      </c>
      <c r="G21" s="697">
        <f>SUM(G19:G20)</f>
        <v>2974692.9665701725</v>
      </c>
      <c r="H21" s="700">
        <f>SUM(H18:H20)</f>
        <v>58528948.510968037</v>
      </c>
      <c r="I21" s="697">
        <f>SUM(I19:I20)</f>
        <v>201714196.44780445</v>
      </c>
      <c r="J21" s="697">
        <f>SUM(J19:J20)</f>
        <v>165222449.16876784</v>
      </c>
      <c r="K21" s="703">
        <f t="shared" ref="K21" si="8">I21+J21</f>
        <v>366936645.61657226</v>
      </c>
    </row>
    <row r="22" spans="1:11" ht="38.25" customHeight="1" thickBot="1">
      <c r="A22" s="185"/>
      <c r="B22" s="186"/>
      <c r="C22" s="186"/>
      <c r="D22" s="186"/>
      <c r="E22" s="186"/>
      <c r="F22" s="830" t="s">
        <v>324</v>
      </c>
      <c r="G22" s="831"/>
      <c r="H22" s="831"/>
      <c r="I22" s="830" t="s">
        <v>325</v>
      </c>
      <c r="J22" s="831"/>
      <c r="K22" s="832"/>
    </row>
    <row r="23" spans="1:11">
      <c r="A23" s="178">
        <v>13</v>
      </c>
      <c r="B23" s="175" t="s">
        <v>310</v>
      </c>
      <c r="C23" s="184"/>
      <c r="D23" s="184"/>
      <c r="E23" s="184"/>
      <c r="F23" s="704">
        <f>F8</f>
        <v>286541791.62923157</v>
      </c>
      <c r="G23" s="704">
        <f>G8</f>
        <v>267375453.88641354</v>
      </c>
      <c r="H23" s="705">
        <f>F23+G23</f>
        <v>553917245.51564515</v>
      </c>
      <c r="I23" s="704">
        <f>I8</f>
        <v>140381850.72582501</v>
      </c>
      <c r="J23" s="704">
        <f>J8</f>
        <v>105350781.53971021</v>
      </c>
      <c r="K23" s="712">
        <f>I23+J23</f>
        <v>245732632.26553524</v>
      </c>
    </row>
    <row r="24" spans="1:11" ht="14.4" thickBot="1">
      <c r="A24" s="179">
        <v>14</v>
      </c>
      <c r="B24" s="176" t="s">
        <v>326</v>
      </c>
      <c r="C24" s="198"/>
      <c r="D24" s="182"/>
      <c r="E24" s="183"/>
      <c r="F24" s="706">
        <f>MAX(F16-F21,F16*0.25)</f>
        <v>258661934.90021232</v>
      </c>
      <c r="G24" s="706">
        <f t="shared" ref="G24:H24" si="9">MAX(G16-G21,G16*0.25)</f>
        <v>167169694.22875249</v>
      </c>
      <c r="H24" s="706">
        <f t="shared" si="9"/>
        <v>425831629.12896484</v>
      </c>
      <c r="I24" s="706">
        <f>MAX(I16-I21,I16*0.25)</f>
        <v>42109378.573166676</v>
      </c>
      <c r="J24" s="706">
        <f t="shared" ref="J24:K24" si="10">MAX(J16-J21,J16*0.25)</f>
        <v>15489369.493448678</v>
      </c>
      <c r="K24" s="713">
        <f t="shared" si="10"/>
        <v>57598748.066615358</v>
      </c>
    </row>
    <row r="25" spans="1:11" ht="14.4" thickBot="1">
      <c r="A25" s="180">
        <v>15</v>
      </c>
      <c r="B25" s="177" t="s">
        <v>327</v>
      </c>
      <c r="C25" s="181"/>
      <c r="D25" s="181"/>
      <c r="E25" s="181"/>
      <c r="F25" s="707">
        <f t="shared" ref="F25:K25" si="11">F23/F24</f>
        <v>1.107784922972044</v>
      </c>
      <c r="G25" s="707">
        <f t="shared" si="11"/>
        <v>1.5994253929814635</v>
      </c>
      <c r="H25" s="707">
        <f t="shared" si="11"/>
        <v>1.3007893440153293</v>
      </c>
      <c r="I25" s="707">
        <f t="shared" si="11"/>
        <v>3.3337431109771924</v>
      </c>
      <c r="J25" s="707">
        <f t="shared" si="11"/>
        <v>6.8014893430148309</v>
      </c>
      <c r="K25" s="714">
        <f t="shared" si="11"/>
        <v>4.2662842598824398</v>
      </c>
    </row>
    <row r="28" spans="1:11" ht="41.4">
      <c r="B28" s="17" t="s">
        <v>371</v>
      </c>
    </row>
  </sheetData>
  <mergeCells count="6">
    <mergeCell ref="F22:H22"/>
    <mergeCell ref="I22:K22"/>
    <mergeCell ref="A5:B5"/>
    <mergeCell ref="C5:E5"/>
    <mergeCell ref="F5:H5"/>
    <mergeCell ref="I5:K5"/>
  </mergeCells>
  <pageMargins left="0.7" right="0.7" top="0.75" bottom="0.75" header="0.3" footer="0.3"/>
  <pageSetup paperSize="9" orientation="portrait" r:id="rId1"/>
  <ignoredErrors>
    <ignoredError sqref="H23" formula="1"/>
  </ignoredError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Q34"/>
  <sheetViews>
    <sheetView zoomScale="80" zoomScaleNormal="80" workbookViewId="0">
      <pane xSplit="1" ySplit="1" topLeftCell="D11" activePane="bottomRight" state="frozen"/>
      <selection pane="topRight" activeCell="B1" sqref="B1"/>
      <selection pane="bottomLeft" activeCell="A5" sqref="A5"/>
      <selection pane="bottomRight" activeCell="M19" sqref="M19:M21"/>
    </sheetView>
  </sheetViews>
  <sheetFormatPr defaultColWidth="9.21875" defaultRowHeight="13.8"/>
  <cols>
    <col min="1" max="1" width="10.5546875" style="30" bestFit="1" customWidth="1"/>
    <col min="2" max="2" width="95" style="30" customWidth="1"/>
    <col min="3" max="9" width="15" style="30" customWidth="1"/>
    <col min="10" max="14" width="18.5546875" style="30" customWidth="1"/>
    <col min="15" max="17" width="18.5546875" style="8" customWidth="1"/>
    <col min="18" max="16384" width="9.21875" style="8"/>
  </cols>
  <sheetData>
    <row r="1" spans="1:17">
      <c r="A1" s="12" t="s">
        <v>97</v>
      </c>
      <c r="B1" s="30">
        <f>[4]Info!C2</f>
        <v>0</v>
      </c>
    </row>
    <row r="2" spans="1:17">
      <c r="A2" s="30" t="s">
        <v>98</v>
      </c>
      <c r="B2" s="272">
        <f>'[4]1. key ratios'!B2</f>
        <v>45747</v>
      </c>
    </row>
    <row r="3" spans="1:17">
      <c r="B3" s="8"/>
      <c r="C3" s="8"/>
      <c r="D3" s="8"/>
      <c r="E3" s="8"/>
      <c r="F3" s="8"/>
      <c r="G3" s="8"/>
      <c r="H3" s="8"/>
      <c r="I3" s="8"/>
      <c r="J3" s="8"/>
      <c r="K3" s="8"/>
      <c r="L3" s="8"/>
      <c r="M3" s="8"/>
      <c r="N3" s="8"/>
    </row>
    <row r="4" spans="1:17" ht="14.4">
      <c r="B4" s="619" t="s">
        <v>979</v>
      </c>
      <c r="C4" s="8"/>
      <c r="D4" s="8"/>
      <c r="E4" s="8"/>
      <c r="F4" s="8"/>
      <c r="G4" s="8"/>
      <c r="H4" s="8"/>
      <c r="I4" s="8"/>
      <c r="J4" s="8"/>
      <c r="K4" s="8"/>
      <c r="L4" s="8"/>
      <c r="M4" s="8"/>
      <c r="N4" s="8"/>
    </row>
    <row r="5" spans="1:17" ht="86.4">
      <c r="B5" s="620" t="s">
        <v>980</v>
      </c>
      <c r="C5" s="621" t="s">
        <v>981</v>
      </c>
      <c r="D5" s="621" t="s">
        <v>982</v>
      </c>
      <c r="E5" s="621" t="s">
        <v>983</v>
      </c>
      <c r="F5" s="621" t="s">
        <v>984</v>
      </c>
      <c r="G5" s="621" t="s">
        <v>985</v>
      </c>
      <c r="H5" s="621" t="s">
        <v>986</v>
      </c>
      <c r="I5" s="622" t="s">
        <v>987</v>
      </c>
      <c r="J5" s="623">
        <v>0.02</v>
      </c>
      <c r="K5" s="623">
        <v>0.2</v>
      </c>
      <c r="L5" s="623">
        <v>0.35</v>
      </c>
      <c r="M5" s="623">
        <v>0.5</v>
      </c>
      <c r="N5" s="623">
        <v>0.75</v>
      </c>
      <c r="O5" s="623">
        <v>1</v>
      </c>
      <c r="P5" s="623">
        <v>1.5</v>
      </c>
      <c r="Q5" s="624" t="s">
        <v>73</v>
      </c>
    </row>
    <row r="6" spans="1:17" ht="14.4">
      <c r="B6" s="625"/>
      <c r="C6" s="591">
        <f>IF(C7&gt;0,C7,IF(C8&gt;0,C8,IF(C9&gt;0,C9)))</f>
        <v>403166940</v>
      </c>
      <c r="D6" s="591">
        <f>IF(D7&gt;0,D7,IF(D8&gt;0,D8,IF(D9&gt;0,D9,0)))</f>
        <v>0</v>
      </c>
      <c r="E6" s="591">
        <f>IF(E7&gt;0,E7,IF(E8&gt;0,E8,IF(E9&gt;0,E9,0)))</f>
        <v>0</v>
      </c>
      <c r="F6" s="591">
        <f>IF(F7&gt;0,F7,IF(F8&gt;0,F8,IF(F9&gt;0,F9,0)))</f>
        <v>0</v>
      </c>
      <c r="G6" s="591">
        <f>IF(G7&gt;0,G7,IF(G8&gt;0,G8,IF(G9&gt;0,G9,0)))</f>
        <v>3973429.9874048093</v>
      </c>
      <c r="H6" s="591"/>
      <c r="I6" s="591">
        <f t="shared" ref="I6:Q6" si="0">IF(I7&gt;0,I7,IF(I8&gt;0,I8,IF(I9&gt;0,I9)))</f>
        <v>5562801.9823667323</v>
      </c>
      <c r="J6" s="591">
        <f t="shared" ref="J6:P6" si="1">IF(J7&gt;0,J7,IF(J8&gt;0,J8,IF(J9&gt;0,J9,0)))</f>
        <v>0</v>
      </c>
      <c r="K6" s="591">
        <f t="shared" si="1"/>
        <v>0</v>
      </c>
      <c r="L6" s="591">
        <f t="shared" si="1"/>
        <v>0</v>
      </c>
      <c r="M6" s="591">
        <f t="shared" si="1"/>
        <v>1401223.6681773702</v>
      </c>
      <c r="N6" s="591">
        <f t="shared" si="1"/>
        <v>0</v>
      </c>
      <c r="O6" s="591">
        <f t="shared" si="1"/>
        <v>0</v>
      </c>
      <c r="P6" s="591">
        <f t="shared" si="1"/>
        <v>0</v>
      </c>
      <c r="Q6" s="591">
        <f t="shared" si="0"/>
        <v>700611.83408868511</v>
      </c>
    </row>
    <row r="7" spans="1:17" ht="14.4">
      <c r="B7" s="626" t="s">
        <v>975</v>
      </c>
      <c r="C7" s="591">
        <f t="shared" ref="C7:E9" si="2">C11+C15+C19+C23+C27+C31</f>
        <v>403166940</v>
      </c>
      <c r="D7" s="591">
        <f t="shared" si="2"/>
        <v>0</v>
      </c>
      <c r="E7" s="591">
        <f t="shared" si="2"/>
        <v>0</v>
      </c>
      <c r="F7" s="591">
        <f t="shared" ref="F7:G9" si="3">F11+F15+F19+F23+F27+F31</f>
        <v>0</v>
      </c>
      <c r="G7" s="591">
        <f t="shared" si="3"/>
        <v>3973429.9874048093</v>
      </c>
      <c r="H7" s="627">
        <v>1.4</v>
      </c>
      <c r="I7" s="628">
        <f t="shared" ref="I7:I33" si="4">(F7+G7)*H7</f>
        <v>5562801.9823667323</v>
      </c>
      <c r="J7" s="591">
        <f>J11+J15+J19+J23+J27+J31</f>
        <v>0</v>
      </c>
      <c r="K7" s="591">
        <f t="shared" ref="J7:P9" si="5">K11+K15+K19+K23+K27+K31</f>
        <v>0</v>
      </c>
      <c r="L7" s="591">
        <f t="shared" si="5"/>
        <v>0</v>
      </c>
      <c r="M7" s="591">
        <f t="shared" si="5"/>
        <v>1401223.6681773702</v>
      </c>
      <c r="N7" s="591">
        <f t="shared" si="5"/>
        <v>0</v>
      </c>
      <c r="O7" s="591">
        <f t="shared" si="5"/>
        <v>0</v>
      </c>
      <c r="P7" s="591">
        <f t="shared" si="5"/>
        <v>0</v>
      </c>
      <c r="Q7" s="591">
        <f>Q11+Q15+Q19+Q23+Q27+Q31</f>
        <v>700611.83408868511</v>
      </c>
    </row>
    <row r="8" spans="1:17" ht="14.4">
      <c r="B8" s="626" t="s">
        <v>976</v>
      </c>
      <c r="C8" s="591">
        <f t="shared" si="2"/>
        <v>403166940</v>
      </c>
      <c r="D8" s="591">
        <f t="shared" si="2"/>
        <v>0</v>
      </c>
      <c r="E8" s="591">
        <f t="shared" si="2"/>
        <v>0</v>
      </c>
      <c r="F8" s="591">
        <f t="shared" si="3"/>
        <v>0</v>
      </c>
      <c r="G8" s="591">
        <f t="shared" si="3"/>
        <v>16126677.600000001</v>
      </c>
      <c r="H8" s="627">
        <v>1.4</v>
      </c>
      <c r="I8" s="628">
        <f t="shared" si="4"/>
        <v>22577348.640000001</v>
      </c>
      <c r="J8" s="591">
        <f t="shared" si="5"/>
        <v>0</v>
      </c>
      <c r="K8" s="591">
        <f t="shared" si="5"/>
        <v>0</v>
      </c>
      <c r="L8" s="591">
        <f t="shared" si="5"/>
        <v>0</v>
      </c>
      <c r="M8" s="591">
        <f t="shared" si="5"/>
        <v>22577348.640000001</v>
      </c>
      <c r="N8" s="591">
        <f t="shared" si="5"/>
        <v>0</v>
      </c>
      <c r="O8" s="591">
        <f t="shared" si="5"/>
        <v>0</v>
      </c>
      <c r="P8" s="591">
        <f t="shared" si="5"/>
        <v>0</v>
      </c>
      <c r="Q8" s="591">
        <f>Q12+Q16+Q20+Q24+Q28+Q32</f>
        <v>11288674.32</v>
      </c>
    </row>
    <row r="9" spans="1:17" ht="14.4">
      <c r="B9" s="626" t="s">
        <v>977</v>
      </c>
      <c r="C9" s="591">
        <f t="shared" si="2"/>
        <v>403166940</v>
      </c>
      <c r="D9" s="591">
        <f t="shared" si="2"/>
        <v>0</v>
      </c>
      <c r="E9" s="591">
        <f t="shared" si="2"/>
        <v>0</v>
      </c>
      <c r="F9" s="591">
        <f t="shared" si="3"/>
        <v>0</v>
      </c>
      <c r="G9" s="591">
        <f t="shared" si="3"/>
        <v>16126680.394500008</v>
      </c>
      <c r="H9" s="627">
        <v>1.4</v>
      </c>
      <c r="I9" s="628">
        <f t="shared" si="4"/>
        <v>22577352.55230001</v>
      </c>
      <c r="J9" s="591">
        <f t="shared" si="5"/>
        <v>0</v>
      </c>
      <c r="K9" s="591">
        <f t="shared" si="5"/>
        <v>0</v>
      </c>
      <c r="L9" s="591">
        <f t="shared" si="5"/>
        <v>0</v>
      </c>
      <c r="M9" s="591">
        <f t="shared" si="5"/>
        <v>22577348.640000001</v>
      </c>
      <c r="N9" s="591">
        <f t="shared" si="5"/>
        <v>0</v>
      </c>
      <c r="O9" s="591">
        <f t="shared" si="5"/>
        <v>0</v>
      </c>
      <c r="P9" s="591">
        <f t="shared" si="5"/>
        <v>0</v>
      </c>
      <c r="Q9" s="591">
        <f t="shared" ref="Q9" si="6">Q13+Q17+Q21+Q25+Q29+Q33</f>
        <v>11288674.32</v>
      </c>
    </row>
    <row r="10" spans="1:17" ht="14.4">
      <c r="B10" s="629" t="s">
        <v>988</v>
      </c>
      <c r="C10" s="630"/>
      <c r="D10" s="630"/>
      <c r="E10" s="630"/>
      <c r="F10" s="630"/>
      <c r="G10" s="630"/>
      <c r="H10" s="627">
        <v>1.4</v>
      </c>
      <c r="I10" s="628">
        <f t="shared" si="4"/>
        <v>0</v>
      </c>
      <c r="J10" s="588"/>
      <c r="K10" s="588"/>
      <c r="L10" s="588"/>
      <c r="M10" s="588"/>
      <c r="N10" s="588"/>
      <c r="O10" s="588"/>
      <c r="P10" s="588"/>
      <c r="Q10" s="591">
        <f>SUM(Q11:Q13)</f>
        <v>0</v>
      </c>
    </row>
    <row r="11" spans="1:17" ht="14.4">
      <c r="B11" s="631" t="s">
        <v>975</v>
      </c>
      <c r="C11" s="630"/>
      <c r="D11" s="630"/>
      <c r="E11" s="630"/>
      <c r="F11" s="630"/>
      <c r="G11" s="630"/>
      <c r="H11" s="627">
        <v>1.4</v>
      </c>
      <c r="I11" s="628">
        <f t="shared" si="4"/>
        <v>0</v>
      </c>
      <c r="J11" s="588"/>
      <c r="K11" s="588"/>
      <c r="L11" s="588"/>
      <c r="M11" s="588"/>
      <c r="N11" s="588"/>
      <c r="O11" s="588"/>
      <c r="P11" s="588"/>
      <c r="Q11" s="591">
        <f>SUMPRODUCT($J$5:$P$5,J11:P11)</f>
        <v>0</v>
      </c>
    </row>
    <row r="12" spans="1:17" ht="14.4">
      <c r="B12" s="631" t="s">
        <v>976</v>
      </c>
      <c r="C12" s="630"/>
      <c r="D12" s="630"/>
      <c r="E12" s="630"/>
      <c r="F12" s="630"/>
      <c r="G12" s="630"/>
      <c r="H12" s="627">
        <v>1.4</v>
      </c>
      <c r="I12" s="628">
        <f t="shared" si="4"/>
        <v>0</v>
      </c>
      <c r="J12" s="588"/>
      <c r="K12" s="588"/>
      <c r="L12" s="588"/>
      <c r="M12" s="588"/>
      <c r="N12" s="588"/>
      <c r="O12" s="588"/>
      <c r="P12" s="588"/>
      <c r="Q12" s="591">
        <f t="shared" ref="Q12:Q13" si="7">SUMPRODUCT($J$5:$P$5,J12:P12)</f>
        <v>0</v>
      </c>
    </row>
    <row r="13" spans="1:17" ht="14.4">
      <c r="B13" s="631" t="s">
        <v>977</v>
      </c>
      <c r="C13" s="630"/>
      <c r="D13" s="630"/>
      <c r="E13" s="630"/>
      <c r="F13" s="630"/>
      <c r="G13" s="630"/>
      <c r="H13" s="627">
        <v>1.4</v>
      </c>
      <c r="I13" s="628">
        <f t="shared" si="4"/>
        <v>0</v>
      </c>
      <c r="J13" s="588"/>
      <c r="K13" s="588"/>
      <c r="L13" s="588"/>
      <c r="M13" s="588"/>
      <c r="N13" s="588"/>
      <c r="O13" s="588"/>
      <c r="P13" s="588"/>
      <c r="Q13" s="591">
        <f t="shared" si="7"/>
        <v>0</v>
      </c>
    </row>
    <row r="14" spans="1:17" ht="14.4">
      <c r="B14" s="629" t="s">
        <v>989</v>
      </c>
      <c r="C14" s="630"/>
      <c r="D14" s="630"/>
      <c r="E14" s="630"/>
      <c r="F14" s="630"/>
      <c r="G14" s="630"/>
      <c r="H14" s="627">
        <v>1.4</v>
      </c>
      <c r="I14" s="628">
        <f t="shared" si="4"/>
        <v>0</v>
      </c>
      <c r="J14" s="588"/>
      <c r="K14" s="588"/>
      <c r="L14" s="588"/>
      <c r="M14" s="588"/>
      <c r="N14" s="588"/>
      <c r="O14" s="588"/>
      <c r="P14" s="588"/>
      <c r="Q14" s="591">
        <f>SUM(Q15:Q17)</f>
        <v>0</v>
      </c>
    </row>
    <row r="15" spans="1:17" ht="14.4">
      <c r="B15" s="631" t="s">
        <v>975</v>
      </c>
      <c r="C15" s="630"/>
      <c r="D15" s="630"/>
      <c r="E15" s="630"/>
      <c r="F15" s="630"/>
      <c r="G15" s="630"/>
      <c r="H15" s="627">
        <v>1.4</v>
      </c>
      <c r="I15" s="628">
        <f t="shared" si="4"/>
        <v>0</v>
      </c>
      <c r="J15" s="588"/>
      <c r="K15" s="588"/>
      <c r="L15" s="588"/>
      <c r="M15" s="715"/>
      <c r="N15" s="588"/>
      <c r="O15" s="588"/>
      <c r="P15" s="588"/>
      <c r="Q15" s="591">
        <f>SUMPRODUCT($J$5:$P$5,J15:P15)</f>
        <v>0</v>
      </c>
    </row>
    <row r="16" spans="1:17" ht="14.4">
      <c r="B16" s="631" t="s">
        <v>976</v>
      </c>
      <c r="C16" s="630"/>
      <c r="D16" s="630"/>
      <c r="E16" s="630"/>
      <c r="F16" s="630"/>
      <c r="G16" s="630"/>
      <c r="H16" s="627">
        <v>1.4</v>
      </c>
      <c r="I16" s="628">
        <f t="shared" si="4"/>
        <v>0</v>
      </c>
      <c r="J16" s="588"/>
      <c r="K16" s="588"/>
      <c r="L16" s="588"/>
      <c r="M16" s="715"/>
      <c r="N16" s="588"/>
      <c r="O16" s="588"/>
      <c r="P16" s="588"/>
      <c r="Q16" s="591">
        <f t="shared" ref="Q16:Q17" si="8">SUMPRODUCT($J$5:$P$5,J16:P16)</f>
        <v>0</v>
      </c>
    </row>
    <row r="17" spans="2:17" ht="14.4">
      <c r="B17" s="631" t="s">
        <v>977</v>
      </c>
      <c r="C17" s="630"/>
      <c r="D17" s="630"/>
      <c r="E17" s="630"/>
      <c r="F17" s="630"/>
      <c r="G17" s="630"/>
      <c r="H17" s="627">
        <v>1.4</v>
      </c>
      <c r="I17" s="628">
        <f t="shared" si="4"/>
        <v>0</v>
      </c>
      <c r="J17" s="588"/>
      <c r="K17" s="588"/>
      <c r="L17" s="588"/>
      <c r="M17" s="715"/>
      <c r="N17" s="588"/>
      <c r="O17" s="588"/>
      <c r="P17" s="588"/>
      <c r="Q17" s="591">
        <f t="shared" si="8"/>
        <v>0</v>
      </c>
    </row>
    <row r="18" spans="2:17" ht="14.4">
      <c r="B18" s="629" t="s">
        <v>990</v>
      </c>
      <c r="C18" s="772">
        <f t="shared" ref="C18:F18" si="9">IF(C19&gt;0,C19,IF(C20&gt;0,C20,IF(C21&gt;0,C21,0)))</f>
        <v>403166940</v>
      </c>
      <c r="D18" s="772">
        <f t="shared" si="9"/>
        <v>0</v>
      </c>
      <c r="E18" s="772">
        <f t="shared" si="9"/>
        <v>0</v>
      </c>
      <c r="F18" s="772">
        <f t="shared" si="9"/>
        <v>0</v>
      </c>
      <c r="G18" s="772">
        <f>IF(G19&gt;0,G19,IF(G20&gt;0,G20,IF(G21&gt;0,G21,0)))</f>
        <v>3973429.9874048093</v>
      </c>
      <c r="H18" s="627">
        <v>1.4</v>
      </c>
      <c r="I18" s="628">
        <f t="shared" si="4"/>
        <v>5562801.9823667323</v>
      </c>
      <c r="J18" s="588"/>
      <c r="K18" s="588"/>
      <c r="L18" s="588"/>
      <c r="M18" s="588"/>
      <c r="N18" s="588"/>
      <c r="O18" s="588"/>
      <c r="P18" s="588"/>
      <c r="Q18" s="591">
        <f>SUM(Q19:Q21)</f>
        <v>23277960.474088684</v>
      </c>
    </row>
    <row r="19" spans="2:17" ht="14.4">
      <c r="B19" s="631" t="s">
        <v>975</v>
      </c>
      <c r="C19" s="630">
        <v>403166940</v>
      </c>
      <c r="D19" s="630">
        <v>0</v>
      </c>
      <c r="E19" s="630">
        <v>0</v>
      </c>
      <c r="F19" s="630">
        <v>0</v>
      </c>
      <c r="G19" s="630">
        <v>3973429.9874048093</v>
      </c>
      <c r="H19" s="627">
        <v>1.4</v>
      </c>
      <c r="I19" s="628">
        <f t="shared" si="4"/>
        <v>5562801.9823667323</v>
      </c>
      <c r="J19" s="588"/>
      <c r="K19" s="588"/>
      <c r="L19" s="588"/>
      <c r="M19" s="715">
        <v>1401223.6681773702</v>
      </c>
      <c r="N19" s="588"/>
      <c r="O19" s="588"/>
      <c r="P19" s="588"/>
      <c r="Q19" s="591">
        <f>SUMPRODUCT($J$5:$P$5,J19:P19)</f>
        <v>700611.83408868511</v>
      </c>
    </row>
    <row r="20" spans="2:17" ht="14.4">
      <c r="B20" s="631" t="s">
        <v>976</v>
      </c>
      <c r="C20" s="630">
        <v>403166940</v>
      </c>
      <c r="D20" s="630">
        <v>0</v>
      </c>
      <c r="E20" s="630">
        <v>0</v>
      </c>
      <c r="F20" s="630">
        <v>0</v>
      </c>
      <c r="G20" s="630">
        <v>16126677.600000001</v>
      </c>
      <c r="H20" s="627">
        <v>1.4</v>
      </c>
      <c r="I20" s="628">
        <f t="shared" si="4"/>
        <v>22577348.640000001</v>
      </c>
      <c r="J20" s="588"/>
      <c r="K20" s="588"/>
      <c r="L20" s="588"/>
      <c r="M20" s="715">
        <v>22577348.640000001</v>
      </c>
      <c r="N20" s="588"/>
      <c r="O20" s="588"/>
      <c r="P20" s="588"/>
      <c r="Q20" s="591">
        <f t="shared" ref="Q20:Q21" si="10">SUMPRODUCT($J$5:$P$5,J20:P20)</f>
        <v>11288674.32</v>
      </c>
    </row>
    <row r="21" spans="2:17" ht="14.4">
      <c r="B21" s="631" t="s">
        <v>977</v>
      </c>
      <c r="C21" s="630">
        <v>403166940</v>
      </c>
      <c r="D21" s="630">
        <v>0</v>
      </c>
      <c r="E21" s="630">
        <v>0</v>
      </c>
      <c r="F21" s="630">
        <v>0</v>
      </c>
      <c r="G21" s="630">
        <v>16126680.394500008</v>
      </c>
      <c r="H21" s="627">
        <v>1.4</v>
      </c>
      <c r="I21" s="628">
        <f t="shared" si="4"/>
        <v>22577352.55230001</v>
      </c>
      <c r="J21" s="588"/>
      <c r="K21" s="588"/>
      <c r="L21" s="588"/>
      <c r="M21" s="715">
        <v>22577348.640000001</v>
      </c>
      <c r="N21" s="588"/>
      <c r="O21" s="588"/>
      <c r="P21" s="588"/>
      <c r="Q21" s="591">
        <f t="shared" si="10"/>
        <v>11288674.32</v>
      </c>
    </row>
    <row r="22" spans="2:17" ht="14.4">
      <c r="B22" s="629" t="s">
        <v>991</v>
      </c>
      <c r="C22" s="630"/>
      <c r="D22" s="630"/>
      <c r="E22" s="630"/>
      <c r="F22" s="630"/>
      <c r="G22" s="630"/>
      <c r="H22" s="627">
        <v>1.4</v>
      </c>
      <c r="I22" s="628">
        <f t="shared" si="4"/>
        <v>0</v>
      </c>
      <c r="J22" s="588"/>
      <c r="K22" s="588"/>
      <c r="L22" s="588"/>
      <c r="M22" s="588"/>
      <c r="N22" s="588"/>
      <c r="O22" s="588"/>
      <c r="P22" s="588"/>
      <c r="Q22" s="591">
        <f>SUM(Q23:Q25)</f>
        <v>0</v>
      </c>
    </row>
    <row r="23" spans="2:17" ht="14.4">
      <c r="B23" s="631" t="s">
        <v>975</v>
      </c>
      <c r="C23" s="630"/>
      <c r="D23" s="630"/>
      <c r="E23" s="630"/>
      <c r="F23" s="630"/>
      <c r="G23" s="630"/>
      <c r="H23" s="627">
        <v>1.4</v>
      </c>
      <c r="I23" s="628">
        <f t="shared" si="4"/>
        <v>0</v>
      </c>
      <c r="J23" s="588"/>
      <c r="K23" s="588"/>
      <c r="L23" s="588"/>
      <c r="M23" s="588"/>
      <c r="N23" s="588"/>
      <c r="O23" s="588"/>
      <c r="P23" s="588"/>
      <c r="Q23" s="591">
        <f>SUMPRODUCT($J$5:$P$5,J23:P23)</f>
        <v>0</v>
      </c>
    </row>
    <row r="24" spans="2:17" ht="14.4">
      <c r="B24" s="631" t="s">
        <v>976</v>
      </c>
      <c r="C24" s="630"/>
      <c r="D24" s="630"/>
      <c r="E24" s="630"/>
      <c r="F24" s="630"/>
      <c r="G24" s="630"/>
      <c r="H24" s="627">
        <v>1.4</v>
      </c>
      <c r="I24" s="628">
        <f t="shared" si="4"/>
        <v>0</v>
      </c>
      <c r="J24" s="588"/>
      <c r="K24" s="588"/>
      <c r="L24" s="588"/>
      <c r="M24" s="588"/>
      <c r="N24" s="588"/>
      <c r="O24" s="588"/>
      <c r="P24" s="588"/>
      <c r="Q24" s="591">
        <f t="shared" ref="Q24:Q25" si="11">SUMPRODUCT($J$5:$P$5,J24:P24)</f>
        <v>0</v>
      </c>
    </row>
    <row r="25" spans="2:17" ht="14.4">
      <c r="B25" s="631" t="s">
        <v>977</v>
      </c>
      <c r="C25" s="630"/>
      <c r="D25" s="630"/>
      <c r="E25" s="630"/>
      <c r="F25" s="630"/>
      <c r="G25" s="630"/>
      <c r="H25" s="627">
        <v>1.4</v>
      </c>
      <c r="I25" s="628">
        <f t="shared" si="4"/>
        <v>0</v>
      </c>
      <c r="J25" s="588"/>
      <c r="K25" s="588"/>
      <c r="L25" s="588"/>
      <c r="M25" s="588"/>
      <c r="N25" s="588"/>
      <c r="O25" s="588"/>
      <c r="P25" s="588"/>
      <c r="Q25" s="591">
        <f t="shared" si="11"/>
        <v>0</v>
      </c>
    </row>
    <row r="26" spans="2:17" ht="14.4">
      <c r="B26" s="629" t="s">
        <v>992</v>
      </c>
      <c r="C26" s="630"/>
      <c r="D26" s="630"/>
      <c r="E26" s="630"/>
      <c r="F26" s="630"/>
      <c r="G26" s="630"/>
      <c r="H26" s="627">
        <v>1.4</v>
      </c>
      <c r="I26" s="628">
        <f t="shared" si="4"/>
        <v>0</v>
      </c>
      <c r="J26" s="588"/>
      <c r="K26" s="588"/>
      <c r="L26" s="588"/>
      <c r="M26" s="588"/>
      <c r="N26" s="588"/>
      <c r="O26" s="588"/>
      <c r="P26" s="588"/>
      <c r="Q26" s="591">
        <f>SUM(Q27:Q29)</f>
        <v>0</v>
      </c>
    </row>
    <row r="27" spans="2:17" ht="14.4">
      <c r="B27" s="631" t="s">
        <v>975</v>
      </c>
      <c r="C27" s="630"/>
      <c r="D27" s="630"/>
      <c r="E27" s="630"/>
      <c r="F27" s="630"/>
      <c r="G27" s="630"/>
      <c r="H27" s="627">
        <v>1.4</v>
      </c>
      <c r="I27" s="628">
        <f t="shared" si="4"/>
        <v>0</v>
      </c>
      <c r="J27" s="588"/>
      <c r="K27" s="588"/>
      <c r="L27" s="588"/>
      <c r="M27" s="588"/>
      <c r="N27" s="588"/>
      <c r="O27" s="588"/>
      <c r="P27" s="588"/>
      <c r="Q27" s="591">
        <f>SUMPRODUCT($J$5:$P$5,J27:P27)</f>
        <v>0</v>
      </c>
    </row>
    <row r="28" spans="2:17" ht="14.4">
      <c r="B28" s="631" t="s">
        <v>976</v>
      </c>
      <c r="C28" s="630"/>
      <c r="D28" s="630"/>
      <c r="E28" s="630"/>
      <c r="F28" s="630"/>
      <c r="G28" s="630"/>
      <c r="H28" s="627">
        <v>1.4</v>
      </c>
      <c r="I28" s="628">
        <f t="shared" si="4"/>
        <v>0</v>
      </c>
      <c r="J28" s="588"/>
      <c r="K28" s="588"/>
      <c r="L28" s="588"/>
      <c r="M28" s="588"/>
      <c r="N28" s="588"/>
      <c r="O28" s="588"/>
      <c r="P28" s="588"/>
      <c r="Q28" s="591">
        <f t="shared" ref="Q28:Q29" si="12">SUMPRODUCT($J$5:$P$5,J28:P28)</f>
        <v>0</v>
      </c>
    </row>
    <row r="29" spans="2:17" ht="14.4">
      <c r="B29" s="631" t="s">
        <v>977</v>
      </c>
      <c r="C29" s="630"/>
      <c r="D29" s="630"/>
      <c r="E29" s="630"/>
      <c r="F29" s="630"/>
      <c r="G29" s="630"/>
      <c r="H29" s="627">
        <v>1.4</v>
      </c>
      <c r="I29" s="628">
        <f t="shared" si="4"/>
        <v>0</v>
      </c>
      <c r="J29" s="588"/>
      <c r="K29" s="588"/>
      <c r="L29" s="588"/>
      <c r="M29" s="588"/>
      <c r="N29" s="588"/>
      <c r="O29" s="588"/>
      <c r="P29" s="588"/>
      <c r="Q29" s="591">
        <f t="shared" si="12"/>
        <v>0</v>
      </c>
    </row>
    <row r="30" spans="2:17" ht="14.4">
      <c r="B30" s="632" t="s">
        <v>993</v>
      </c>
      <c r="C30" s="630"/>
      <c r="D30" s="630"/>
      <c r="E30" s="630"/>
      <c r="F30" s="630"/>
      <c r="G30" s="630"/>
      <c r="H30" s="627">
        <v>1.4</v>
      </c>
      <c r="I30" s="628">
        <f t="shared" si="4"/>
        <v>0</v>
      </c>
      <c r="J30" s="588"/>
      <c r="K30" s="588"/>
      <c r="L30" s="588"/>
      <c r="M30" s="588"/>
      <c r="N30" s="588"/>
      <c r="O30" s="588"/>
      <c r="P30" s="588"/>
      <c r="Q30" s="591">
        <f>SUM(Q31:Q33)</f>
        <v>0</v>
      </c>
    </row>
    <row r="31" spans="2:17" ht="14.4">
      <c r="B31" s="631" t="s">
        <v>975</v>
      </c>
      <c r="C31" s="630"/>
      <c r="D31" s="630"/>
      <c r="E31" s="630"/>
      <c r="F31" s="630"/>
      <c r="G31" s="630"/>
      <c r="H31" s="627">
        <v>1.4</v>
      </c>
      <c r="I31" s="628">
        <f t="shared" si="4"/>
        <v>0</v>
      </c>
      <c r="J31" s="588"/>
      <c r="K31" s="588"/>
      <c r="L31" s="588"/>
      <c r="M31" s="588"/>
      <c r="N31" s="588"/>
      <c r="O31" s="588"/>
      <c r="P31" s="588"/>
      <c r="Q31" s="591">
        <f>SUMPRODUCT($J$5:$P$5,J31:P31)</f>
        <v>0</v>
      </c>
    </row>
    <row r="32" spans="2:17" ht="14.4">
      <c r="B32" s="631" t="s">
        <v>976</v>
      </c>
      <c r="C32" s="630"/>
      <c r="D32" s="630"/>
      <c r="E32" s="630"/>
      <c r="F32" s="630"/>
      <c r="G32" s="630"/>
      <c r="H32" s="627">
        <v>1.4</v>
      </c>
      <c r="I32" s="628">
        <f t="shared" si="4"/>
        <v>0</v>
      </c>
      <c r="J32" s="588"/>
      <c r="K32" s="588"/>
      <c r="L32" s="588"/>
      <c r="M32" s="588"/>
      <c r="N32" s="588"/>
      <c r="O32" s="588"/>
      <c r="P32" s="588"/>
      <c r="Q32" s="591">
        <f t="shared" ref="Q32:Q33" si="13">SUMPRODUCT($J$5:$P$5,J32:P32)</f>
        <v>0</v>
      </c>
    </row>
    <row r="33" spans="2:17" ht="14.4">
      <c r="B33" s="631" t="s">
        <v>977</v>
      </c>
      <c r="C33" s="630"/>
      <c r="D33" s="630"/>
      <c r="E33" s="630"/>
      <c r="F33" s="630"/>
      <c r="G33" s="630"/>
      <c r="H33" s="627">
        <v>1.4</v>
      </c>
      <c r="I33" s="628">
        <f t="shared" si="4"/>
        <v>0</v>
      </c>
      <c r="J33" s="588"/>
      <c r="K33" s="588"/>
      <c r="L33" s="588"/>
      <c r="M33" s="588"/>
      <c r="N33" s="588"/>
      <c r="O33" s="588"/>
      <c r="P33" s="588"/>
      <c r="Q33" s="591">
        <f t="shared" si="13"/>
        <v>0</v>
      </c>
    </row>
    <row r="34" spans="2:17" ht="14.4">
      <c r="B34" s="633" t="s">
        <v>66</v>
      </c>
      <c r="C34" s="634">
        <f>C6</f>
        <v>403166940</v>
      </c>
      <c r="D34" s="634">
        <f t="shared" ref="D34:G34" si="14">D6</f>
        <v>0</v>
      </c>
      <c r="E34" s="634">
        <f t="shared" si="14"/>
        <v>0</v>
      </c>
      <c r="F34" s="634">
        <f t="shared" si="14"/>
        <v>0</v>
      </c>
      <c r="G34" s="634">
        <f t="shared" si="14"/>
        <v>3973429.9874048093</v>
      </c>
      <c r="H34" s="627">
        <v>1.4</v>
      </c>
      <c r="I34" s="628">
        <f>(F34+G34)*H34</f>
        <v>5562801.9823667323</v>
      </c>
      <c r="J34" s="634">
        <f t="shared" ref="J34:Q34" si="15">J6</f>
        <v>0</v>
      </c>
      <c r="K34" s="634">
        <f t="shared" si="15"/>
        <v>0</v>
      </c>
      <c r="L34" s="634">
        <f t="shared" si="15"/>
        <v>0</v>
      </c>
      <c r="M34" s="634">
        <f t="shared" si="15"/>
        <v>1401223.6681773702</v>
      </c>
      <c r="N34" s="634">
        <f t="shared" si="15"/>
        <v>0</v>
      </c>
      <c r="O34" s="634">
        <f t="shared" si="15"/>
        <v>0</v>
      </c>
      <c r="P34" s="634">
        <f t="shared" si="15"/>
        <v>0</v>
      </c>
      <c r="Q34" s="634">
        <f t="shared" si="15"/>
        <v>700611.83408868511</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I53"/>
  <sheetViews>
    <sheetView tabSelected="1" zoomScale="90" zoomScaleNormal="90" workbookViewId="0">
      <pane xSplit="1" ySplit="5" topLeftCell="B37" activePane="bottomRight" state="frozen"/>
      <selection pane="topRight" activeCell="B1" sqref="B1"/>
      <selection pane="bottomLeft" activeCell="A6" sqref="A6"/>
      <selection pane="bottomRight" activeCell="C48" sqref="C48:C50"/>
    </sheetView>
  </sheetViews>
  <sheetFormatPr defaultRowHeight="14.4"/>
  <cols>
    <col min="1" max="1" width="9.5546875" style="14" bestFit="1" customWidth="1"/>
    <col min="2" max="2" width="88.33203125" style="12" customWidth="1"/>
    <col min="3" max="3" width="12.77734375" style="12" customWidth="1"/>
    <col min="4" max="7" width="12.77734375" style="1" customWidth="1"/>
    <col min="8" max="8" width="6.77734375" customWidth="1"/>
    <col min="9" max="9" width="17.77734375" bestFit="1" customWidth="1"/>
  </cols>
  <sheetData>
    <row r="1" spans="1:9">
      <c r="A1" s="13" t="s">
        <v>97</v>
      </c>
      <c r="B1" s="244" t="str">
        <f>Info!C2</f>
        <v>სს "კრედო ბანკი"</v>
      </c>
    </row>
    <row r="2" spans="1:9">
      <c r="A2" s="13" t="s">
        <v>98</v>
      </c>
      <c r="B2" s="272">
        <v>46203</v>
      </c>
    </row>
    <row r="3" spans="1:9" ht="15" thickBot="1">
      <c r="A3" s="13"/>
    </row>
    <row r="4" spans="1:9" ht="15" customHeight="1" thickBot="1">
      <c r="A4" s="31" t="s">
        <v>241</v>
      </c>
      <c r="B4" s="113" t="s">
        <v>128</v>
      </c>
      <c r="C4" s="114"/>
      <c r="D4" s="774" t="s">
        <v>903</v>
      </c>
      <c r="E4" s="775"/>
      <c r="F4" s="775"/>
      <c r="G4" s="776"/>
    </row>
    <row r="5" spans="1:9">
      <c r="A5" s="168" t="s">
        <v>25</v>
      </c>
      <c r="B5" s="169"/>
      <c r="C5" s="261" t="str">
        <f>INT((MONTH($B$2))/3)&amp;"Q"&amp;"-"&amp;YEAR($B$2)</f>
        <v>2Q-2026</v>
      </c>
      <c r="D5" s="261" t="str">
        <f>IF(INT(MONTH($B$2))=3, "4"&amp;"Q"&amp;"-"&amp;YEAR($B$2)-1, IF(INT(MONTH($B$2))=6, "1"&amp;"Q"&amp;"-"&amp;YEAR($B$2), IF(INT(MONTH($B$2))=9, "2"&amp;"Q"&amp;"-"&amp;YEAR($B$2),IF(INT(MONTH($B$2))=12, "3"&amp;"Q"&amp;"-"&amp;YEAR($B$2), 0))))</f>
        <v>1Q-2026</v>
      </c>
      <c r="E5" s="261" t="str">
        <f>IF(INT(MONTH($B$2))=3, "3"&amp;"Q"&amp;"-"&amp;YEAR($B$2)-1, IF(INT(MONTH($B$2))=6, "4"&amp;"Q"&amp;"-"&amp;YEAR($B$2)-1, IF(INT(MONTH($B$2))=9, "1"&amp;"Q"&amp;"-"&amp;YEAR($B$2),IF(INT(MONTH($B$2))=12, "2"&amp;"Q"&amp;"-"&amp;YEAR($B$2), 0))))</f>
        <v>4Q-2025</v>
      </c>
      <c r="F5" s="261" t="str">
        <f>IF(INT(MONTH($B$2))=3, "2"&amp;"Q"&amp;"-"&amp;YEAR($B$2)-1, IF(INT(MONTH($B$2))=6, "3"&amp;"Q"&amp;"-"&amp;YEAR($B$2)-1, IF(INT(MONTH($B$2))=9, "4"&amp;"Q"&amp;"-"&amp;YEAR($B$2)-1,IF(INT(MONTH($B$2))=12, "1"&amp;"Q"&amp;"-"&amp;YEAR($B$2), 0))))</f>
        <v>3Q-2025</v>
      </c>
      <c r="G5" s="262" t="str">
        <f>IF(INT(MONTH($B$2))=3, "1"&amp;"Q"&amp;"-"&amp;YEAR($B$2)-1, IF(INT(MONTH($B$2))=6, "2"&amp;"Q"&amp;"-"&amp;YEAR($B$2)-1, IF(INT(MONTH($B$2))=9, "3"&amp;"Q"&amp;"-"&amp;YEAR($B$2)-1,IF(INT(MONTH($B$2))=12, "4"&amp;"Q"&amp;"-"&amp;YEAR($B$2)-1, 0))))</f>
        <v>2Q-2025</v>
      </c>
    </row>
    <row r="6" spans="1:9">
      <c r="A6" s="263"/>
      <c r="B6" s="264" t="s">
        <v>95</v>
      </c>
      <c r="C6" s="170"/>
      <c r="D6" s="170"/>
      <c r="E6" s="170"/>
      <c r="F6" s="170"/>
      <c r="G6" s="171"/>
    </row>
    <row r="7" spans="1:9">
      <c r="A7" s="263"/>
      <c r="B7" s="265" t="s">
        <v>99</v>
      </c>
      <c r="C7" s="170"/>
      <c r="D7" s="170"/>
      <c r="E7" s="170"/>
      <c r="F7" s="170"/>
      <c r="G7" s="171"/>
    </row>
    <row r="8" spans="1:9">
      <c r="A8" s="248">
        <v>1</v>
      </c>
      <c r="B8" s="249" t="s">
        <v>22</v>
      </c>
      <c r="C8" s="266">
        <v>481097804.19858325</v>
      </c>
      <c r="D8" s="636">
        <v>456168662.88602871</v>
      </c>
      <c r="E8" s="637">
        <v>432248676.96000004</v>
      </c>
      <c r="F8" s="637">
        <v>407515510.73331797</v>
      </c>
      <c r="G8" s="637">
        <v>387976547.78696764</v>
      </c>
      <c r="I8" s="769"/>
    </row>
    <row r="9" spans="1:9">
      <c r="A9" s="248">
        <v>2</v>
      </c>
      <c r="B9" s="249" t="s">
        <v>75</v>
      </c>
      <c r="C9" s="266">
        <v>507550804.19858325</v>
      </c>
      <c r="D9" s="636">
        <v>483166662.88602871</v>
      </c>
      <c r="E9" s="637">
        <v>459199676.96000004</v>
      </c>
      <c r="F9" s="637">
        <v>421059510.73331797</v>
      </c>
      <c r="G9" s="637">
        <v>401594547.78696764</v>
      </c>
      <c r="I9" s="769"/>
    </row>
    <row r="10" spans="1:9">
      <c r="A10" s="248">
        <v>3</v>
      </c>
      <c r="B10" s="249" t="s">
        <v>74</v>
      </c>
      <c r="C10" s="266">
        <v>639966137.95858324</v>
      </c>
      <c r="D10" s="636">
        <v>614574202.24602866</v>
      </c>
      <c r="E10" s="637">
        <v>594972117.72000003</v>
      </c>
      <c r="F10" s="637">
        <v>530617084.17331797</v>
      </c>
      <c r="G10" s="637">
        <v>497794876.50696766</v>
      </c>
      <c r="I10" s="769"/>
    </row>
    <row r="11" spans="1:9">
      <c r="A11" s="248">
        <v>4</v>
      </c>
      <c r="B11" s="249" t="s">
        <v>414</v>
      </c>
      <c r="C11" s="266">
        <v>413268358.03534567</v>
      </c>
      <c r="D11" s="636">
        <v>398417788.69644535</v>
      </c>
      <c r="E11" s="637">
        <v>379674052</v>
      </c>
      <c r="F11" s="637">
        <v>345466510.85021144</v>
      </c>
      <c r="G11" s="637">
        <v>327030586.23934674</v>
      </c>
      <c r="I11" s="769"/>
    </row>
    <row r="12" spans="1:9">
      <c r="A12" s="248">
        <v>5</v>
      </c>
      <c r="B12" s="249" t="s">
        <v>415</v>
      </c>
      <c r="C12" s="266">
        <v>486480720.37115717</v>
      </c>
      <c r="D12" s="636">
        <v>468600756.46254843</v>
      </c>
      <c r="E12" s="637">
        <v>447887027</v>
      </c>
      <c r="F12" s="637">
        <v>408077160.59795773</v>
      </c>
      <c r="G12" s="637">
        <v>386528799.39315224</v>
      </c>
      <c r="I12" s="769"/>
    </row>
    <row r="13" spans="1:9">
      <c r="A13" s="248">
        <v>6</v>
      </c>
      <c r="B13" s="249" t="s">
        <v>416</v>
      </c>
      <c r="C13" s="266">
        <v>583732919.14644957</v>
      </c>
      <c r="D13" s="636">
        <v>561828822.53248727</v>
      </c>
      <c r="E13" s="637">
        <v>538498131</v>
      </c>
      <c r="F13" s="637">
        <v>491246186.88958108</v>
      </c>
      <c r="G13" s="637">
        <v>465563738.1031093</v>
      </c>
      <c r="I13" s="769"/>
    </row>
    <row r="14" spans="1:9">
      <c r="A14" s="263"/>
      <c r="B14" s="264" t="s">
        <v>418</v>
      </c>
      <c r="C14" s="170"/>
      <c r="D14" s="170"/>
      <c r="E14" s="170"/>
      <c r="F14" s="170"/>
      <c r="G14" s="170"/>
      <c r="I14" s="769"/>
    </row>
    <row r="15" spans="1:9" ht="22.05" customHeight="1">
      <c r="A15" s="248">
        <v>7</v>
      </c>
      <c r="B15" s="249" t="s">
        <v>417</v>
      </c>
      <c r="C15" s="267">
        <v>3496543667.0534105</v>
      </c>
      <c r="D15" s="638">
        <v>3351812235.2523594</v>
      </c>
      <c r="E15" s="637">
        <v>3257318056.8187075</v>
      </c>
      <c r="F15" s="637">
        <v>2989051169.4370937</v>
      </c>
      <c r="G15" s="637">
        <v>2841701328.8094139</v>
      </c>
      <c r="I15" s="769"/>
    </row>
    <row r="16" spans="1:9">
      <c r="A16" s="263"/>
      <c r="B16" s="264" t="s">
        <v>421</v>
      </c>
      <c r="C16" s="170"/>
      <c r="D16" s="170"/>
      <c r="E16" s="170"/>
      <c r="F16" s="170"/>
      <c r="G16" s="170"/>
    </row>
    <row r="17" spans="1:9">
      <c r="A17" s="248"/>
      <c r="B17" s="265" t="s">
        <v>966</v>
      </c>
      <c r="C17" s="170"/>
      <c r="D17" s="170"/>
      <c r="E17" s="170"/>
      <c r="F17" s="170"/>
      <c r="G17" s="170"/>
    </row>
    <row r="18" spans="1:9">
      <c r="A18" s="248">
        <v>8</v>
      </c>
      <c r="B18" s="249" t="s">
        <v>412</v>
      </c>
      <c r="C18" s="273">
        <v>0.13759239123245715</v>
      </c>
      <c r="D18" s="273">
        <v>0.13609612677235292</v>
      </c>
      <c r="E18" s="639">
        <v>0.13270078924443751</v>
      </c>
      <c r="F18" s="640">
        <v>0.13633607711374923</v>
      </c>
      <c r="G18" s="640">
        <v>0.13652967110006525</v>
      </c>
      <c r="I18" s="770"/>
    </row>
    <row r="19" spans="1:9" ht="15" customHeight="1">
      <c r="A19" s="248">
        <v>9</v>
      </c>
      <c r="B19" s="249" t="s">
        <v>411</v>
      </c>
      <c r="C19" s="273">
        <v>0.14515786231444491</v>
      </c>
      <c r="D19" s="273">
        <v>0.14415087390766412</v>
      </c>
      <c r="E19" s="639">
        <v>0.14097477401653619</v>
      </c>
      <c r="F19" s="640">
        <v>0.14086728090794545</v>
      </c>
      <c r="G19" s="640">
        <v>0.14132187071018595</v>
      </c>
      <c r="I19" s="770"/>
    </row>
    <row r="20" spans="1:9">
      <c r="A20" s="248">
        <v>10</v>
      </c>
      <c r="B20" s="249" t="s">
        <v>413</v>
      </c>
      <c r="C20" s="273">
        <v>0.18302821268578415</v>
      </c>
      <c r="D20" s="273">
        <v>0.18335579653964629</v>
      </c>
      <c r="E20" s="639">
        <v>0.18265705323878798</v>
      </c>
      <c r="F20" s="640">
        <v>0.17752024107143177</v>
      </c>
      <c r="G20" s="640">
        <v>0.17517494588902788</v>
      </c>
      <c r="I20" s="770"/>
    </row>
    <row r="21" spans="1:9">
      <c r="A21" s="248">
        <v>11</v>
      </c>
      <c r="B21" s="249" t="s">
        <v>414</v>
      </c>
      <c r="C21" s="273">
        <v>0.118193392500547</v>
      </c>
      <c r="D21" s="273">
        <v>0.11886638055262314</v>
      </c>
      <c r="E21" s="639">
        <v>0.11656032520533549</v>
      </c>
      <c r="F21" s="640">
        <v>0.11557731576581563</v>
      </c>
      <c r="G21" s="640">
        <v>0.11508267351106971</v>
      </c>
      <c r="I21" s="770"/>
    </row>
    <row r="22" spans="1:9">
      <c r="A22" s="248">
        <v>12</v>
      </c>
      <c r="B22" s="249" t="s">
        <v>415</v>
      </c>
      <c r="C22" s="273">
        <v>0.13913188757088274</v>
      </c>
      <c r="D22" s="273">
        <v>0.13980519300397723</v>
      </c>
      <c r="E22" s="639">
        <v>0.13750177882151102</v>
      </c>
      <c r="F22" s="640">
        <v>0.13652397950578007</v>
      </c>
      <c r="G22" s="640">
        <v>0.13602020573889656</v>
      </c>
      <c r="I22" s="770"/>
    </row>
    <row r="23" spans="1:9">
      <c r="A23" s="248">
        <v>13</v>
      </c>
      <c r="B23" s="249" t="s">
        <v>416</v>
      </c>
      <c r="C23" s="273">
        <v>0.16694569687395611</v>
      </c>
      <c r="D23" s="273">
        <v>0.16761941991365364</v>
      </c>
      <c r="E23" s="639">
        <v>0.16531948112120487</v>
      </c>
      <c r="F23" s="640">
        <v>0.16434853705836489</v>
      </c>
      <c r="G23" s="640">
        <v>0.16383274814393189</v>
      </c>
      <c r="I23" s="770"/>
    </row>
    <row r="24" spans="1:9">
      <c r="A24" s="263"/>
      <c r="B24" s="264" t="s">
        <v>951</v>
      </c>
      <c r="C24" s="170"/>
      <c r="D24" s="170"/>
      <c r="E24" s="170"/>
      <c r="F24" s="170"/>
      <c r="G24" s="170"/>
    </row>
    <row r="25" spans="1:9" ht="27.6">
      <c r="A25" s="248">
        <v>14</v>
      </c>
      <c r="B25" s="249" t="s">
        <v>952</v>
      </c>
      <c r="C25" s="671"/>
      <c r="D25" s="641"/>
      <c r="E25" s="642"/>
      <c r="F25" s="642"/>
      <c r="G25" s="642"/>
    </row>
    <row r="26" spans="1:9">
      <c r="A26" s="263"/>
      <c r="B26" s="264" t="s">
        <v>6</v>
      </c>
      <c r="C26" s="170"/>
      <c r="D26" s="170"/>
      <c r="E26" s="170"/>
      <c r="F26" s="170"/>
      <c r="G26" s="170"/>
    </row>
    <row r="27" spans="1:9" ht="15" customHeight="1">
      <c r="A27" s="268">
        <v>15</v>
      </c>
      <c r="B27" s="269" t="s">
        <v>7</v>
      </c>
      <c r="C27" s="672">
        <v>0.1799898533007252</v>
      </c>
      <c r="D27" s="643">
        <v>0.17915584245788729</v>
      </c>
      <c r="E27" s="644">
        <v>0.189347410562761</v>
      </c>
      <c r="F27" s="644">
        <v>0.19100533529945291</v>
      </c>
      <c r="G27" s="644">
        <v>0.19332707095256682</v>
      </c>
      <c r="I27" s="770"/>
    </row>
    <row r="28" spans="1:9">
      <c r="A28" s="268">
        <v>16</v>
      </c>
      <c r="B28" s="269" t="s">
        <v>8</v>
      </c>
      <c r="C28" s="672">
        <v>7.6901382003383784E-2</v>
      </c>
      <c r="D28" s="643">
        <v>7.7440005032993267E-2</v>
      </c>
      <c r="E28" s="644">
        <v>7.8047299655896366E-2</v>
      </c>
      <c r="F28" s="644">
        <v>7.7992364859775773E-2</v>
      </c>
      <c r="G28" s="644">
        <v>7.7003161677604293E-2</v>
      </c>
      <c r="I28" s="770"/>
    </row>
    <row r="29" spans="1:9">
      <c r="A29" s="268">
        <v>17</v>
      </c>
      <c r="B29" s="269" t="s">
        <v>9</v>
      </c>
      <c r="C29" s="672">
        <v>5.6370808178615582E-2</v>
      </c>
      <c r="D29" s="643">
        <v>5.4983824622513763E-2</v>
      </c>
      <c r="E29" s="644">
        <v>6.2640050920558868E-2</v>
      </c>
      <c r="F29" s="644">
        <v>6.4543190408098985E-2</v>
      </c>
      <c r="G29" s="644">
        <v>6.6764903738628034E-2</v>
      </c>
      <c r="I29" s="770"/>
    </row>
    <row r="30" spans="1:9">
      <c r="A30" s="268">
        <v>18</v>
      </c>
      <c r="B30" s="269" t="s">
        <v>129</v>
      </c>
      <c r="C30" s="672">
        <v>0.10308847129734142</v>
      </c>
      <c r="D30" s="643">
        <v>0.10171583742489404</v>
      </c>
      <c r="E30" s="644">
        <v>0.11129858693752</v>
      </c>
      <c r="F30" s="644">
        <v>0.11301297043967715</v>
      </c>
      <c r="G30" s="644">
        <v>0.11632390927496254</v>
      </c>
      <c r="I30" s="770"/>
    </row>
    <row r="31" spans="1:9">
      <c r="A31" s="268">
        <v>19</v>
      </c>
      <c r="B31" s="269" t="s">
        <v>10</v>
      </c>
      <c r="C31" s="672">
        <v>2.2175010894641529E-2</v>
      </c>
      <c r="D31" s="643">
        <v>2.1483672197433367E-2</v>
      </c>
      <c r="E31" s="644">
        <v>2.728001582412631E-2</v>
      </c>
      <c r="F31" s="644">
        <v>2.6117410182600317E-2</v>
      </c>
      <c r="G31" s="644">
        <v>2.5639697424846935E-2</v>
      </c>
      <c r="I31" s="770"/>
    </row>
    <row r="32" spans="1:9">
      <c r="A32" s="268">
        <v>20</v>
      </c>
      <c r="B32" s="269" t="s">
        <v>11</v>
      </c>
      <c r="C32" s="672">
        <v>0.17780135335118094</v>
      </c>
      <c r="D32" s="643">
        <v>0.1727271854648729</v>
      </c>
      <c r="E32" s="644">
        <v>0.21964725003694974</v>
      </c>
      <c r="F32" s="644">
        <v>0.20998718927537352</v>
      </c>
      <c r="G32" s="644">
        <v>0.20571416277916466</v>
      </c>
      <c r="I32" s="770"/>
    </row>
    <row r="33" spans="1:9">
      <c r="A33" s="263"/>
      <c r="B33" s="264" t="s">
        <v>12</v>
      </c>
      <c r="C33" s="170"/>
      <c r="D33" s="170"/>
      <c r="E33" s="170"/>
      <c r="F33" s="170"/>
      <c r="G33" s="170"/>
      <c r="I33" s="770"/>
    </row>
    <row r="34" spans="1:9">
      <c r="A34" s="268">
        <v>21</v>
      </c>
      <c r="B34" s="269" t="s">
        <v>13</v>
      </c>
      <c r="C34" s="672">
        <v>9.4104154242786384E-3</v>
      </c>
      <c r="D34" s="672">
        <v>7.9923221240031442E-3</v>
      </c>
      <c r="E34" s="643">
        <v>7.4721110846397215E-3</v>
      </c>
      <c r="F34" s="644">
        <v>8.8900369474808651E-3</v>
      </c>
      <c r="G34" s="644">
        <v>9.6304963828985814E-3</v>
      </c>
      <c r="I34" s="770"/>
    </row>
    <row r="35" spans="1:9" ht="15" customHeight="1">
      <c r="A35" s="268">
        <v>22</v>
      </c>
      <c r="B35" s="269" t="s">
        <v>916</v>
      </c>
      <c r="C35" s="672">
        <v>2.4208277892566341E-2</v>
      </c>
      <c r="D35" s="672">
        <v>2.3150109138095544E-2</v>
      </c>
      <c r="E35" s="643">
        <v>2.1710368413580514E-2</v>
      </c>
      <c r="F35" s="644">
        <v>2.3854461028989898E-2</v>
      </c>
      <c r="G35" s="644">
        <v>2.4218495933569111E-2</v>
      </c>
      <c r="I35" s="770"/>
    </row>
    <row r="36" spans="1:9">
      <c r="A36" s="268">
        <v>23</v>
      </c>
      <c r="B36" s="269" t="s">
        <v>14</v>
      </c>
      <c r="C36" s="672">
        <v>0.10314743783438556</v>
      </c>
      <c r="D36" s="672">
        <v>0.1047112292548965</v>
      </c>
      <c r="E36" s="643">
        <v>0.10553754595913843</v>
      </c>
      <c r="F36" s="644">
        <v>0.10483005715849104</v>
      </c>
      <c r="G36" s="644">
        <v>0.10202260530010368</v>
      </c>
      <c r="I36" s="770"/>
    </row>
    <row r="37" spans="1:9" ht="15" customHeight="1">
      <c r="A37" s="268">
        <v>24</v>
      </c>
      <c r="B37" s="269" t="s">
        <v>15</v>
      </c>
      <c r="C37" s="672">
        <v>0.14770805606963908</v>
      </c>
      <c r="D37" s="672">
        <v>0.1636524434755938</v>
      </c>
      <c r="E37" s="643">
        <v>0.15385412238763405</v>
      </c>
      <c r="F37" s="644">
        <v>0.16560729840761365</v>
      </c>
      <c r="G37" s="644">
        <v>0.1421135265673365</v>
      </c>
      <c r="I37" s="770"/>
    </row>
    <row r="38" spans="1:9">
      <c r="A38" s="268">
        <v>25</v>
      </c>
      <c r="B38" s="269" t="s">
        <v>16</v>
      </c>
      <c r="C38" s="672">
        <v>9.1932779081674409E-2</v>
      </c>
      <c r="D38" s="672">
        <v>3.4499278466451511E-2</v>
      </c>
      <c r="E38" s="643">
        <v>0.23448532266881417</v>
      </c>
      <c r="F38" s="644">
        <v>0.15105222642033289</v>
      </c>
      <c r="G38" s="644">
        <v>9.1649319680043195E-2</v>
      </c>
      <c r="I38" s="770"/>
    </row>
    <row r="39" spans="1:9" ht="15" customHeight="1">
      <c r="A39" s="263"/>
      <c r="B39" s="264" t="s">
        <v>17</v>
      </c>
      <c r="C39" s="170"/>
      <c r="D39" s="170"/>
      <c r="E39" s="170"/>
      <c r="F39" s="170"/>
      <c r="G39" s="170"/>
      <c r="I39" s="770"/>
    </row>
    <row r="40" spans="1:9" ht="15" customHeight="1">
      <c r="A40" s="268">
        <v>26</v>
      </c>
      <c r="B40" s="269" t="s">
        <v>18</v>
      </c>
      <c r="C40" s="709">
        <v>0.11525926916778562</v>
      </c>
      <c r="D40" s="643">
        <v>0.11046786845041665</v>
      </c>
      <c r="E40" s="643">
        <v>0.13255580313065779</v>
      </c>
      <c r="F40" s="643">
        <v>0.11610159083557653</v>
      </c>
      <c r="G40" s="643">
        <v>0.12607274742867008</v>
      </c>
      <c r="I40" s="770"/>
    </row>
    <row r="41" spans="1:9" ht="15" customHeight="1">
      <c r="A41" s="268">
        <v>27</v>
      </c>
      <c r="B41" s="269" t="s">
        <v>19</v>
      </c>
      <c r="C41" s="672">
        <v>0.27618535024985064</v>
      </c>
      <c r="D41" s="643">
        <v>0.29386809601774244</v>
      </c>
      <c r="E41" s="643">
        <v>0.29472987017321994</v>
      </c>
      <c r="F41" s="643">
        <v>0.27861079501586511</v>
      </c>
      <c r="G41" s="643">
        <v>0.29363022332181665</v>
      </c>
      <c r="I41" s="770"/>
    </row>
    <row r="42" spans="1:9" ht="15" customHeight="1">
      <c r="A42" s="268">
        <v>28</v>
      </c>
      <c r="B42" s="270" t="s">
        <v>20</v>
      </c>
      <c r="C42" s="672">
        <v>0.13051024722040508</v>
      </c>
      <c r="D42" s="643">
        <v>0.13009080712677226</v>
      </c>
      <c r="E42" s="643">
        <v>0.13029340827766825</v>
      </c>
      <c r="F42" s="643">
        <v>0.1260631759024764</v>
      </c>
      <c r="G42" s="643">
        <v>0.11679645504787096</v>
      </c>
      <c r="I42" s="770"/>
    </row>
    <row r="43" spans="1:9" ht="15" customHeight="1">
      <c r="A43" s="271"/>
      <c r="B43" s="264" t="s">
        <v>344</v>
      </c>
      <c r="C43" s="170"/>
      <c r="D43" s="170"/>
      <c r="E43" s="170"/>
      <c r="F43" s="170"/>
      <c r="G43" s="170"/>
    </row>
    <row r="44" spans="1:9" ht="15" customHeight="1">
      <c r="A44" s="268">
        <v>29</v>
      </c>
      <c r="B44" s="310" t="s">
        <v>328</v>
      </c>
      <c r="C44" s="708">
        <v>553917245.51564515</v>
      </c>
      <c r="D44" s="708">
        <v>579899865.21368909</v>
      </c>
      <c r="E44" s="645">
        <v>545781804.70498872</v>
      </c>
      <c r="F44" s="646">
        <v>512120895.02282596</v>
      </c>
      <c r="G44" s="646">
        <v>424668688.78186804</v>
      </c>
      <c r="I44" s="769"/>
    </row>
    <row r="45" spans="1:9">
      <c r="A45" s="268">
        <v>30</v>
      </c>
      <c r="B45" s="269" t="s">
        <v>329</v>
      </c>
      <c r="C45" s="708">
        <v>425831629.12896484</v>
      </c>
      <c r="D45" s="708">
        <v>395271949.79498959</v>
      </c>
      <c r="E45" s="645">
        <v>344821573.04741859</v>
      </c>
      <c r="F45" s="647">
        <v>346530349.86430192</v>
      </c>
      <c r="G45" s="647">
        <v>320037655.96559638</v>
      </c>
      <c r="I45" s="769"/>
    </row>
    <row r="46" spans="1:9">
      <c r="A46" s="307">
        <v>31</v>
      </c>
      <c r="B46" s="308" t="s">
        <v>327</v>
      </c>
      <c r="C46" s="709">
        <v>1.3007893440153293</v>
      </c>
      <c r="D46" s="709">
        <v>1.4670908611513112</v>
      </c>
      <c r="E46" s="648">
        <v>1.5827948346779765</v>
      </c>
      <c r="F46" s="643">
        <v>1.4778529361811101</v>
      </c>
      <c r="G46" s="643">
        <v>1.3269335056857163</v>
      </c>
      <c r="I46" s="771"/>
    </row>
    <row r="47" spans="1:9">
      <c r="A47" s="307"/>
      <c r="B47" s="264" t="s">
        <v>422</v>
      </c>
      <c r="C47" s="170"/>
      <c r="D47" s="170"/>
      <c r="E47" s="170"/>
      <c r="F47" s="170"/>
      <c r="G47" s="170"/>
    </row>
    <row r="48" spans="1:9">
      <c r="A48" s="307">
        <v>32</v>
      </c>
      <c r="B48" s="308" t="s">
        <v>429</v>
      </c>
      <c r="C48" s="309">
        <v>3009526621.9897323</v>
      </c>
      <c r="D48" s="309">
        <v>2928826852.4763894</v>
      </c>
      <c r="E48" s="649">
        <v>2931103746.7663841</v>
      </c>
      <c r="F48" s="650">
        <v>2687495564.27</v>
      </c>
      <c r="G48" s="650">
        <v>2559665228.5770578</v>
      </c>
      <c r="I48" s="769"/>
    </row>
    <row r="49" spans="1:9">
      <c r="A49" s="307">
        <v>33</v>
      </c>
      <c r="B49" s="308" t="s">
        <v>442</v>
      </c>
      <c r="C49" s="309">
        <v>2585175204.7101192</v>
      </c>
      <c r="D49" s="309">
        <v>2445397271.488596</v>
      </c>
      <c r="E49" s="649">
        <v>2350925286.1675072</v>
      </c>
      <c r="F49" s="650">
        <v>2189643035.6148629</v>
      </c>
      <c r="G49" s="650">
        <v>2071267650.1338389</v>
      </c>
      <c r="I49" s="769"/>
    </row>
    <row r="50" spans="1:9" ht="15" thickBot="1">
      <c r="A50" s="60">
        <v>34</v>
      </c>
      <c r="B50" s="136" t="s">
        <v>456</v>
      </c>
      <c r="C50" s="673">
        <v>1.1641480300857197</v>
      </c>
      <c r="D50" s="673">
        <v>1.1976895887732439</v>
      </c>
      <c r="E50" s="651">
        <v>1.2467872815918737</v>
      </c>
      <c r="F50" s="652">
        <v>1.2273669819954638</v>
      </c>
      <c r="G50" s="652">
        <v>1.2357964594347139</v>
      </c>
      <c r="I50" s="771"/>
    </row>
    <row r="51" spans="1:9">
      <c r="A51" s="15"/>
    </row>
    <row r="52" spans="1:9">
      <c r="B52" s="17"/>
    </row>
    <row r="53" spans="1:9" ht="69">
      <c r="B53" s="207" t="s">
        <v>343</v>
      </c>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C39"/>
  <sheetViews>
    <sheetView zoomScale="80" zoomScaleNormal="80" workbookViewId="0">
      <selection activeCell="C24" sqref="C24:C25"/>
    </sheetView>
  </sheetViews>
  <sheetFormatPr defaultRowHeight="14.4"/>
  <cols>
    <col min="1" max="1" width="11.44140625" customWidth="1"/>
    <col min="2" max="2" width="76.77734375" style="2" customWidth="1"/>
    <col min="3" max="3" width="22.77734375" customWidth="1"/>
  </cols>
  <sheetData>
    <row r="1" spans="1:3">
      <c r="A1" s="1" t="s">
        <v>97</v>
      </c>
      <c r="B1" t="str">
        <f>Info!C2</f>
        <v>სს "კრედო ბანკი"</v>
      </c>
    </row>
    <row r="2" spans="1:3">
      <c r="A2" s="1" t="s">
        <v>98</v>
      </c>
      <c r="B2" s="272">
        <f>'1. key ratios'!B2</f>
        <v>46203</v>
      </c>
    </row>
    <row r="3" spans="1:3">
      <c r="A3" s="1"/>
      <c r="B3"/>
    </row>
    <row r="4" spans="1:3">
      <c r="A4" s="1" t="s">
        <v>406</v>
      </c>
      <c r="B4" t="s">
        <v>375</v>
      </c>
    </row>
    <row r="5" spans="1:3">
      <c r="A5" s="595"/>
      <c r="B5" s="595" t="s">
        <v>376</v>
      </c>
      <c r="C5" s="596"/>
    </row>
    <row r="6" spans="1:3">
      <c r="A6" s="597">
        <v>1</v>
      </c>
      <c r="B6" s="598" t="s">
        <v>376</v>
      </c>
      <c r="C6" s="599">
        <f>'2. SOFP'!E69</f>
        <v>4154934539.6672955</v>
      </c>
    </row>
    <row r="7" spans="1:3">
      <c r="A7" s="597">
        <v>2</v>
      </c>
      <c r="B7" s="598" t="s">
        <v>377</v>
      </c>
      <c r="C7" s="599">
        <f>'9. Capital'!C15</f>
        <v>39058554.609999985</v>
      </c>
    </row>
    <row r="8" spans="1:3">
      <c r="A8" s="600">
        <v>3</v>
      </c>
      <c r="B8" s="601" t="s">
        <v>378</v>
      </c>
      <c r="C8" s="602">
        <f>C6-C7</f>
        <v>4115875985.0572953</v>
      </c>
    </row>
    <row r="9" spans="1:3">
      <c r="A9" s="603"/>
      <c r="B9" s="603" t="s">
        <v>379</v>
      </c>
      <c r="C9" s="604"/>
    </row>
    <row r="10" spans="1:3">
      <c r="A10" s="605">
        <v>4</v>
      </c>
      <c r="B10" s="606" t="s">
        <v>380</v>
      </c>
      <c r="C10" s="599">
        <f>'15. CCR'!F34</f>
        <v>0</v>
      </c>
    </row>
    <row r="11" spans="1:3">
      <c r="A11" s="605">
        <v>5</v>
      </c>
      <c r="B11" s="607" t="s">
        <v>381</v>
      </c>
      <c r="C11" s="599">
        <f>'15. CCR'!G34</f>
        <v>3973429.9874048093</v>
      </c>
    </row>
    <row r="12" spans="1:3">
      <c r="A12" s="605">
        <v>6</v>
      </c>
      <c r="B12" s="608" t="s">
        <v>978</v>
      </c>
      <c r="C12" s="602">
        <f>'15. CCR'!I34</f>
        <v>5562801.9823667323</v>
      </c>
    </row>
    <row r="13" spans="1:3">
      <c r="A13" s="609">
        <v>7</v>
      </c>
      <c r="B13" s="610" t="s">
        <v>382</v>
      </c>
      <c r="C13" s="599">
        <f>'15. CCR'!E34</f>
        <v>0</v>
      </c>
    </row>
    <row r="14" spans="1:3">
      <c r="A14" s="611">
        <v>8</v>
      </c>
      <c r="B14" s="612" t="s">
        <v>383</v>
      </c>
      <c r="C14" s="602">
        <f>C12</f>
        <v>5562801.9823667323</v>
      </c>
    </row>
    <row r="15" spans="1:3">
      <c r="A15" s="603"/>
      <c r="B15" s="603" t="s">
        <v>384</v>
      </c>
      <c r="C15" s="613"/>
    </row>
    <row r="16" spans="1:3">
      <c r="A16" s="609">
        <v>9</v>
      </c>
      <c r="B16" s="614" t="s">
        <v>385</v>
      </c>
      <c r="C16" s="599"/>
    </row>
    <row r="17" spans="1:3">
      <c r="A17" s="605">
        <v>10</v>
      </c>
      <c r="B17" s="598" t="s">
        <v>386</v>
      </c>
      <c r="C17" s="599"/>
    </row>
    <row r="18" spans="1:3">
      <c r="A18" s="605">
        <v>11</v>
      </c>
      <c r="B18" s="598" t="s">
        <v>387</v>
      </c>
      <c r="C18" s="599"/>
    </row>
    <row r="19" spans="1:3" ht="22.8">
      <c r="A19" s="609">
        <v>12</v>
      </c>
      <c r="B19" s="614" t="s">
        <v>388</v>
      </c>
      <c r="C19" s="599"/>
    </row>
    <row r="20" spans="1:3">
      <c r="A20" s="609">
        <v>13</v>
      </c>
      <c r="B20" s="614" t="s">
        <v>389</v>
      </c>
      <c r="C20" s="599"/>
    </row>
    <row r="21" spans="1:3">
      <c r="A21" s="609">
        <v>14</v>
      </c>
      <c r="B21" s="598" t="s">
        <v>390</v>
      </c>
      <c r="C21" s="599"/>
    </row>
    <row r="22" spans="1:3">
      <c r="A22" s="611">
        <v>15</v>
      </c>
      <c r="B22" s="612" t="s">
        <v>391</v>
      </c>
      <c r="C22" s="602">
        <f>SUM(C16:C21)</f>
        <v>0</v>
      </c>
    </row>
    <row r="23" spans="1:3">
      <c r="A23" s="603"/>
      <c r="B23" s="603" t="s">
        <v>392</v>
      </c>
      <c r="C23" s="604"/>
    </row>
    <row r="24" spans="1:3">
      <c r="A24" s="605">
        <v>16</v>
      </c>
      <c r="B24" s="598" t="s">
        <v>393</v>
      </c>
      <c r="C24" s="599">
        <v>512847843.90999997</v>
      </c>
    </row>
    <row r="25" spans="1:3">
      <c r="A25" s="605">
        <v>17</v>
      </c>
      <c r="B25" s="598" t="s">
        <v>394</v>
      </c>
      <c r="C25" s="773">
        <v>-375763780.73075134</v>
      </c>
    </row>
    <row r="26" spans="1:3">
      <c r="A26" s="611">
        <v>18</v>
      </c>
      <c r="B26" s="612" t="s">
        <v>395</v>
      </c>
      <c r="C26" s="602">
        <f>C24+C25</f>
        <v>137084063.17924863</v>
      </c>
    </row>
    <row r="27" spans="1:3">
      <c r="A27" s="603"/>
      <c r="B27" s="603" t="s">
        <v>396</v>
      </c>
      <c r="C27" s="613"/>
    </row>
    <row r="28" spans="1:3">
      <c r="A28" s="605">
        <v>19</v>
      </c>
      <c r="B28" s="598" t="s">
        <v>397</v>
      </c>
      <c r="C28" s="599"/>
    </row>
    <row r="29" spans="1:3">
      <c r="A29" s="605">
        <v>20</v>
      </c>
      <c r="B29" s="598" t="s">
        <v>398</v>
      </c>
      <c r="C29" s="599"/>
    </row>
    <row r="30" spans="1:3">
      <c r="A30" s="603"/>
      <c r="B30" s="603" t="s">
        <v>399</v>
      </c>
      <c r="C30" s="604"/>
    </row>
    <row r="31" spans="1:3">
      <c r="A31" s="611">
        <v>21</v>
      </c>
      <c r="B31" s="612" t="s">
        <v>75</v>
      </c>
      <c r="C31" s="602">
        <f>'1. key ratios'!C9</f>
        <v>507550804.19858325</v>
      </c>
    </row>
    <row r="32" spans="1:3">
      <c r="A32" s="611">
        <v>22</v>
      </c>
      <c r="B32" s="612" t="s">
        <v>400</v>
      </c>
      <c r="C32" s="602">
        <f>C8+C14+C22+C26</f>
        <v>4258522850.2189107</v>
      </c>
    </row>
    <row r="33" spans="1:3">
      <c r="A33" s="615"/>
      <c r="B33" s="615" t="s">
        <v>375</v>
      </c>
      <c r="C33" s="604"/>
    </row>
    <row r="34" spans="1:3">
      <c r="A34" s="611">
        <v>23</v>
      </c>
      <c r="B34" s="612" t="s">
        <v>375</v>
      </c>
      <c r="C34" s="716">
        <f>IFERROR(C31/C32,0)</f>
        <v>0.11918470841890456</v>
      </c>
    </row>
    <row r="35" spans="1:3">
      <c r="A35" s="615"/>
      <c r="B35" s="615" t="s">
        <v>401</v>
      </c>
      <c r="C35" s="604"/>
    </row>
    <row r="36" spans="1:3">
      <c r="A36" s="609" t="s">
        <v>402</v>
      </c>
      <c r="B36" s="614" t="s">
        <v>403</v>
      </c>
      <c r="C36" s="616"/>
    </row>
    <row r="37" spans="1:3">
      <c r="A37" s="617" t="s">
        <v>404</v>
      </c>
      <c r="B37" s="618" t="s">
        <v>405</v>
      </c>
      <c r="C37" s="616"/>
    </row>
    <row r="39" spans="1:3">
      <c r="B39" s="245"/>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F12"/>
  <sheetViews>
    <sheetView zoomScale="80" zoomScaleNormal="80" workbookViewId="0">
      <selection activeCell="C7" sqref="C7:C9"/>
    </sheetView>
  </sheetViews>
  <sheetFormatPr defaultRowHeight="14.4"/>
  <cols>
    <col min="1" max="1" width="11.44140625" customWidth="1"/>
    <col min="2" max="2" width="76.77734375" style="2" customWidth="1"/>
    <col min="3" max="6" width="24.44140625" customWidth="1"/>
  </cols>
  <sheetData>
    <row r="1" spans="1:6">
      <c r="A1" s="12" t="s">
        <v>97</v>
      </c>
      <c r="B1">
        <f>[5]Info!C2</f>
        <v>0</v>
      </c>
    </row>
    <row r="2" spans="1:6">
      <c r="A2" s="1" t="s">
        <v>98</v>
      </c>
      <c r="B2" s="272">
        <f>'[5]1. key ratios'!B2</f>
        <v>45747</v>
      </c>
    </row>
    <row r="3" spans="1:6">
      <c r="A3" s="1"/>
      <c r="B3"/>
    </row>
    <row r="4" spans="1:6">
      <c r="A4" s="594" t="s">
        <v>970</v>
      </c>
    </row>
    <row r="5" spans="1:6" ht="86.4">
      <c r="B5" s="588"/>
      <c r="C5" s="589" t="s">
        <v>971</v>
      </c>
      <c r="D5" s="589" t="s">
        <v>972</v>
      </c>
      <c r="E5" s="589" t="s">
        <v>973</v>
      </c>
      <c r="F5" s="589" t="s">
        <v>974</v>
      </c>
    </row>
    <row r="6" spans="1:6">
      <c r="B6" s="590" t="s">
        <v>969</v>
      </c>
      <c r="C6" s="591">
        <f>IF(C7&gt;0,C7,IF(C8&gt;0,C8,IF(C9&gt;0,C9)))</f>
        <v>34191.576844498799</v>
      </c>
      <c r="D6" s="591">
        <f>IF(D7&gt;0,D7,IF(D8&gt;0,D8,IF(D9&gt;0,D9,0)))</f>
        <v>0</v>
      </c>
      <c r="E6" s="591">
        <f>IF(E7&gt;0,E7,IF(E8&gt;0,E8,IF(E9&gt;0,E9,0)))</f>
        <v>0</v>
      </c>
      <c r="F6" s="591">
        <f>IF(F7&gt;0,F7,IF(F8&gt;0,F8,IF(F9&gt;0,F9,0)))</f>
        <v>34191.576844498799</v>
      </c>
    </row>
    <row r="7" spans="1:6">
      <c r="B7" s="592" t="s">
        <v>975</v>
      </c>
      <c r="C7" s="593">
        <v>34191.576844498799</v>
      </c>
      <c r="D7" s="593">
        <v>0</v>
      </c>
      <c r="E7" s="593">
        <v>0</v>
      </c>
      <c r="F7" s="593">
        <f>C7-D7-E7</f>
        <v>34191.576844498799</v>
      </c>
    </row>
    <row r="8" spans="1:6">
      <c r="B8" s="592" t="s">
        <v>976</v>
      </c>
      <c r="C8" s="593">
        <v>550058.50903994194</v>
      </c>
      <c r="D8" s="593">
        <v>0</v>
      </c>
      <c r="E8" s="593">
        <v>0</v>
      </c>
      <c r="F8" s="593">
        <f t="shared" ref="F8:F9" si="0">C8-D8-E8</f>
        <v>550058.50903994194</v>
      </c>
    </row>
    <row r="9" spans="1:6">
      <c r="B9" s="592" t="s">
        <v>977</v>
      </c>
      <c r="C9" s="593">
        <v>550058.50903994194</v>
      </c>
      <c r="D9" s="593">
        <v>0</v>
      </c>
      <c r="E9" s="593">
        <v>0</v>
      </c>
      <c r="F9" s="593">
        <f t="shared" si="0"/>
        <v>550058.50903994194</v>
      </c>
    </row>
    <row r="12" spans="1:6">
      <c r="D12" s="717"/>
      <c r="E12" s="717"/>
      <c r="F12" s="717"/>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J42"/>
  <sheetViews>
    <sheetView zoomScale="80" zoomScaleNormal="80" workbookViewId="0">
      <pane xSplit="2" ySplit="6" topLeftCell="C7" activePane="bottomRight" state="frozen"/>
      <selection pane="topRight" activeCell="C1" sqref="C1"/>
      <selection pane="bottomLeft" activeCell="A7" sqref="A7"/>
      <selection pane="bottomRight" activeCell="C8" sqref="C8:G39"/>
    </sheetView>
  </sheetViews>
  <sheetFormatPr defaultRowHeight="14.4"/>
  <cols>
    <col min="1" max="1" width="9.88671875" style="1" bestFit="1" customWidth="1"/>
    <col min="2" max="2" width="82.6640625" style="17" customWidth="1"/>
    <col min="3" max="7" width="17.5546875" style="1" customWidth="1"/>
    <col min="8" max="9" width="14.77734375" customWidth="1"/>
    <col min="10" max="10" width="16.33203125" bestFit="1" customWidth="1"/>
    <col min="11" max="11" width="11" bestFit="1" customWidth="1"/>
  </cols>
  <sheetData>
    <row r="1" spans="1:10">
      <c r="A1" s="1" t="s">
        <v>97</v>
      </c>
      <c r="B1" s="1" t="str">
        <f>Info!C2</f>
        <v>სს "კრედო ბანკი"</v>
      </c>
    </row>
    <row r="2" spans="1:10">
      <c r="A2" s="1" t="s">
        <v>98</v>
      </c>
      <c r="B2" s="272">
        <f>'1. key ratios'!B2</f>
        <v>46203</v>
      </c>
    </row>
    <row r="3" spans="1:10">
      <c r="B3" s="272"/>
    </row>
    <row r="4" spans="1:10" ht="15" thickBot="1">
      <c r="A4" s="1" t="s">
        <v>457</v>
      </c>
      <c r="B4" s="165" t="s">
        <v>422</v>
      </c>
    </row>
    <row r="5" spans="1:10">
      <c r="A5" s="274"/>
      <c r="B5" s="275"/>
      <c r="C5" s="835" t="s">
        <v>423</v>
      </c>
      <c r="D5" s="835"/>
      <c r="E5" s="835"/>
      <c r="F5" s="835"/>
      <c r="G5" s="836" t="s">
        <v>424</v>
      </c>
    </row>
    <row r="6" spans="1:10">
      <c r="A6" s="276"/>
      <c r="B6" s="277"/>
      <c r="C6" s="278" t="s">
        <v>425</v>
      </c>
      <c r="D6" s="278" t="s">
        <v>426</v>
      </c>
      <c r="E6" s="278" t="s">
        <v>427</v>
      </c>
      <c r="F6" s="278" t="s">
        <v>428</v>
      </c>
      <c r="G6" s="837"/>
      <c r="H6" s="761"/>
      <c r="I6" s="761"/>
    </row>
    <row r="7" spans="1:10">
      <c r="A7" s="279"/>
      <c r="B7" s="280" t="s">
        <v>429</v>
      </c>
      <c r="C7" s="281"/>
      <c r="D7" s="281"/>
      <c r="E7" s="281"/>
      <c r="F7" s="281"/>
      <c r="G7" s="282"/>
      <c r="J7" s="738"/>
    </row>
    <row r="8" spans="1:10">
      <c r="A8" s="283">
        <v>1</v>
      </c>
      <c r="B8" s="284" t="s">
        <v>430</v>
      </c>
      <c r="C8" s="720">
        <f>SUM(C9:C10)</f>
        <v>507550804.95999998</v>
      </c>
      <c r="D8" s="285">
        <f>SUM(D9:D10)</f>
        <v>0</v>
      </c>
      <c r="E8" s="285">
        <f>SUM(E9:E10)</f>
        <v>0</v>
      </c>
      <c r="F8" s="720">
        <f>SUM(F9:F10)</f>
        <v>1100551574.27</v>
      </c>
      <c r="G8" s="292">
        <f>SUM(G9:G10)</f>
        <v>1608102379.23</v>
      </c>
      <c r="J8" s="738"/>
    </row>
    <row r="9" spans="1:10">
      <c r="A9" s="283">
        <v>2</v>
      </c>
      <c r="B9" s="287" t="s">
        <v>74</v>
      </c>
      <c r="C9" s="285">
        <v>507550804.95999998</v>
      </c>
      <c r="D9" s="285"/>
      <c r="E9" s="285"/>
      <c r="F9" s="285">
        <v>132415333.76000001</v>
      </c>
      <c r="G9" s="286">
        <f>C9+F9</f>
        <v>639966138.72000003</v>
      </c>
      <c r="H9" s="741"/>
      <c r="I9" s="741"/>
      <c r="J9" s="741"/>
    </row>
    <row r="10" spans="1:10">
      <c r="A10" s="283">
        <v>3</v>
      </c>
      <c r="B10" s="287" t="s">
        <v>431</v>
      </c>
      <c r="C10" s="288"/>
      <c r="D10" s="288"/>
      <c r="E10" s="288"/>
      <c r="F10" s="285">
        <v>968136240.50999999</v>
      </c>
      <c r="G10" s="286">
        <f>F10</f>
        <v>968136240.50999999</v>
      </c>
      <c r="H10" s="741"/>
      <c r="I10" s="741"/>
    </row>
    <row r="11" spans="1:10" ht="27.6">
      <c r="A11" s="283">
        <v>4</v>
      </c>
      <c r="B11" s="284" t="s">
        <v>432</v>
      </c>
      <c r="C11" s="720">
        <f t="shared" ref="C11:F11" si="0">SUM(C12:C13)</f>
        <v>436893133.63</v>
      </c>
      <c r="D11" s="720">
        <f t="shared" si="0"/>
        <v>562942812.35000002</v>
      </c>
      <c r="E11" s="720">
        <f t="shared" si="0"/>
        <v>260453607.117145</v>
      </c>
      <c r="F11" s="720">
        <f t="shared" si="0"/>
        <v>9326340.5299999993</v>
      </c>
      <c r="G11" s="292">
        <f>SUM(G12:G13)</f>
        <v>938171433.13695955</v>
      </c>
      <c r="H11" s="741"/>
      <c r="I11" s="741"/>
      <c r="J11" s="741"/>
    </row>
    <row r="12" spans="1:10">
      <c r="A12" s="283">
        <v>5</v>
      </c>
      <c r="B12" s="287" t="s">
        <v>433</v>
      </c>
      <c r="C12" s="285">
        <v>128295941.83</v>
      </c>
      <c r="D12" s="289">
        <v>345927540.60000002</v>
      </c>
      <c r="E12" s="285">
        <v>196164559.76863801</v>
      </c>
      <c r="F12" s="285">
        <v>3753038.52</v>
      </c>
      <c r="G12" s="286">
        <f>SUM(C12:F12)*0.95</f>
        <v>640434026.682706</v>
      </c>
      <c r="H12" s="741"/>
      <c r="I12" s="741"/>
    </row>
    <row r="13" spans="1:10">
      <c r="A13" s="283">
        <v>6</v>
      </c>
      <c r="B13" s="287" t="s">
        <v>434</v>
      </c>
      <c r="C13" s="285">
        <v>308597191.80000001</v>
      </c>
      <c r="D13" s="289">
        <v>217015271.75</v>
      </c>
      <c r="E13" s="285">
        <v>64289047.348507002</v>
      </c>
      <c r="F13" s="285">
        <v>5573302.0099999998</v>
      </c>
      <c r="G13" s="286">
        <f>SUM(C13:F13)*0.5</f>
        <v>297737406.45425349</v>
      </c>
      <c r="H13" s="741"/>
      <c r="I13" s="741"/>
      <c r="J13" s="738"/>
    </row>
    <row r="14" spans="1:10">
      <c r="A14" s="283">
        <v>7</v>
      </c>
      <c r="B14" s="284" t="s">
        <v>435</v>
      </c>
      <c r="C14" s="720">
        <f t="shared" ref="C14:F14" si="1">SUM(C15:C16)</f>
        <v>105368401.12</v>
      </c>
      <c r="D14" s="720">
        <f t="shared" si="1"/>
        <v>388221966.66999996</v>
      </c>
      <c r="E14" s="720">
        <f t="shared" si="1"/>
        <v>614703859.42407298</v>
      </c>
      <c r="F14" s="720">
        <f t="shared" si="1"/>
        <v>929276.49</v>
      </c>
      <c r="G14" s="292">
        <f>SUM(G15:G16)</f>
        <v>463252810.5170365</v>
      </c>
      <c r="H14" s="741"/>
      <c r="I14" s="741"/>
    </row>
    <row r="15" spans="1:10" ht="55.2">
      <c r="A15" s="283">
        <v>8</v>
      </c>
      <c r="B15" s="287" t="s">
        <v>436</v>
      </c>
      <c r="C15" s="285">
        <v>105368401.12</v>
      </c>
      <c r="D15" s="718">
        <v>205504084</v>
      </c>
      <c r="E15" s="285">
        <v>467929659</v>
      </c>
      <c r="F15" s="285">
        <v>929276.49</v>
      </c>
      <c r="G15" s="286">
        <f>SUM(C15:F15)*0.5</f>
        <v>389865710.30500001</v>
      </c>
      <c r="H15" s="741"/>
      <c r="I15" s="741"/>
      <c r="J15" s="740"/>
    </row>
    <row r="16" spans="1:10" ht="27.6">
      <c r="A16" s="283">
        <v>9</v>
      </c>
      <c r="B16" s="287" t="s">
        <v>437</v>
      </c>
      <c r="C16" s="285"/>
      <c r="D16" s="719">
        <v>182717882.66999999</v>
      </c>
      <c r="E16" s="297">
        <v>146774200.42407301</v>
      </c>
      <c r="F16" s="285"/>
      <c r="G16" s="286">
        <f>D16*0%+E16*50%</f>
        <v>73387100.212036505</v>
      </c>
      <c r="H16" s="741"/>
      <c r="I16" s="741"/>
      <c r="J16" s="741"/>
    </row>
    <row r="17" spans="1:10">
      <c r="A17" s="283">
        <v>10</v>
      </c>
      <c r="B17" s="284" t="s">
        <v>438</v>
      </c>
      <c r="C17" s="285"/>
      <c r="D17" s="289"/>
      <c r="E17" s="285"/>
      <c r="F17" s="285"/>
      <c r="G17" s="286"/>
      <c r="H17" s="741"/>
      <c r="I17" s="741"/>
      <c r="J17" s="741"/>
    </row>
    <row r="18" spans="1:10">
      <c r="A18" s="283">
        <v>11</v>
      </c>
      <c r="B18" s="284" t="s">
        <v>78</v>
      </c>
      <c r="C18" s="720">
        <f>SUM(C19:C20)</f>
        <v>64928508.032749429</v>
      </c>
      <c r="D18" s="680">
        <f t="shared" ref="D18:G18" si="2">SUM(D19:D20)</f>
        <v>17858862.825234026</v>
      </c>
      <c r="E18" s="720">
        <f t="shared" si="2"/>
        <v>4108680.463424338</v>
      </c>
      <c r="F18" s="720">
        <f t="shared" si="2"/>
        <v>42038158.569308758</v>
      </c>
      <c r="G18" s="286">
        <f t="shared" si="2"/>
        <v>0</v>
      </c>
      <c r="H18" s="741"/>
      <c r="I18" s="741"/>
      <c r="J18" s="738"/>
    </row>
    <row r="19" spans="1:10">
      <c r="A19" s="283">
        <v>12</v>
      </c>
      <c r="B19" s="287" t="s">
        <v>439</v>
      </c>
      <c r="C19" s="288"/>
      <c r="D19" s="289">
        <v>13713498.93</v>
      </c>
      <c r="E19" s="285"/>
      <c r="F19" s="285"/>
      <c r="G19" s="286"/>
      <c r="H19" s="741"/>
      <c r="I19" s="741"/>
      <c r="J19" s="738"/>
    </row>
    <row r="20" spans="1:10" ht="27.6">
      <c r="A20" s="283">
        <v>13</v>
      </c>
      <c r="B20" s="287" t="s">
        <v>440</v>
      </c>
      <c r="C20" s="297">
        <v>64928508.032749429</v>
      </c>
      <c r="D20" s="297">
        <v>4145363.895234026</v>
      </c>
      <c r="E20" s="297">
        <v>4108680.463424338</v>
      </c>
      <c r="F20" s="297">
        <v>42038158.569308758</v>
      </c>
      <c r="G20" s="739"/>
      <c r="I20" s="738"/>
      <c r="J20" s="738"/>
    </row>
    <row r="21" spans="1:10">
      <c r="A21" s="290">
        <v>14</v>
      </c>
      <c r="B21" s="291" t="s">
        <v>441</v>
      </c>
      <c r="C21" s="288"/>
      <c r="D21" s="288"/>
      <c r="E21" s="288"/>
      <c r="F21" s="288"/>
      <c r="G21" s="292">
        <f>SUM(G8,G11,G14,G17,G18)</f>
        <v>3009526622.883996</v>
      </c>
      <c r="J21" s="738"/>
    </row>
    <row r="22" spans="1:10">
      <c r="A22" s="293"/>
      <c r="B22" s="311" t="s">
        <v>442</v>
      </c>
      <c r="C22" s="294"/>
      <c r="D22" s="295"/>
      <c r="E22" s="294"/>
      <c r="F22" s="294"/>
      <c r="G22" s="296"/>
      <c r="I22" s="738"/>
      <c r="J22" s="741"/>
    </row>
    <row r="23" spans="1:10">
      <c r="A23" s="283">
        <v>15</v>
      </c>
      <c r="B23" s="284" t="s">
        <v>310</v>
      </c>
      <c r="C23" s="736">
        <v>333701609.56442201</v>
      </c>
      <c r="D23" s="737">
        <v>285098062.05162299</v>
      </c>
      <c r="E23" s="736">
        <v>1985199.37722421</v>
      </c>
      <c r="F23" s="736">
        <v>47347838.571152702</v>
      </c>
      <c r="G23" s="292">
        <v>11856034.5322794</v>
      </c>
      <c r="J23" s="738"/>
    </row>
    <row r="24" spans="1:10">
      <c r="A24" s="283">
        <v>16</v>
      </c>
      <c r="B24" s="284" t="s">
        <v>443</v>
      </c>
      <c r="C24" s="720">
        <f>SUM(C25:C27,C29,C31)</f>
        <v>224461.28083598599</v>
      </c>
      <c r="D24" s="680">
        <f t="shared" ref="D24:G24" si="3">SUM(D25:D27,D29,D31)</f>
        <v>628574424.06008708</v>
      </c>
      <c r="E24" s="720">
        <f t="shared" si="3"/>
        <v>446998273.84125036</v>
      </c>
      <c r="F24" s="720">
        <f t="shared" si="3"/>
        <v>2106637623.6940579</v>
      </c>
      <c r="G24" s="292">
        <f t="shared" si="3"/>
        <v>2304817583.9564404</v>
      </c>
    </row>
    <row r="25" spans="1:10" ht="27.6">
      <c r="A25" s="283">
        <v>17</v>
      </c>
      <c r="B25" s="287" t="s">
        <v>444</v>
      </c>
      <c r="C25" s="285"/>
      <c r="D25" s="289"/>
      <c r="E25" s="285"/>
      <c r="F25" s="285"/>
      <c r="G25" s="286"/>
    </row>
    <row r="26" spans="1:10" ht="27.6">
      <c r="A26" s="283">
        <v>18</v>
      </c>
      <c r="B26" s="287" t="s">
        <v>445</v>
      </c>
      <c r="C26" s="285">
        <v>224461.28083598599</v>
      </c>
      <c r="D26" s="289"/>
      <c r="E26" s="285"/>
      <c r="F26" s="285"/>
      <c r="G26" s="286">
        <f>C26*15%</f>
        <v>33669.192125397894</v>
      </c>
    </row>
    <row r="27" spans="1:10">
      <c r="A27" s="283">
        <v>19</v>
      </c>
      <c r="B27" s="287" t="s">
        <v>446</v>
      </c>
      <c r="C27" s="285"/>
      <c r="D27" s="289">
        <v>619714980.99043</v>
      </c>
      <c r="E27" s="285">
        <v>438533698.468458</v>
      </c>
      <c r="F27" s="285">
        <v>1987468252.0625501</v>
      </c>
      <c r="G27" s="286">
        <v>2218472353.9826102</v>
      </c>
    </row>
    <row r="28" spans="1:10">
      <c r="A28" s="283">
        <v>20</v>
      </c>
      <c r="B28" s="299" t="s">
        <v>447</v>
      </c>
      <c r="C28" s="285"/>
      <c r="D28" s="289"/>
      <c r="E28" s="285"/>
      <c r="F28" s="285"/>
      <c r="G28" s="286"/>
    </row>
    <row r="29" spans="1:10">
      <c r="A29" s="283">
        <v>21</v>
      </c>
      <c r="B29" s="287" t="s">
        <v>448</v>
      </c>
      <c r="C29" s="285"/>
      <c r="D29" s="289">
        <v>8859443.0696570799</v>
      </c>
      <c r="E29" s="285">
        <v>8464575.3727923799</v>
      </c>
      <c r="F29" s="285">
        <v>118222071.63150799</v>
      </c>
      <c r="G29" s="286">
        <v>85506355.781704694</v>
      </c>
    </row>
    <row r="30" spans="1:10">
      <c r="A30" s="283">
        <v>22</v>
      </c>
      <c r="B30" s="299" t="s">
        <v>447</v>
      </c>
      <c r="C30" s="285"/>
      <c r="D30" s="289">
        <v>8859443.0696570799</v>
      </c>
      <c r="E30" s="285">
        <v>8464575.3727923799</v>
      </c>
      <c r="F30" s="285">
        <v>118222071.63150799</v>
      </c>
      <c r="G30" s="286">
        <v>85506355.781704694</v>
      </c>
    </row>
    <row r="31" spans="1:10" ht="27.6">
      <c r="A31" s="283">
        <v>23</v>
      </c>
      <c r="B31" s="287" t="s">
        <v>449</v>
      </c>
      <c r="C31" s="285"/>
      <c r="D31" s="289"/>
      <c r="E31" s="285"/>
      <c r="F31" s="285">
        <v>947300</v>
      </c>
      <c r="G31" s="286">
        <v>805205</v>
      </c>
    </row>
    <row r="32" spans="1:10">
      <c r="A32" s="283">
        <v>24</v>
      </c>
      <c r="B32" s="284" t="s">
        <v>450</v>
      </c>
      <c r="C32" s="285"/>
      <c r="D32" s="289"/>
      <c r="E32" s="285"/>
      <c r="F32" s="285"/>
      <c r="G32" s="286"/>
    </row>
    <row r="33" spans="1:10">
      <c r="A33" s="283">
        <v>25</v>
      </c>
      <c r="B33" s="284" t="s">
        <v>88</v>
      </c>
      <c r="C33" s="720">
        <f>SUM(C34:C35)</f>
        <v>86518208.819999963</v>
      </c>
      <c r="D33" s="720">
        <f>SUM(D34:D35)</f>
        <v>107481489.93303192</v>
      </c>
      <c r="E33" s="720">
        <f>SUM(E34:E35)</f>
        <v>28280843.081525382</v>
      </c>
      <c r="F33" s="720">
        <f>SUM(F34:F35)</f>
        <v>43027950.284789398</v>
      </c>
      <c r="G33" s="286">
        <f>SUM(G34:G35)</f>
        <v>243001294.13952202</v>
      </c>
    </row>
    <row r="34" spans="1:10">
      <c r="A34" s="283">
        <v>26</v>
      </c>
      <c r="B34" s="287" t="s">
        <v>451</v>
      </c>
      <c r="C34" s="288"/>
      <c r="D34" s="289">
        <v>126021.62</v>
      </c>
      <c r="E34" s="285"/>
      <c r="F34" s="285"/>
      <c r="G34" s="286">
        <v>126021.62</v>
      </c>
    </row>
    <row r="35" spans="1:10">
      <c r="A35" s="283">
        <v>27</v>
      </c>
      <c r="B35" s="287" t="s">
        <v>452</v>
      </c>
      <c r="C35" s="297">
        <v>86518208.819999963</v>
      </c>
      <c r="D35" s="298">
        <v>107355468.31303191</v>
      </c>
      <c r="E35" s="297">
        <v>28280843.081525382</v>
      </c>
      <c r="F35" s="297">
        <f>37923279.2847894+5104671</f>
        <v>43027950.284789398</v>
      </c>
      <c r="G35" s="739">
        <v>242875272.51952201</v>
      </c>
    </row>
    <row r="36" spans="1:10">
      <c r="A36" s="283">
        <v>28</v>
      </c>
      <c r="B36" s="284" t="s">
        <v>453</v>
      </c>
      <c r="C36" s="285">
        <v>476219439.16000003</v>
      </c>
      <c r="D36" s="289">
        <v>0</v>
      </c>
      <c r="E36" s="285">
        <v>0</v>
      </c>
      <c r="F36" s="285">
        <v>33786391.600000001</v>
      </c>
      <c r="G36" s="286">
        <f>SUM(C36:F36)*5%</f>
        <v>25500291.538000003</v>
      </c>
    </row>
    <row r="37" spans="1:10">
      <c r="A37" s="290">
        <v>29</v>
      </c>
      <c r="B37" s="291" t="s">
        <v>454</v>
      </c>
      <c r="C37" s="288"/>
      <c r="D37" s="288"/>
      <c r="E37" s="288"/>
      <c r="F37" s="288"/>
      <c r="G37" s="292">
        <f>SUM(G23:G24,G32:G33,G36)</f>
        <v>2585175204.1662421</v>
      </c>
      <c r="H37" s="741"/>
      <c r="I37" s="738"/>
    </row>
    <row r="38" spans="1:10">
      <c r="A38" s="279"/>
      <c r="B38" s="300"/>
      <c r="C38" s="301"/>
      <c r="D38" s="301"/>
      <c r="E38" s="301"/>
      <c r="F38" s="301"/>
      <c r="G38" s="302"/>
      <c r="J38" s="738"/>
    </row>
    <row r="39" spans="1:10" ht="15" thickBot="1">
      <c r="A39" s="303">
        <v>30</v>
      </c>
      <c r="B39" s="304" t="s">
        <v>422</v>
      </c>
      <c r="C39" s="198"/>
      <c r="D39" s="182"/>
      <c r="E39" s="182"/>
      <c r="F39" s="305"/>
      <c r="G39" s="306">
        <f>IFERROR(G21/G37,0)</f>
        <v>1.1641480306765566</v>
      </c>
    </row>
    <row r="42" spans="1:10" ht="41.4">
      <c r="B42" s="17" t="s">
        <v>455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H26"/>
  <sheetViews>
    <sheetView showGridLines="0" zoomScale="80" zoomScaleNormal="80" workbookViewId="0">
      <selection activeCell="C8" sqref="C8:G21"/>
    </sheetView>
  </sheetViews>
  <sheetFormatPr defaultColWidth="9.21875" defaultRowHeight="12"/>
  <cols>
    <col min="1" max="1" width="11.77734375" style="316" bestFit="1" customWidth="1"/>
    <col min="2" max="2" width="105.21875" style="316" bestFit="1" customWidth="1"/>
    <col min="3" max="3" width="19.21875" style="316" customWidth="1"/>
    <col min="4" max="4" width="18.33203125" style="316" customWidth="1"/>
    <col min="5" max="5" width="17.33203125" style="316" bestFit="1" customWidth="1"/>
    <col min="6" max="6" width="18.88671875" style="316" customWidth="1"/>
    <col min="7" max="7" width="30.44140625" style="316" customWidth="1"/>
    <col min="8" max="8" width="19" style="316" customWidth="1"/>
    <col min="9" max="16384" width="9.21875" style="316"/>
  </cols>
  <sheetData>
    <row r="1" spans="1:8" ht="13.8">
      <c r="A1" s="315" t="s">
        <v>97</v>
      </c>
      <c r="B1" s="244" t="str">
        <f>Info!C2</f>
        <v>სს "კრედო ბანკი"</v>
      </c>
    </row>
    <row r="2" spans="1:8">
      <c r="A2" s="315" t="s">
        <v>98</v>
      </c>
      <c r="B2" s="318">
        <f>'1. key ratios'!B2</f>
        <v>46203</v>
      </c>
    </row>
    <row r="3" spans="1:8">
      <c r="A3" s="317" t="s">
        <v>462</v>
      </c>
    </row>
    <row r="5" spans="1:8">
      <c r="A5" s="838" t="s">
        <v>463</v>
      </c>
      <c r="B5" s="839"/>
      <c r="C5" s="844" t="s">
        <v>464</v>
      </c>
      <c r="D5" s="845"/>
      <c r="E5" s="845"/>
      <c r="F5" s="845"/>
      <c r="G5" s="845"/>
      <c r="H5" s="846"/>
    </row>
    <row r="6" spans="1:8">
      <c r="A6" s="840"/>
      <c r="B6" s="841"/>
      <c r="C6" s="847"/>
      <c r="D6" s="848"/>
      <c r="E6" s="848"/>
      <c r="F6" s="848"/>
      <c r="G6" s="848"/>
      <c r="H6" s="849"/>
    </row>
    <row r="7" spans="1:8" ht="24">
      <c r="A7" s="842"/>
      <c r="B7" s="843"/>
      <c r="C7" s="425" t="s">
        <v>465</v>
      </c>
      <c r="D7" s="425" t="s">
        <v>466</v>
      </c>
      <c r="E7" s="425" t="s">
        <v>467</v>
      </c>
      <c r="F7" s="425" t="s">
        <v>468</v>
      </c>
      <c r="G7" s="425" t="s">
        <v>648</v>
      </c>
      <c r="H7" s="425" t="s">
        <v>66</v>
      </c>
    </row>
    <row r="8" spans="1:8">
      <c r="A8" s="421">
        <v>1</v>
      </c>
      <c r="B8" s="420" t="s">
        <v>123</v>
      </c>
      <c r="C8" s="722">
        <v>81769164.658387706</v>
      </c>
      <c r="D8" s="722">
        <v>284717026.487589</v>
      </c>
      <c r="E8" s="722">
        <v>19745284.2733333</v>
      </c>
      <c r="F8" s="722">
        <v>0</v>
      </c>
      <c r="G8" s="722">
        <v>0</v>
      </c>
      <c r="H8" s="721">
        <f t="shared" ref="H8:H20" si="0">SUM(C8:G8)</f>
        <v>386231475.41931003</v>
      </c>
    </row>
    <row r="9" spans="1:8">
      <c r="A9" s="421">
        <v>2</v>
      </c>
      <c r="B9" s="420" t="s">
        <v>124</v>
      </c>
      <c r="C9" s="722">
        <v>0</v>
      </c>
      <c r="D9" s="722">
        <v>0</v>
      </c>
      <c r="E9" s="722">
        <v>0</v>
      </c>
      <c r="F9" s="722">
        <v>0</v>
      </c>
      <c r="G9" s="722">
        <v>0</v>
      </c>
      <c r="H9" s="721">
        <f t="shared" si="0"/>
        <v>0</v>
      </c>
    </row>
    <row r="10" spans="1:8">
      <c r="A10" s="421">
        <v>3</v>
      </c>
      <c r="B10" s="420" t="s">
        <v>125</v>
      </c>
      <c r="C10" s="722">
        <v>0</v>
      </c>
      <c r="D10" s="722">
        <v>0</v>
      </c>
      <c r="E10" s="722">
        <v>0</v>
      </c>
      <c r="F10" s="722">
        <v>0</v>
      </c>
      <c r="G10" s="722">
        <v>0</v>
      </c>
      <c r="H10" s="721">
        <f t="shared" si="0"/>
        <v>0</v>
      </c>
    </row>
    <row r="11" spans="1:8">
      <c r="A11" s="421">
        <v>4</v>
      </c>
      <c r="B11" s="420" t="s">
        <v>126</v>
      </c>
      <c r="C11" s="722">
        <v>0</v>
      </c>
      <c r="D11" s="722">
        <v>0</v>
      </c>
      <c r="E11" s="722">
        <v>0</v>
      </c>
      <c r="F11" s="722">
        <v>0</v>
      </c>
      <c r="G11" s="722">
        <v>0</v>
      </c>
      <c r="H11" s="721">
        <f t="shared" si="0"/>
        <v>0</v>
      </c>
    </row>
    <row r="12" spans="1:8">
      <c r="A12" s="421">
        <v>5</v>
      </c>
      <c r="B12" s="420" t="s">
        <v>911</v>
      </c>
      <c r="C12" s="722">
        <v>0</v>
      </c>
      <c r="D12" s="722">
        <v>0</v>
      </c>
      <c r="E12" s="722">
        <v>0</v>
      </c>
      <c r="F12" s="722">
        <v>0</v>
      </c>
      <c r="G12" s="722">
        <v>0</v>
      </c>
      <c r="H12" s="721">
        <f t="shared" si="0"/>
        <v>0</v>
      </c>
    </row>
    <row r="13" spans="1:8">
      <c r="A13" s="421">
        <v>6</v>
      </c>
      <c r="B13" s="420" t="s">
        <v>127</v>
      </c>
      <c r="C13" s="722">
        <v>135029943.11642399</v>
      </c>
      <c r="D13" s="722">
        <v>17884108.809999999</v>
      </c>
      <c r="E13" s="722">
        <v>0</v>
      </c>
      <c r="F13" s="722">
        <v>0</v>
      </c>
      <c r="G13" s="722">
        <v>0</v>
      </c>
      <c r="H13" s="721">
        <f t="shared" si="0"/>
        <v>152914051.926424</v>
      </c>
    </row>
    <row r="14" spans="1:8">
      <c r="A14" s="421">
        <v>7</v>
      </c>
      <c r="B14" s="420" t="s">
        <v>71</v>
      </c>
      <c r="C14" s="722">
        <v>131.28944569007433</v>
      </c>
      <c r="D14" s="722">
        <v>37896694.930077791</v>
      </c>
      <c r="E14" s="722">
        <v>34724761.757976197</v>
      </c>
      <c r="F14" s="722">
        <v>62921840.555091187</v>
      </c>
      <c r="G14" s="722"/>
      <c r="H14" s="721">
        <f t="shared" si="0"/>
        <v>135543428.53259087</v>
      </c>
    </row>
    <row r="15" spans="1:8">
      <c r="A15" s="421">
        <v>8</v>
      </c>
      <c r="B15" s="422" t="s">
        <v>72</v>
      </c>
      <c r="C15" s="722">
        <v>663335.05902420753</v>
      </c>
      <c r="D15" s="722">
        <v>405760102.64009124</v>
      </c>
      <c r="E15" s="722">
        <v>1836201510.5064859</v>
      </c>
      <c r="F15" s="722">
        <v>824076173.89132822</v>
      </c>
      <c r="G15" s="722"/>
      <c r="H15" s="721">
        <f t="shared" si="0"/>
        <v>3066701122.0969296</v>
      </c>
    </row>
    <row r="16" spans="1:8">
      <c r="A16" s="421">
        <v>9</v>
      </c>
      <c r="B16" s="420" t="s">
        <v>912</v>
      </c>
      <c r="C16" s="722">
        <v>0</v>
      </c>
      <c r="D16" s="722">
        <v>1920942.1234790017</v>
      </c>
      <c r="E16" s="722">
        <v>31455101.4919824</v>
      </c>
      <c r="F16" s="722">
        <v>108729166.33537562</v>
      </c>
      <c r="G16" s="722"/>
      <c r="H16" s="721">
        <f t="shared" si="0"/>
        <v>142105209.95083702</v>
      </c>
    </row>
    <row r="17" spans="1:8">
      <c r="A17" s="421">
        <v>10</v>
      </c>
      <c r="B17" s="424" t="s">
        <v>483</v>
      </c>
      <c r="C17" s="722">
        <v>207617.8092459715</v>
      </c>
      <c r="D17" s="722">
        <v>1212618.856368314</v>
      </c>
      <c r="E17" s="722">
        <v>4515186.3868599581</v>
      </c>
      <c r="F17" s="722">
        <v>2822141.1570255347</v>
      </c>
      <c r="G17" s="722"/>
      <c r="H17" s="721">
        <f t="shared" si="0"/>
        <v>8757564.2094997782</v>
      </c>
    </row>
    <row r="18" spans="1:8">
      <c r="A18" s="421">
        <v>11</v>
      </c>
      <c r="B18" s="420" t="s">
        <v>68</v>
      </c>
      <c r="C18" s="722">
        <v>0</v>
      </c>
      <c r="D18" s="722">
        <v>0</v>
      </c>
      <c r="E18" s="722">
        <v>0</v>
      </c>
      <c r="F18" s="722">
        <v>0</v>
      </c>
      <c r="G18" s="722">
        <v>0</v>
      </c>
      <c r="H18" s="721">
        <f t="shared" si="0"/>
        <v>0</v>
      </c>
    </row>
    <row r="19" spans="1:8">
      <c r="A19" s="421">
        <v>12</v>
      </c>
      <c r="B19" s="420" t="s">
        <v>69</v>
      </c>
      <c r="C19" s="722">
        <v>0</v>
      </c>
      <c r="D19" s="722">
        <v>0</v>
      </c>
      <c r="E19" s="722">
        <v>0</v>
      </c>
      <c r="F19" s="722">
        <v>0</v>
      </c>
      <c r="G19" s="722">
        <v>0</v>
      </c>
      <c r="H19" s="721">
        <f t="shared" si="0"/>
        <v>0</v>
      </c>
    </row>
    <row r="20" spans="1:8">
      <c r="A20" s="423">
        <v>13</v>
      </c>
      <c r="B20" s="422" t="s">
        <v>70</v>
      </c>
      <c r="C20" s="722">
        <v>0</v>
      </c>
      <c r="D20" s="722">
        <v>0</v>
      </c>
      <c r="E20" s="722">
        <v>0</v>
      </c>
      <c r="F20" s="722">
        <v>0</v>
      </c>
      <c r="G20" s="722">
        <v>0</v>
      </c>
      <c r="H20" s="721">
        <f t="shared" si="0"/>
        <v>0</v>
      </c>
    </row>
    <row r="21" spans="1:8">
      <c r="A21" s="421">
        <v>14</v>
      </c>
      <c r="B21" s="420" t="s">
        <v>469</v>
      </c>
      <c r="C21" s="722">
        <v>99245123.320000008</v>
      </c>
      <c r="D21" s="722">
        <v>29906979</v>
      </c>
      <c r="E21" s="722">
        <v>39127990.199999996</v>
      </c>
      <c r="F21" s="722">
        <v>0</v>
      </c>
      <c r="G21" s="722">
        <v>64100604.720000081</v>
      </c>
      <c r="H21" s="721">
        <f>SUM(C21:G21)</f>
        <v>232380697.2400001</v>
      </c>
    </row>
    <row r="22" spans="1:8">
      <c r="A22" s="419">
        <v>15</v>
      </c>
      <c r="B22" s="418" t="s">
        <v>66</v>
      </c>
      <c r="C22" s="721">
        <f>SUM(C18:C21)+SUM(C8:C16)</f>
        <v>316707697.44328159</v>
      </c>
      <c r="D22" s="721">
        <f t="shared" ref="D22:H22" si="1">SUM(D18:D21)+SUM(D8:D16)</f>
        <v>778085853.99123704</v>
      </c>
      <c r="E22" s="721">
        <f t="shared" si="1"/>
        <v>1961254648.2297781</v>
      </c>
      <c r="F22" s="721">
        <f t="shared" si="1"/>
        <v>995727180.78179502</v>
      </c>
      <c r="G22" s="721">
        <f t="shared" si="1"/>
        <v>64100604.720000081</v>
      </c>
      <c r="H22" s="721">
        <f t="shared" si="1"/>
        <v>4115875985.1660919</v>
      </c>
    </row>
    <row r="26" spans="1:8" ht="36">
      <c r="B26" s="333" t="s">
        <v>647</v>
      </c>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H26"/>
  <sheetViews>
    <sheetView showGridLines="0" topLeftCell="B1" zoomScale="90" zoomScaleNormal="90" workbookViewId="0">
      <selection activeCell="C7" sqref="C7:G23"/>
    </sheetView>
  </sheetViews>
  <sheetFormatPr defaultColWidth="9.21875" defaultRowHeight="12"/>
  <cols>
    <col min="1" max="1" width="11.77734375" style="319" bestFit="1" customWidth="1"/>
    <col min="2" max="2" width="78.21875" style="316" customWidth="1"/>
    <col min="3" max="4" width="31.5546875" style="316" customWidth="1"/>
    <col min="5" max="5" width="16.44140625" style="316" bestFit="1" customWidth="1"/>
    <col min="6" max="6" width="14.21875" style="316" bestFit="1" customWidth="1"/>
    <col min="7" max="7" width="20" style="316" bestFit="1" customWidth="1"/>
    <col min="8" max="8" width="25.21875" style="316" bestFit="1" customWidth="1"/>
    <col min="9" max="16384" width="9.21875" style="316"/>
  </cols>
  <sheetData>
    <row r="1" spans="1:8" ht="13.8">
      <c r="A1" s="315" t="s">
        <v>97</v>
      </c>
      <c r="B1" s="244" t="str">
        <f>Info!C2</f>
        <v>სს "კრედო ბანკი"</v>
      </c>
      <c r="C1" s="437"/>
      <c r="D1" s="437"/>
      <c r="E1" s="437"/>
      <c r="F1" s="437"/>
      <c r="G1" s="437"/>
      <c r="H1" s="437"/>
    </row>
    <row r="2" spans="1:8">
      <c r="A2" s="315" t="s">
        <v>98</v>
      </c>
      <c r="B2" s="318">
        <f>'1. key ratios'!B2</f>
        <v>46203</v>
      </c>
      <c r="C2" s="437"/>
      <c r="D2" s="437"/>
      <c r="E2" s="437"/>
      <c r="F2" s="437"/>
      <c r="G2" s="437"/>
      <c r="H2" s="437"/>
    </row>
    <row r="3" spans="1:8">
      <c r="A3" s="317" t="s">
        <v>470</v>
      </c>
      <c r="B3" s="437"/>
      <c r="C3" s="437"/>
      <c r="D3" s="437"/>
      <c r="E3" s="437"/>
      <c r="F3" s="437"/>
      <c r="G3" s="437"/>
      <c r="H3" s="437"/>
    </row>
    <row r="4" spans="1:8">
      <c r="A4" s="438"/>
      <c r="B4" s="437"/>
      <c r="C4" s="436" t="s">
        <v>471</v>
      </c>
      <c r="D4" s="436" t="s">
        <v>472</v>
      </c>
      <c r="E4" s="436" t="s">
        <v>473</v>
      </c>
      <c r="F4" s="436" t="s">
        <v>474</v>
      </c>
      <c r="G4" s="436" t="s">
        <v>475</v>
      </c>
      <c r="H4" s="436" t="s">
        <v>476</v>
      </c>
    </row>
    <row r="5" spans="1:8" ht="34.049999999999997" customHeight="1">
      <c r="A5" s="838" t="s">
        <v>835</v>
      </c>
      <c r="B5" s="839"/>
      <c r="C5" s="852" t="s">
        <v>565</v>
      </c>
      <c r="D5" s="852"/>
      <c r="E5" s="852" t="s">
        <v>834</v>
      </c>
      <c r="F5" s="850" t="s">
        <v>833</v>
      </c>
      <c r="G5" s="850" t="s">
        <v>480</v>
      </c>
      <c r="H5" s="434" t="s">
        <v>832</v>
      </c>
    </row>
    <row r="6" spans="1:8" ht="24">
      <c r="A6" s="842"/>
      <c r="B6" s="843"/>
      <c r="C6" s="435" t="s">
        <v>481</v>
      </c>
      <c r="D6" s="435" t="s">
        <v>482</v>
      </c>
      <c r="E6" s="852"/>
      <c r="F6" s="851"/>
      <c r="G6" s="851"/>
      <c r="H6" s="434" t="s">
        <v>831</v>
      </c>
    </row>
    <row r="7" spans="1:8" ht="24">
      <c r="A7" s="432">
        <v>1</v>
      </c>
      <c r="B7" s="420" t="s">
        <v>123</v>
      </c>
      <c r="C7" s="723"/>
      <c r="D7" s="723">
        <v>386267335.33999997</v>
      </c>
      <c r="E7" s="723">
        <v>35859.921166411885</v>
      </c>
      <c r="F7" s="723"/>
      <c r="G7" s="723"/>
      <c r="H7" s="426">
        <f t="shared" ref="H7:H20" si="0">C7+D7-E7-F7</f>
        <v>386231475.41883355</v>
      </c>
    </row>
    <row r="8" spans="1:8" ht="14.55" customHeight="1">
      <c r="A8" s="432">
        <v>2</v>
      </c>
      <c r="B8" s="420" t="s">
        <v>124</v>
      </c>
      <c r="C8" s="723"/>
      <c r="D8" s="723">
        <v>0</v>
      </c>
      <c r="E8" s="723"/>
      <c r="F8" s="723"/>
      <c r="G8" s="723"/>
      <c r="H8" s="426">
        <f t="shared" si="0"/>
        <v>0</v>
      </c>
    </row>
    <row r="9" spans="1:8">
      <c r="A9" s="432">
        <v>3</v>
      </c>
      <c r="B9" s="420" t="s">
        <v>125</v>
      </c>
      <c r="C9" s="723"/>
      <c r="D9" s="723">
        <v>0</v>
      </c>
      <c r="E9" s="723"/>
      <c r="F9" s="723"/>
      <c r="G9" s="723"/>
      <c r="H9" s="426">
        <f t="shared" si="0"/>
        <v>0</v>
      </c>
    </row>
    <row r="10" spans="1:8">
      <c r="A10" s="432">
        <v>4</v>
      </c>
      <c r="B10" s="420" t="s">
        <v>126</v>
      </c>
      <c r="C10" s="723"/>
      <c r="D10" s="723">
        <v>0</v>
      </c>
      <c r="E10" s="723"/>
      <c r="F10" s="723"/>
      <c r="G10" s="723"/>
      <c r="H10" s="426">
        <f t="shared" si="0"/>
        <v>0</v>
      </c>
    </row>
    <row r="11" spans="1:8">
      <c r="A11" s="432">
        <v>5</v>
      </c>
      <c r="B11" s="420" t="s">
        <v>911</v>
      </c>
      <c r="C11" s="723"/>
      <c r="D11" s="723">
        <v>0</v>
      </c>
      <c r="E11" s="723"/>
      <c r="F11" s="723"/>
      <c r="G11" s="723"/>
      <c r="H11" s="426">
        <f t="shared" si="0"/>
        <v>0</v>
      </c>
    </row>
    <row r="12" spans="1:8">
      <c r="A12" s="432">
        <v>6</v>
      </c>
      <c r="B12" s="420" t="s">
        <v>127</v>
      </c>
      <c r="C12" s="723"/>
      <c r="D12" s="723">
        <v>152926402.97</v>
      </c>
      <c r="E12" s="723">
        <v>12351.042617857322</v>
      </c>
      <c r="F12" s="723"/>
      <c r="G12" s="723"/>
      <c r="H12" s="426">
        <f t="shared" si="0"/>
        <v>152914051.92738214</v>
      </c>
    </row>
    <row r="13" spans="1:8">
      <c r="A13" s="432">
        <v>7</v>
      </c>
      <c r="B13" s="420" t="s">
        <v>71</v>
      </c>
      <c r="C13" s="723">
        <v>0</v>
      </c>
      <c r="D13" s="723">
        <v>136029315.72786286</v>
      </c>
      <c r="E13" s="723">
        <v>485887.19527196488</v>
      </c>
      <c r="F13" s="723"/>
      <c r="G13" s="723">
        <v>5114.4923629999994</v>
      </c>
      <c r="H13" s="426">
        <f t="shared" si="0"/>
        <v>135543428.5325909</v>
      </c>
    </row>
    <row r="14" spans="1:8">
      <c r="A14" s="432">
        <v>8</v>
      </c>
      <c r="B14" s="422" t="s">
        <v>72</v>
      </c>
      <c r="C14" s="723">
        <v>31604680.018836595</v>
      </c>
      <c r="D14" s="723">
        <v>3116743150.0661983</v>
      </c>
      <c r="E14" s="723">
        <v>81646707.988081202</v>
      </c>
      <c r="F14" s="723"/>
      <c r="G14" s="723">
        <v>18302853.622277226</v>
      </c>
      <c r="H14" s="426">
        <f t="shared" si="0"/>
        <v>3066701122.0969539</v>
      </c>
    </row>
    <row r="15" spans="1:8" ht="24">
      <c r="A15" s="432">
        <v>9</v>
      </c>
      <c r="B15" s="420" t="s">
        <v>912</v>
      </c>
      <c r="C15" s="723">
        <v>647818.56223071658</v>
      </c>
      <c r="D15" s="723">
        <v>142294293.36389482</v>
      </c>
      <c r="E15" s="723">
        <v>836901.97528840369</v>
      </c>
      <c r="F15" s="723"/>
      <c r="G15" s="723">
        <v>261721.3933139999</v>
      </c>
      <c r="H15" s="426">
        <f t="shared" si="0"/>
        <v>142105209.95083714</v>
      </c>
    </row>
    <row r="16" spans="1:8">
      <c r="A16" s="432">
        <v>10</v>
      </c>
      <c r="B16" s="424" t="s">
        <v>483</v>
      </c>
      <c r="C16" s="723">
        <v>32248425.175807226</v>
      </c>
      <c r="D16" s="723">
        <v>0</v>
      </c>
      <c r="E16" s="723">
        <v>23490860.966307435</v>
      </c>
      <c r="F16" s="723"/>
      <c r="G16" s="723">
        <v>18569689.507954225</v>
      </c>
      <c r="H16" s="426">
        <f t="shared" si="0"/>
        <v>8757564.2094997913</v>
      </c>
    </row>
    <row r="17" spans="1:8">
      <c r="A17" s="432">
        <v>11</v>
      </c>
      <c r="B17" s="420" t="s">
        <v>68</v>
      </c>
      <c r="C17" s="723"/>
      <c r="D17" s="723"/>
      <c r="E17" s="723"/>
      <c r="F17" s="723"/>
      <c r="G17" s="723"/>
      <c r="H17" s="426">
        <f t="shared" si="0"/>
        <v>0</v>
      </c>
    </row>
    <row r="18" spans="1:8">
      <c r="A18" s="432">
        <v>12</v>
      </c>
      <c r="B18" s="420" t="s">
        <v>69</v>
      </c>
      <c r="C18" s="723"/>
      <c r="D18" s="723"/>
      <c r="E18" s="723"/>
      <c r="F18" s="723"/>
      <c r="G18" s="723"/>
      <c r="H18" s="426">
        <f t="shared" si="0"/>
        <v>0</v>
      </c>
    </row>
    <row r="19" spans="1:8">
      <c r="A19" s="433">
        <v>13</v>
      </c>
      <c r="B19" s="422" t="s">
        <v>70</v>
      </c>
      <c r="C19" s="723"/>
      <c r="D19" s="723"/>
      <c r="E19" s="723"/>
      <c r="F19" s="723"/>
      <c r="G19" s="723"/>
      <c r="H19" s="426">
        <f t="shared" si="0"/>
        <v>0</v>
      </c>
    </row>
    <row r="20" spans="1:8">
      <c r="A20" s="432">
        <v>14</v>
      </c>
      <c r="B20" s="420" t="s">
        <v>469</v>
      </c>
      <c r="C20" s="723"/>
      <c r="D20" s="723">
        <v>278902133.49621487</v>
      </c>
      <c r="E20" s="723">
        <v>7462881.616215731</v>
      </c>
      <c r="F20" s="723"/>
      <c r="G20" s="723"/>
      <c r="H20" s="426">
        <f t="shared" si="0"/>
        <v>271439251.87999916</v>
      </c>
    </row>
    <row r="21" spans="1:8" s="320" customFormat="1">
      <c r="A21" s="431">
        <v>15</v>
      </c>
      <c r="B21" s="430" t="s">
        <v>66</v>
      </c>
      <c r="C21" s="724">
        <f t="shared" ref="C21:H21" si="1">SUM(C7:C15)+SUM(C17:C20)</f>
        <v>32252498.581067313</v>
      </c>
      <c r="D21" s="724">
        <f t="shared" si="1"/>
        <v>4213162630.9641709</v>
      </c>
      <c r="E21" s="724">
        <f t="shared" si="1"/>
        <v>90480589.738641575</v>
      </c>
      <c r="F21" s="724">
        <f t="shared" si="1"/>
        <v>0</v>
      </c>
      <c r="G21" s="724">
        <f t="shared" si="1"/>
        <v>18569689.507954225</v>
      </c>
      <c r="H21" s="426">
        <f t="shared" si="1"/>
        <v>4154934539.8065968</v>
      </c>
    </row>
    <row r="22" spans="1:8">
      <c r="A22" s="429">
        <v>16</v>
      </c>
      <c r="B22" s="428" t="s">
        <v>484</v>
      </c>
      <c r="C22" s="723">
        <f>C14+C15+C13</f>
        <v>32252498.581067313</v>
      </c>
      <c r="D22" s="723">
        <f>SUM(D13:D15)</f>
        <v>3395066759.1579561</v>
      </c>
      <c r="E22" s="723">
        <f>SUM(E13:E15)</f>
        <v>82969497.158641577</v>
      </c>
      <c r="F22" s="723"/>
      <c r="G22" s="723">
        <f>G16</f>
        <v>18569689.507954225</v>
      </c>
      <c r="H22" s="426">
        <f>C22+D22-E22-F22</f>
        <v>3344349760.5803814</v>
      </c>
    </row>
    <row r="23" spans="1:8">
      <c r="A23" s="429">
        <v>17</v>
      </c>
      <c r="B23" s="428" t="s">
        <v>485</v>
      </c>
      <c r="C23" s="723"/>
      <c r="D23" s="723">
        <v>54477438.950000003</v>
      </c>
      <c r="E23" s="723">
        <v>12859.13</v>
      </c>
      <c r="F23" s="723"/>
      <c r="G23" s="723"/>
      <c r="H23" s="426">
        <f>C23+D23-E23-F23</f>
        <v>54464579.82</v>
      </c>
    </row>
    <row r="26" spans="1:8" ht="42.45" customHeight="1">
      <c r="B26" s="333" t="s">
        <v>647</v>
      </c>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orientation="portrait" horizontalDpi="90" verticalDpi="90" r:id="rId1"/>
  <ignoredErrors>
    <ignoredError sqref="D22" formulaRange="1"/>
    <ignoredError sqref="H21" formula="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H36"/>
  <sheetViews>
    <sheetView showGridLines="0" topLeftCell="B5" zoomScale="80" zoomScaleNormal="80" workbookViewId="0">
      <selection activeCell="C7" sqref="C7:G33"/>
    </sheetView>
  </sheetViews>
  <sheetFormatPr defaultColWidth="9.21875" defaultRowHeight="12"/>
  <cols>
    <col min="1" max="1" width="11" style="316" bestFit="1" customWidth="1"/>
    <col min="2" max="2" width="73.77734375" style="316" customWidth="1"/>
    <col min="3" max="4" width="35" style="316" customWidth="1"/>
    <col min="5" max="7" width="22" style="316" customWidth="1"/>
    <col min="8" max="8" width="35.6640625" style="316" customWidth="1"/>
    <col min="9" max="16384" width="9.21875" style="316"/>
  </cols>
  <sheetData>
    <row r="1" spans="1:8" ht="13.8">
      <c r="A1" s="315" t="s">
        <v>97</v>
      </c>
      <c r="B1" s="244" t="str">
        <f>Info!C2</f>
        <v>სს "კრედო ბანკი"</v>
      </c>
      <c r="C1" s="437"/>
      <c r="D1" s="437"/>
      <c r="E1" s="437"/>
      <c r="F1" s="437"/>
      <c r="G1" s="437"/>
      <c r="H1" s="437"/>
    </row>
    <row r="2" spans="1:8">
      <c r="A2" s="315" t="s">
        <v>98</v>
      </c>
      <c r="B2" s="318">
        <f>'1. key ratios'!B2</f>
        <v>46203</v>
      </c>
      <c r="C2" s="437"/>
      <c r="D2" s="437"/>
      <c r="E2" s="437"/>
      <c r="F2" s="437"/>
      <c r="G2" s="437"/>
      <c r="H2" s="437"/>
    </row>
    <row r="3" spans="1:8">
      <c r="A3" s="317" t="s">
        <v>486</v>
      </c>
      <c r="B3" s="437"/>
      <c r="C3" s="437"/>
      <c r="D3" s="437"/>
      <c r="E3" s="437"/>
      <c r="F3" s="437"/>
      <c r="G3" s="437"/>
      <c r="H3" s="437"/>
    </row>
    <row r="4" spans="1:8">
      <c r="A4" s="437"/>
      <c r="B4" s="437"/>
      <c r="C4" s="436" t="s">
        <v>471</v>
      </c>
      <c r="D4" s="436" t="s">
        <v>472</v>
      </c>
      <c r="E4" s="436" t="s">
        <v>473</v>
      </c>
      <c r="F4" s="436" t="s">
        <v>474</v>
      </c>
      <c r="G4" s="436" t="s">
        <v>475</v>
      </c>
      <c r="H4" s="436" t="s">
        <v>476</v>
      </c>
    </row>
    <row r="5" spans="1:8" ht="41.55" customHeight="1">
      <c r="A5" s="838" t="s">
        <v>837</v>
      </c>
      <c r="B5" s="839"/>
      <c r="C5" s="853" t="s">
        <v>565</v>
      </c>
      <c r="D5" s="854"/>
      <c r="E5" s="850" t="s">
        <v>834</v>
      </c>
      <c r="F5" s="850" t="s">
        <v>833</v>
      </c>
      <c r="G5" s="850" t="s">
        <v>480</v>
      </c>
      <c r="H5" s="434" t="s">
        <v>832</v>
      </c>
    </row>
    <row r="6" spans="1:8" ht="24">
      <c r="A6" s="842"/>
      <c r="B6" s="843"/>
      <c r="C6" s="435" t="s">
        <v>481</v>
      </c>
      <c r="D6" s="435" t="s">
        <v>482</v>
      </c>
      <c r="E6" s="851"/>
      <c r="F6" s="851"/>
      <c r="G6" s="851"/>
      <c r="H6" s="434" t="s">
        <v>831</v>
      </c>
    </row>
    <row r="7" spans="1:8">
      <c r="A7" s="427">
        <v>1</v>
      </c>
      <c r="B7" s="440" t="s">
        <v>487</v>
      </c>
      <c r="C7" s="723">
        <v>134284.51</v>
      </c>
      <c r="D7" s="723">
        <v>414830768.14999998</v>
      </c>
      <c r="E7" s="723">
        <v>528641.06116641185</v>
      </c>
      <c r="F7" s="723"/>
      <c r="G7" s="723">
        <v>65930.831749999998</v>
      </c>
      <c r="H7" s="426">
        <f t="shared" ref="H7:H34" si="0">C7+D7-E7-F7</f>
        <v>414436411.59883356</v>
      </c>
    </row>
    <row r="8" spans="1:8">
      <c r="A8" s="427">
        <v>2</v>
      </c>
      <c r="B8" s="440" t="s">
        <v>488</v>
      </c>
      <c r="C8" s="723">
        <v>163647.84</v>
      </c>
      <c r="D8" s="723">
        <v>180801127.05378428</v>
      </c>
      <c r="E8" s="723">
        <v>400822.16261785734</v>
      </c>
      <c r="F8" s="723"/>
      <c r="G8" s="723">
        <v>46213.969613000001</v>
      </c>
      <c r="H8" s="426">
        <f t="shared" si="0"/>
        <v>180563952.73116642</v>
      </c>
    </row>
    <row r="9" spans="1:8">
      <c r="A9" s="427">
        <v>3</v>
      </c>
      <c r="B9" s="440" t="s">
        <v>836</v>
      </c>
      <c r="C9" s="723">
        <v>64237.63</v>
      </c>
      <c r="D9" s="723">
        <v>8634432.0499999989</v>
      </c>
      <c r="E9" s="723">
        <v>180476.08</v>
      </c>
      <c r="F9" s="723"/>
      <c r="G9" s="723">
        <v>88436.790000000008</v>
      </c>
      <c r="H9" s="426">
        <f t="shared" si="0"/>
        <v>8518193.5999999996</v>
      </c>
    </row>
    <row r="10" spans="1:8">
      <c r="A10" s="427">
        <v>4</v>
      </c>
      <c r="B10" s="440" t="s">
        <v>489</v>
      </c>
      <c r="C10" s="723">
        <v>0</v>
      </c>
      <c r="D10" s="723">
        <v>61497480.350000001</v>
      </c>
      <c r="E10" s="723">
        <v>246272.53999999998</v>
      </c>
      <c r="F10" s="723"/>
      <c r="G10" s="723">
        <v>619.5</v>
      </c>
      <c r="H10" s="426">
        <f t="shared" si="0"/>
        <v>61251207.810000002</v>
      </c>
    </row>
    <row r="11" spans="1:8">
      <c r="A11" s="427">
        <v>5</v>
      </c>
      <c r="B11" s="440" t="s">
        <v>490</v>
      </c>
      <c r="C11" s="723">
        <v>2218.2399999999998</v>
      </c>
      <c r="D11" s="723">
        <v>56933575.759999998</v>
      </c>
      <c r="E11" s="723">
        <v>300405.58999999997</v>
      </c>
      <c r="F11" s="723"/>
      <c r="G11" s="723">
        <v>51629.178724999998</v>
      </c>
      <c r="H11" s="426">
        <f t="shared" si="0"/>
        <v>56635388.409999996</v>
      </c>
    </row>
    <row r="12" spans="1:8">
      <c r="A12" s="427">
        <v>6</v>
      </c>
      <c r="B12" s="440" t="s">
        <v>491</v>
      </c>
      <c r="C12" s="723">
        <v>117491.23</v>
      </c>
      <c r="D12" s="723">
        <v>17199264.060000002</v>
      </c>
      <c r="E12" s="723">
        <v>364718.99000000005</v>
      </c>
      <c r="F12" s="723"/>
      <c r="G12" s="723">
        <v>35130.439999999981</v>
      </c>
      <c r="H12" s="426">
        <f t="shared" si="0"/>
        <v>16952036.300000004</v>
      </c>
    </row>
    <row r="13" spans="1:8">
      <c r="A13" s="427">
        <v>7</v>
      </c>
      <c r="B13" s="440" t="s">
        <v>492</v>
      </c>
      <c r="C13" s="723">
        <v>56523.47</v>
      </c>
      <c r="D13" s="723">
        <v>6429665.5899999999</v>
      </c>
      <c r="E13" s="723">
        <v>179119.02000000002</v>
      </c>
      <c r="F13" s="723"/>
      <c r="G13" s="723">
        <v>110218.74</v>
      </c>
      <c r="H13" s="426">
        <f t="shared" si="0"/>
        <v>6307070.0399999991</v>
      </c>
    </row>
    <row r="14" spans="1:8">
      <c r="A14" s="427">
        <v>8</v>
      </c>
      <c r="B14" s="440" t="s">
        <v>493</v>
      </c>
      <c r="C14" s="723">
        <v>1696932.12</v>
      </c>
      <c r="D14" s="723">
        <v>226275784.56</v>
      </c>
      <c r="E14" s="723">
        <v>4639947.67</v>
      </c>
      <c r="F14" s="723"/>
      <c r="G14" s="723">
        <v>755004.44858599955</v>
      </c>
      <c r="H14" s="426">
        <f t="shared" si="0"/>
        <v>223332769.01000002</v>
      </c>
    </row>
    <row r="15" spans="1:8">
      <c r="A15" s="427">
        <v>9</v>
      </c>
      <c r="B15" s="440" t="s">
        <v>494</v>
      </c>
      <c r="C15" s="723">
        <v>261205.11</v>
      </c>
      <c r="D15" s="723">
        <v>37811373.140000001</v>
      </c>
      <c r="E15" s="723">
        <v>988168.98999999987</v>
      </c>
      <c r="F15" s="723"/>
      <c r="G15" s="723">
        <v>148639.46645699991</v>
      </c>
      <c r="H15" s="426">
        <f t="shared" si="0"/>
        <v>37084409.259999998</v>
      </c>
    </row>
    <row r="16" spans="1:8">
      <c r="A16" s="427">
        <v>10</v>
      </c>
      <c r="B16" s="440" t="s">
        <v>495</v>
      </c>
      <c r="C16" s="723">
        <v>225661.16</v>
      </c>
      <c r="D16" s="723">
        <v>19726495.949999999</v>
      </c>
      <c r="E16" s="723">
        <v>485040.44000000006</v>
      </c>
      <c r="F16" s="723"/>
      <c r="G16" s="723">
        <v>87985.51999999999</v>
      </c>
      <c r="H16" s="426">
        <f t="shared" si="0"/>
        <v>19467116.669999998</v>
      </c>
    </row>
    <row r="17" spans="1:8">
      <c r="A17" s="427">
        <v>11</v>
      </c>
      <c r="B17" s="440" t="s">
        <v>496</v>
      </c>
      <c r="C17" s="723">
        <v>53439.98</v>
      </c>
      <c r="D17" s="723">
        <v>9237555.5199999996</v>
      </c>
      <c r="E17" s="723">
        <v>234701.61</v>
      </c>
      <c r="F17" s="723"/>
      <c r="G17" s="723">
        <v>64863.225430000035</v>
      </c>
      <c r="H17" s="426">
        <f t="shared" si="0"/>
        <v>9056293.8900000006</v>
      </c>
    </row>
    <row r="18" spans="1:8">
      <c r="A18" s="427">
        <v>12</v>
      </c>
      <c r="B18" s="440" t="s">
        <v>497</v>
      </c>
      <c r="C18" s="723">
        <v>1288852.94</v>
      </c>
      <c r="D18" s="723">
        <v>180854480.42999998</v>
      </c>
      <c r="E18" s="723">
        <v>3358614.4299999997</v>
      </c>
      <c r="F18" s="723"/>
      <c r="G18" s="723">
        <v>995615.99782800092</v>
      </c>
      <c r="H18" s="426">
        <f t="shared" si="0"/>
        <v>178784718.93999997</v>
      </c>
    </row>
    <row r="19" spans="1:8">
      <c r="A19" s="427">
        <v>13</v>
      </c>
      <c r="B19" s="440" t="s">
        <v>498</v>
      </c>
      <c r="C19" s="723">
        <v>314518.44</v>
      </c>
      <c r="D19" s="723">
        <v>30800315.949999999</v>
      </c>
      <c r="E19" s="723">
        <v>801033.41</v>
      </c>
      <c r="F19" s="723"/>
      <c r="G19" s="723">
        <v>138438.08780900002</v>
      </c>
      <c r="H19" s="426">
        <f t="shared" si="0"/>
        <v>30313800.98</v>
      </c>
    </row>
    <row r="20" spans="1:8">
      <c r="A20" s="427">
        <v>14</v>
      </c>
      <c r="B20" s="440" t="s">
        <v>499</v>
      </c>
      <c r="C20" s="723">
        <v>334160.58</v>
      </c>
      <c r="D20" s="723">
        <v>108880400</v>
      </c>
      <c r="E20" s="723">
        <v>1173965.1000000001</v>
      </c>
      <c r="F20" s="723"/>
      <c r="G20" s="723">
        <v>62659.723360000011</v>
      </c>
      <c r="H20" s="426">
        <f t="shared" si="0"/>
        <v>108040595.48</v>
      </c>
    </row>
    <row r="21" spans="1:8">
      <c r="A21" s="427">
        <v>15</v>
      </c>
      <c r="B21" s="440" t="s">
        <v>500</v>
      </c>
      <c r="C21" s="723">
        <v>601601.42000000004</v>
      </c>
      <c r="D21" s="723">
        <v>68428075.829999998</v>
      </c>
      <c r="E21" s="723">
        <v>1712313.7000000002</v>
      </c>
      <c r="F21" s="723"/>
      <c r="G21" s="723">
        <v>387934.17067899997</v>
      </c>
      <c r="H21" s="426">
        <f t="shared" si="0"/>
        <v>67317363.549999997</v>
      </c>
    </row>
    <row r="22" spans="1:8">
      <c r="A22" s="427">
        <v>16</v>
      </c>
      <c r="B22" s="440" t="s">
        <v>501</v>
      </c>
      <c r="C22" s="723">
        <v>182607.13</v>
      </c>
      <c r="D22" s="723">
        <v>15439445.43</v>
      </c>
      <c r="E22" s="723">
        <v>534567.30999999994</v>
      </c>
      <c r="F22" s="723"/>
      <c r="G22" s="723">
        <v>64296.97</v>
      </c>
      <c r="H22" s="426">
        <f t="shared" si="0"/>
        <v>15087485.25</v>
      </c>
    </row>
    <row r="23" spans="1:8">
      <c r="A23" s="427">
        <v>17</v>
      </c>
      <c r="B23" s="440" t="s">
        <v>502</v>
      </c>
      <c r="C23" s="723">
        <v>21876.26</v>
      </c>
      <c r="D23" s="723">
        <v>1101072.5</v>
      </c>
      <c r="E23" s="723">
        <v>43139.82</v>
      </c>
      <c r="F23" s="723"/>
      <c r="G23" s="723">
        <v>1451.1299999999999</v>
      </c>
      <c r="H23" s="426">
        <f t="shared" si="0"/>
        <v>1079808.94</v>
      </c>
    </row>
    <row r="24" spans="1:8">
      <c r="A24" s="427">
        <v>18</v>
      </c>
      <c r="B24" s="440" t="s">
        <v>503</v>
      </c>
      <c r="C24" s="723">
        <v>18337.75</v>
      </c>
      <c r="D24" s="723">
        <v>4609347.9400000004</v>
      </c>
      <c r="E24" s="723">
        <v>112062.92</v>
      </c>
      <c r="F24" s="723"/>
      <c r="G24" s="723">
        <v>5711.14</v>
      </c>
      <c r="H24" s="426">
        <f t="shared" si="0"/>
        <v>4515622.7700000005</v>
      </c>
    </row>
    <row r="25" spans="1:8">
      <c r="A25" s="427">
        <v>19</v>
      </c>
      <c r="B25" s="440" t="s">
        <v>504</v>
      </c>
      <c r="C25" s="723">
        <v>53271.49</v>
      </c>
      <c r="D25" s="723">
        <v>11590750.52</v>
      </c>
      <c r="E25" s="723">
        <v>162860.70000000001</v>
      </c>
      <c r="F25" s="723"/>
      <c r="G25" s="723">
        <v>22224.299999999996</v>
      </c>
      <c r="H25" s="426">
        <f t="shared" si="0"/>
        <v>11481161.310000001</v>
      </c>
    </row>
    <row r="26" spans="1:8">
      <c r="A26" s="427">
        <v>20</v>
      </c>
      <c r="B26" s="440" t="s">
        <v>505</v>
      </c>
      <c r="C26" s="723">
        <v>49840.76</v>
      </c>
      <c r="D26" s="723">
        <v>23426760.890000001</v>
      </c>
      <c r="E26" s="723">
        <v>297653.03000000003</v>
      </c>
      <c r="F26" s="723"/>
      <c r="G26" s="723">
        <v>12149.470000000003</v>
      </c>
      <c r="H26" s="426">
        <f t="shared" si="0"/>
        <v>23178948.620000001</v>
      </c>
    </row>
    <row r="27" spans="1:8">
      <c r="A27" s="427">
        <v>21</v>
      </c>
      <c r="B27" s="440" t="s">
        <v>506</v>
      </c>
      <c r="C27" s="723">
        <v>925.86</v>
      </c>
      <c r="D27" s="723">
        <v>3156942.16</v>
      </c>
      <c r="E27" s="723">
        <v>41674.410000000003</v>
      </c>
      <c r="F27" s="723"/>
      <c r="G27" s="723">
        <v>937.09</v>
      </c>
      <c r="H27" s="426">
        <f t="shared" si="0"/>
        <v>3116193.61</v>
      </c>
    </row>
    <row r="28" spans="1:8">
      <c r="A28" s="427">
        <v>22</v>
      </c>
      <c r="B28" s="440" t="s">
        <v>507</v>
      </c>
      <c r="C28" s="723">
        <v>747.09</v>
      </c>
      <c r="D28" s="723">
        <v>1881756.7</v>
      </c>
      <c r="E28" s="723">
        <v>34798.22</v>
      </c>
      <c r="F28" s="723"/>
      <c r="G28" s="723">
        <v>87.3</v>
      </c>
      <c r="H28" s="426">
        <f t="shared" si="0"/>
        <v>1847705.57</v>
      </c>
    </row>
    <row r="29" spans="1:8">
      <c r="A29" s="427">
        <v>23</v>
      </c>
      <c r="B29" s="440" t="s">
        <v>508</v>
      </c>
      <c r="C29" s="723">
        <v>8911087.9399999995</v>
      </c>
      <c r="D29" s="723">
        <v>746480909.88999999</v>
      </c>
      <c r="E29" s="723">
        <v>22110290.25</v>
      </c>
      <c r="F29" s="723"/>
      <c r="G29" s="723">
        <v>4862037.5321940081</v>
      </c>
      <c r="H29" s="426">
        <f t="shared" si="0"/>
        <v>733281707.58000004</v>
      </c>
    </row>
    <row r="30" spans="1:8">
      <c r="A30" s="427">
        <v>24</v>
      </c>
      <c r="B30" s="440" t="s">
        <v>509</v>
      </c>
      <c r="C30" s="723">
        <v>11571161.68</v>
      </c>
      <c r="D30" s="723">
        <v>1195457788.1700001</v>
      </c>
      <c r="E30" s="723">
        <v>32259158.540000003</v>
      </c>
      <c r="F30" s="723"/>
      <c r="G30" s="723">
        <v>7475479.4510809686</v>
      </c>
      <c r="H30" s="426">
        <f t="shared" si="0"/>
        <v>1174769791.3100002</v>
      </c>
    </row>
    <row r="31" spans="1:8">
      <c r="A31" s="427">
        <v>25</v>
      </c>
      <c r="B31" s="440" t="s">
        <v>510</v>
      </c>
      <c r="C31" s="723">
        <v>4795304.8599999994</v>
      </c>
      <c r="D31" s="723">
        <v>398802737.94</v>
      </c>
      <c r="E31" s="723">
        <v>8720147.9399999995</v>
      </c>
      <c r="F31" s="723"/>
      <c r="G31" s="723">
        <v>2212137.6611622465</v>
      </c>
      <c r="H31" s="426">
        <f t="shared" si="0"/>
        <v>394877894.86000001</v>
      </c>
    </row>
    <row r="32" spans="1:8">
      <c r="A32" s="427">
        <v>26</v>
      </c>
      <c r="B32" s="440" t="s">
        <v>511</v>
      </c>
      <c r="C32" s="723">
        <v>1332563.0900000001</v>
      </c>
      <c r="D32" s="723">
        <v>103972191.65000001</v>
      </c>
      <c r="E32" s="723">
        <v>3107114.24</v>
      </c>
      <c r="F32" s="723"/>
      <c r="G32" s="723">
        <v>873857.37327999878</v>
      </c>
      <c r="H32" s="426">
        <f t="shared" si="0"/>
        <v>102197640.50000001</v>
      </c>
    </row>
    <row r="33" spans="1:8">
      <c r="A33" s="427">
        <v>27</v>
      </c>
      <c r="B33" s="427" t="s">
        <v>88</v>
      </c>
      <c r="C33" s="723"/>
      <c r="D33" s="723">
        <v>278902133.49621487</v>
      </c>
      <c r="E33" s="723">
        <v>7462881.616215731</v>
      </c>
      <c r="F33" s="723"/>
      <c r="G33" s="723"/>
      <c r="H33" s="426">
        <f t="shared" si="0"/>
        <v>271439251.87999916</v>
      </c>
    </row>
    <row r="34" spans="1:8">
      <c r="A34" s="427">
        <v>28</v>
      </c>
      <c r="B34" s="430" t="s">
        <v>66</v>
      </c>
      <c r="C34" s="724">
        <f>SUM(C7:C33)</f>
        <v>32252498.579999998</v>
      </c>
      <c r="D34" s="724">
        <f>SUM(D7:D33)</f>
        <v>4213162631.6799998</v>
      </c>
      <c r="E34" s="724">
        <f>SUM(E7:E33)</f>
        <v>90480589.789999992</v>
      </c>
      <c r="F34" s="724">
        <f>SUM(F7:F33)</f>
        <v>0</v>
      </c>
      <c r="G34" s="724">
        <f>SUM(G7:G33)</f>
        <v>18569689.507954225</v>
      </c>
      <c r="H34" s="426">
        <f t="shared" si="0"/>
        <v>4154934540.4699998</v>
      </c>
    </row>
    <row r="36" spans="1:8">
      <c r="B36" s="321"/>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D15"/>
  <sheetViews>
    <sheetView showGridLines="0" zoomScale="80" zoomScaleNormal="80" workbookViewId="0">
      <selection activeCell="C11" sqref="C11:C14"/>
    </sheetView>
  </sheetViews>
  <sheetFormatPr defaultColWidth="9.21875" defaultRowHeight="12"/>
  <cols>
    <col min="1" max="1" width="11.77734375" style="316" bestFit="1" customWidth="1"/>
    <col min="2" max="2" width="108" style="316" bestFit="1" customWidth="1"/>
    <col min="3" max="3" width="35.5546875" style="316" customWidth="1"/>
    <col min="4" max="4" width="38.44140625" style="316" customWidth="1"/>
    <col min="5" max="16384" width="9.21875" style="316"/>
  </cols>
  <sheetData>
    <row r="1" spans="1:4" ht="13.8">
      <c r="A1" s="315" t="s">
        <v>97</v>
      </c>
      <c r="B1" s="244" t="str">
        <f>Info!C2</f>
        <v>სს "კრედო ბანკი"</v>
      </c>
    </row>
    <row r="2" spans="1:4">
      <c r="A2" s="315" t="s">
        <v>98</v>
      </c>
      <c r="B2" s="318">
        <f>'1. key ratios'!B2</f>
        <v>46203</v>
      </c>
    </row>
    <row r="3" spans="1:4">
      <c r="A3" s="317" t="s">
        <v>512</v>
      </c>
    </row>
    <row r="5" spans="1:4" ht="18" customHeight="1">
      <c r="A5" s="855" t="s">
        <v>848</v>
      </c>
      <c r="B5" s="855"/>
      <c r="C5" s="448" t="s">
        <v>531</v>
      </c>
      <c r="D5" s="448" t="s">
        <v>847</v>
      </c>
    </row>
    <row r="6" spans="1:4" ht="18" customHeight="1">
      <c r="A6" s="447">
        <v>1</v>
      </c>
      <c r="B6" s="441" t="s">
        <v>846</v>
      </c>
      <c r="C6" s="725">
        <v>75169539.501739085</v>
      </c>
      <c r="D6" s="725"/>
    </row>
    <row r="7" spans="1:4" ht="18" customHeight="1">
      <c r="A7" s="444">
        <v>2</v>
      </c>
      <c r="B7" s="441" t="s">
        <v>845</v>
      </c>
      <c r="C7" s="726">
        <f>SUM(C8:C9)</f>
        <v>63699112.226417139</v>
      </c>
      <c r="D7" s="725">
        <f>SUM(D8:D9)</f>
        <v>0</v>
      </c>
    </row>
    <row r="8" spans="1:4" ht="18" customHeight="1">
      <c r="A8" s="446">
        <v>2.1</v>
      </c>
      <c r="B8" s="445" t="s">
        <v>844</v>
      </c>
      <c r="C8" s="725">
        <v>8577723.1117430739</v>
      </c>
      <c r="D8" s="725"/>
    </row>
    <row r="9" spans="1:4" ht="18" customHeight="1">
      <c r="A9" s="446">
        <v>2.2000000000000002</v>
      </c>
      <c r="B9" s="445" t="s">
        <v>843</v>
      </c>
      <c r="C9" s="725">
        <v>55121389.114674062</v>
      </c>
      <c r="D9" s="725"/>
    </row>
    <row r="10" spans="1:4" ht="18" customHeight="1">
      <c r="A10" s="447">
        <v>3</v>
      </c>
      <c r="B10" s="441" t="s">
        <v>842</v>
      </c>
      <c r="C10" s="726">
        <f>SUM(C11:C13)</f>
        <v>55786015.065651223</v>
      </c>
      <c r="D10" s="725">
        <f>SUM(D11:D13)</f>
        <v>0</v>
      </c>
    </row>
    <row r="11" spans="1:4" ht="18" customHeight="1">
      <c r="A11" s="446">
        <v>3.1</v>
      </c>
      <c r="B11" s="445" t="s">
        <v>513</v>
      </c>
      <c r="C11" s="725">
        <v>18569689.507953532</v>
      </c>
      <c r="D11" s="725"/>
    </row>
    <row r="12" spans="1:4" ht="18" customHeight="1">
      <c r="A12" s="446">
        <v>3.2</v>
      </c>
      <c r="B12" s="445" t="s">
        <v>841</v>
      </c>
      <c r="C12" s="725">
        <v>11925931.320554793</v>
      </c>
      <c r="D12" s="725"/>
    </row>
    <row r="13" spans="1:4" ht="18" customHeight="1">
      <c r="A13" s="446">
        <v>3.3</v>
      </c>
      <c r="B13" s="445" t="s">
        <v>840</v>
      </c>
      <c r="C13" s="725">
        <v>25290394.237142898</v>
      </c>
      <c r="D13" s="725"/>
    </row>
    <row r="14" spans="1:4" ht="18" customHeight="1">
      <c r="A14" s="444">
        <v>4</v>
      </c>
      <c r="B14" s="443" t="s">
        <v>839</v>
      </c>
      <c r="C14" s="725">
        <v>-113139.50386372401</v>
      </c>
      <c r="D14" s="725"/>
    </row>
    <row r="15" spans="1:4" ht="18" customHeight="1">
      <c r="A15" s="442">
        <v>5</v>
      </c>
      <c r="B15" s="441" t="s">
        <v>838</v>
      </c>
      <c r="C15" s="726">
        <f>C6+C7-C10+C14</f>
        <v>82969497.158641264</v>
      </c>
      <c r="D15" s="726">
        <f>D6+D7-D10+D14</f>
        <v>0</v>
      </c>
    </row>
  </sheetData>
  <mergeCells count="1">
    <mergeCell ref="A5:B5"/>
  </mergeCells>
  <pageMargins left="0.7" right="0.7" top="0.75" bottom="0.75" header="0.3" footer="0.3"/>
  <pageSetup orientation="portrait" horizontalDpi="4294967292" verticalDpi="0" r:id="rId1"/>
  <ignoredErrors>
    <ignoredError sqref="C10" formulaRange="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D23"/>
  <sheetViews>
    <sheetView showGridLines="0" zoomScale="80" zoomScaleNormal="80" workbookViewId="0">
      <selection activeCell="C12" sqref="C12:C17"/>
    </sheetView>
  </sheetViews>
  <sheetFormatPr defaultColWidth="9.21875" defaultRowHeight="12"/>
  <cols>
    <col min="1" max="1" width="11.77734375" style="437" bestFit="1" customWidth="1"/>
    <col min="2" max="2" width="128.88671875" style="437" bestFit="1" customWidth="1"/>
    <col min="3" max="3" width="37" style="437" customWidth="1"/>
    <col min="4" max="4" width="50.5546875" style="437" customWidth="1"/>
    <col min="5" max="16384" width="9.21875" style="437"/>
  </cols>
  <sheetData>
    <row r="1" spans="1:4" ht="13.8">
      <c r="A1" s="315" t="s">
        <v>97</v>
      </c>
      <c r="B1" s="244" t="str">
        <f>Info!C2</f>
        <v>სს "კრედო ბანკი"</v>
      </c>
    </row>
    <row r="2" spans="1:4">
      <c r="A2" s="315" t="s">
        <v>98</v>
      </c>
      <c r="B2" s="318">
        <f>'1. key ratios'!B2</f>
        <v>46203</v>
      </c>
    </row>
    <row r="3" spans="1:4">
      <c r="A3" s="317" t="s">
        <v>514</v>
      </c>
    </row>
    <row r="4" spans="1:4">
      <c r="A4" s="317"/>
    </row>
    <row r="5" spans="1:4" ht="15" customHeight="1">
      <c r="A5" s="856" t="s">
        <v>515</v>
      </c>
      <c r="B5" s="857"/>
      <c r="C5" s="860" t="s">
        <v>516</v>
      </c>
      <c r="D5" s="860" t="s">
        <v>517</v>
      </c>
    </row>
    <row r="6" spans="1:4">
      <c r="A6" s="858"/>
      <c r="B6" s="859"/>
      <c r="C6" s="860"/>
      <c r="D6" s="860"/>
    </row>
    <row r="7" spans="1:4" ht="18" customHeight="1">
      <c r="A7" s="430">
        <v>1</v>
      </c>
      <c r="B7" s="430" t="s">
        <v>518</v>
      </c>
      <c r="C7" s="727">
        <v>25951461.920515314</v>
      </c>
      <c r="D7" s="449"/>
    </row>
    <row r="8" spans="1:4" ht="18" customHeight="1">
      <c r="A8" s="427">
        <v>2</v>
      </c>
      <c r="B8" s="427" t="s">
        <v>519</v>
      </c>
      <c r="C8" s="728">
        <v>32881236.899841361</v>
      </c>
      <c r="D8" s="449"/>
    </row>
    <row r="9" spans="1:4" ht="18" customHeight="1">
      <c r="A9" s="427">
        <v>3</v>
      </c>
      <c r="B9" s="452" t="s">
        <v>520</v>
      </c>
      <c r="C9" s="728"/>
      <c r="D9" s="449"/>
    </row>
    <row r="10" spans="1:4" ht="18" customHeight="1">
      <c r="A10" s="427">
        <v>4</v>
      </c>
      <c r="B10" s="427" t="s">
        <v>521</v>
      </c>
      <c r="C10" s="727">
        <f>SUM(C11:C17)</f>
        <v>26580200.239256471</v>
      </c>
      <c r="D10" s="449"/>
    </row>
    <row r="11" spans="1:4" ht="18" customHeight="1">
      <c r="A11" s="427">
        <v>5</v>
      </c>
      <c r="B11" s="451" t="s">
        <v>849</v>
      </c>
      <c r="C11" s="728"/>
      <c r="D11" s="449"/>
    </row>
    <row r="12" spans="1:4" ht="18" customHeight="1">
      <c r="A12" s="427">
        <v>6</v>
      </c>
      <c r="B12" s="451" t="s">
        <v>522</v>
      </c>
      <c r="C12" s="728">
        <v>1973650.4900000037</v>
      </c>
      <c r="D12" s="449"/>
    </row>
    <row r="13" spans="1:4" ht="18" customHeight="1">
      <c r="A13" s="427">
        <v>7</v>
      </c>
      <c r="B13" s="451" t="s">
        <v>525</v>
      </c>
      <c r="C13" s="728">
        <v>18569689.507953532</v>
      </c>
      <c r="D13" s="449"/>
    </row>
    <row r="14" spans="1:4" ht="18" customHeight="1">
      <c r="A14" s="427">
        <v>8</v>
      </c>
      <c r="B14" s="451" t="s">
        <v>523</v>
      </c>
      <c r="C14" s="728"/>
      <c r="D14" s="427"/>
    </row>
    <row r="15" spans="1:4" ht="18" customHeight="1">
      <c r="A15" s="427">
        <v>9</v>
      </c>
      <c r="B15" s="451" t="s">
        <v>524</v>
      </c>
      <c r="C15" s="728"/>
      <c r="D15" s="427"/>
    </row>
    <row r="16" spans="1:4" ht="18" customHeight="1">
      <c r="A16" s="427">
        <v>10</v>
      </c>
      <c r="B16" s="451" t="s">
        <v>526</v>
      </c>
      <c r="C16" s="728">
        <v>5976690.7348578991</v>
      </c>
      <c r="D16" s="427"/>
    </row>
    <row r="17" spans="1:4" ht="18" customHeight="1">
      <c r="A17" s="427">
        <v>11</v>
      </c>
      <c r="B17" s="451" t="s">
        <v>527</v>
      </c>
      <c r="C17" s="728">
        <v>60169.506445037507</v>
      </c>
      <c r="D17" s="449"/>
    </row>
    <row r="18" spans="1:4" ht="18" customHeight="1">
      <c r="A18" s="430">
        <v>12</v>
      </c>
      <c r="B18" s="450" t="s">
        <v>528</v>
      </c>
      <c r="C18" s="727">
        <f>C7+C8+C9-C10</f>
        <v>32252498.581100203</v>
      </c>
      <c r="D18" s="449"/>
    </row>
    <row r="21" spans="1:4">
      <c r="B21" s="315"/>
    </row>
    <row r="22" spans="1:4">
      <c r="B22" s="315"/>
    </row>
    <row r="23" spans="1:4">
      <c r="B23" s="317"/>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9.9978637043366805E-2"/>
  </sheetPr>
  <dimension ref="A1:AB28"/>
  <sheetViews>
    <sheetView showGridLines="0" zoomScale="80" zoomScaleNormal="80" workbookViewId="0">
      <selection activeCell="E8" sqref="E8:AA14"/>
    </sheetView>
  </sheetViews>
  <sheetFormatPr defaultColWidth="9.21875" defaultRowHeight="12"/>
  <cols>
    <col min="1" max="1" width="11.77734375" style="437" bestFit="1" customWidth="1"/>
    <col min="2" max="2" width="63.88671875" style="437" customWidth="1"/>
    <col min="3" max="3" width="15.5546875" style="437" customWidth="1"/>
    <col min="4" max="18" width="22.21875" style="437" customWidth="1"/>
    <col min="19" max="19" width="23.21875" style="437" bestFit="1" customWidth="1"/>
    <col min="20" max="26" width="22.21875" style="437" customWidth="1"/>
    <col min="27" max="27" width="23.21875" style="437" bestFit="1" customWidth="1"/>
    <col min="28" max="28" width="20" style="437" customWidth="1"/>
    <col min="29" max="16384" width="9.21875" style="437"/>
  </cols>
  <sheetData>
    <row r="1" spans="1:28" ht="13.8">
      <c r="A1" s="315" t="s">
        <v>97</v>
      </c>
      <c r="B1" s="244" t="str">
        <f>Info!C2</f>
        <v>სს "კრედო ბანკი"</v>
      </c>
    </row>
    <row r="2" spans="1:28">
      <c r="A2" s="315" t="s">
        <v>98</v>
      </c>
      <c r="B2" s="318">
        <f>'1. key ratios'!B2</f>
        <v>46203</v>
      </c>
      <c r="C2" s="438"/>
    </row>
    <row r="3" spans="1:28">
      <c r="A3" s="317" t="s">
        <v>529</v>
      </c>
    </row>
    <row r="5" spans="1:28" ht="15" customHeight="1">
      <c r="A5" s="861" t="s">
        <v>862</v>
      </c>
      <c r="B5" s="862"/>
      <c r="C5" s="853" t="s">
        <v>861</v>
      </c>
      <c r="D5" s="867"/>
      <c r="E5" s="867"/>
      <c r="F5" s="867"/>
      <c r="G5" s="867"/>
      <c r="H5" s="867"/>
      <c r="I5" s="867"/>
      <c r="J5" s="867"/>
      <c r="K5" s="867"/>
      <c r="L5" s="867"/>
      <c r="M5" s="867"/>
      <c r="N5" s="867"/>
      <c r="O5" s="867"/>
      <c r="P5" s="867"/>
      <c r="Q5" s="867"/>
      <c r="R5" s="867"/>
      <c r="S5" s="867"/>
      <c r="T5" s="463"/>
      <c r="U5" s="463"/>
      <c r="V5" s="463"/>
      <c r="W5" s="463"/>
      <c r="X5" s="463"/>
      <c r="Y5" s="463"/>
      <c r="Z5" s="463"/>
      <c r="AA5" s="462"/>
      <c r="AB5" s="455"/>
    </row>
    <row r="6" spans="1:28">
      <c r="A6" s="863"/>
      <c r="B6" s="864"/>
      <c r="C6" s="868" t="s">
        <v>66</v>
      </c>
      <c r="D6" s="870" t="s">
        <v>860</v>
      </c>
      <c r="E6" s="870"/>
      <c r="F6" s="870"/>
      <c r="G6" s="870"/>
      <c r="H6" s="871" t="s">
        <v>859</v>
      </c>
      <c r="I6" s="872"/>
      <c r="J6" s="872"/>
      <c r="K6" s="873"/>
      <c r="L6" s="460"/>
      <c r="M6" s="874" t="s">
        <v>858</v>
      </c>
      <c r="N6" s="874"/>
      <c r="O6" s="874"/>
      <c r="P6" s="874"/>
      <c r="Q6" s="874"/>
      <c r="R6" s="874"/>
      <c r="S6" s="851"/>
      <c r="T6" s="461"/>
      <c r="U6" s="854" t="s">
        <v>857</v>
      </c>
      <c r="V6" s="854"/>
      <c r="W6" s="854"/>
      <c r="X6" s="854"/>
      <c r="Y6" s="854"/>
      <c r="Z6" s="854"/>
      <c r="AA6" s="852"/>
      <c r="AB6" s="460"/>
    </row>
    <row r="7" spans="1:28" ht="24">
      <c r="A7" s="865"/>
      <c r="B7" s="866"/>
      <c r="C7" s="869"/>
      <c r="D7" s="459"/>
      <c r="E7" s="434" t="s">
        <v>530</v>
      </c>
      <c r="F7" s="434" t="s">
        <v>855</v>
      </c>
      <c r="G7" s="434" t="s">
        <v>856</v>
      </c>
      <c r="H7" s="458"/>
      <c r="I7" s="434" t="s">
        <v>530</v>
      </c>
      <c r="J7" s="434" t="s">
        <v>855</v>
      </c>
      <c r="K7" s="434" t="s">
        <v>856</v>
      </c>
      <c r="L7" s="457"/>
      <c r="M7" s="434" t="s">
        <v>530</v>
      </c>
      <c r="N7" s="434" t="s">
        <v>855</v>
      </c>
      <c r="O7" s="434" t="s">
        <v>854</v>
      </c>
      <c r="P7" s="434" t="s">
        <v>853</v>
      </c>
      <c r="Q7" s="434" t="s">
        <v>852</v>
      </c>
      <c r="R7" s="434" t="s">
        <v>851</v>
      </c>
      <c r="S7" s="434" t="s">
        <v>850</v>
      </c>
      <c r="T7" s="456"/>
      <c r="U7" s="434" t="s">
        <v>530</v>
      </c>
      <c r="V7" s="434" t="s">
        <v>855</v>
      </c>
      <c r="W7" s="434" t="s">
        <v>854</v>
      </c>
      <c r="X7" s="434" t="s">
        <v>853</v>
      </c>
      <c r="Y7" s="434" t="s">
        <v>852</v>
      </c>
      <c r="Z7" s="434" t="s">
        <v>851</v>
      </c>
      <c r="AA7" s="434" t="s">
        <v>850</v>
      </c>
      <c r="AB7" s="455"/>
    </row>
    <row r="8" spans="1:28">
      <c r="A8" s="454">
        <v>1</v>
      </c>
      <c r="B8" s="430" t="s">
        <v>531</v>
      </c>
      <c r="C8" s="724">
        <f t="shared" ref="C8:L8" si="0">SUM(C9:C14)</f>
        <v>3427319257.7391601</v>
      </c>
      <c r="D8" s="724">
        <f t="shared" si="0"/>
        <v>3244639601.6644912</v>
      </c>
      <c r="E8" s="724">
        <f t="shared" si="0"/>
        <v>21026993.192283545</v>
      </c>
      <c r="F8" s="724">
        <f t="shared" si="0"/>
        <v>0</v>
      </c>
      <c r="G8" s="724">
        <f t="shared" si="0"/>
        <v>0</v>
      </c>
      <c r="H8" s="724">
        <f t="shared" si="0"/>
        <v>150427157.49356878</v>
      </c>
      <c r="I8" s="724">
        <f t="shared" si="0"/>
        <v>7904004.8316524941</v>
      </c>
      <c r="J8" s="724">
        <f t="shared" si="0"/>
        <v>24189768.340604439</v>
      </c>
      <c r="K8" s="724">
        <f t="shared" si="0"/>
        <v>0</v>
      </c>
      <c r="L8" s="724">
        <f t="shared" si="0"/>
        <v>32248425.175807081</v>
      </c>
      <c r="M8" s="724">
        <f t="shared" ref="M8:S8" si="1">SUM(M9:M14)</f>
        <v>234464.91967297008</v>
      </c>
      <c r="N8" s="724">
        <f t="shared" si="1"/>
        <v>1698118.0381843171</v>
      </c>
      <c r="O8" s="724">
        <f t="shared" si="1"/>
        <v>27486501.493775226</v>
      </c>
      <c r="P8" s="724">
        <f t="shared" si="1"/>
        <v>0</v>
      </c>
      <c r="Q8" s="724">
        <f t="shared" si="1"/>
        <v>0</v>
      </c>
      <c r="R8" s="724">
        <f t="shared" si="1"/>
        <v>0</v>
      </c>
      <c r="S8" s="724">
        <f t="shared" si="1"/>
        <v>0</v>
      </c>
      <c r="T8" s="724">
        <f>SUM(T9:T14)</f>
        <v>4073.4052931453839</v>
      </c>
      <c r="U8" s="724">
        <f t="shared" ref="U8:AA8" si="2">SUM(U9:U14)</f>
        <v>0</v>
      </c>
      <c r="V8" s="724">
        <f t="shared" si="2"/>
        <v>0</v>
      </c>
      <c r="W8" s="724">
        <f t="shared" si="2"/>
        <v>0</v>
      </c>
      <c r="X8" s="724">
        <f t="shared" si="2"/>
        <v>0</v>
      </c>
      <c r="Y8" s="724">
        <f t="shared" si="2"/>
        <v>0</v>
      </c>
      <c r="Z8" s="724">
        <f t="shared" si="2"/>
        <v>0</v>
      </c>
      <c r="AA8" s="724">
        <f t="shared" si="2"/>
        <v>0</v>
      </c>
    </row>
    <row r="9" spans="1:28">
      <c r="A9" s="427">
        <v>1.1000000000000001</v>
      </c>
      <c r="B9" s="444" t="s">
        <v>532</v>
      </c>
      <c r="C9" s="444"/>
      <c r="D9" s="723"/>
      <c r="E9" s="723"/>
      <c r="F9" s="723"/>
      <c r="G9" s="723"/>
      <c r="H9" s="723"/>
      <c r="I9" s="723"/>
      <c r="J9" s="723"/>
      <c r="K9" s="723"/>
      <c r="L9" s="723"/>
      <c r="M9" s="723"/>
      <c r="N9" s="723"/>
      <c r="O9" s="723"/>
      <c r="P9" s="723"/>
      <c r="Q9" s="723"/>
      <c r="R9" s="723"/>
      <c r="S9" s="723"/>
      <c r="T9" s="723"/>
      <c r="U9" s="723"/>
      <c r="V9" s="723"/>
      <c r="W9" s="723"/>
      <c r="X9" s="723"/>
      <c r="Y9" s="723"/>
      <c r="Z9" s="723"/>
      <c r="AA9" s="723"/>
    </row>
    <row r="10" spans="1:28">
      <c r="A10" s="427">
        <v>1.2</v>
      </c>
      <c r="B10" s="444" t="s">
        <v>533</v>
      </c>
      <c r="C10" s="444"/>
      <c r="D10" s="723"/>
      <c r="E10" s="723"/>
      <c r="F10" s="723"/>
      <c r="G10" s="723"/>
      <c r="H10" s="723"/>
      <c r="I10" s="723"/>
      <c r="J10" s="723"/>
      <c r="K10" s="723"/>
      <c r="L10" s="723"/>
      <c r="M10" s="723"/>
      <c r="N10" s="723"/>
      <c r="O10" s="723"/>
      <c r="P10" s="723"/>
      <c r="Q10" s="723"/>
      <c r="R10" s="723"/>
      <c r="S10" s="723"/>
      <c r="T10" s="723"/>
      <c r="U10" s="723"/>
      <c r="V10" s="723"/>
      <c r="W10" s="723"/>
      <c r="X10" s="723"/>
      <c r="Y10" s="723"/>
      <c r="Z10" s="723"/>
      <c r="AA10" s="723"/>
    </row>
    <row r="11" spans="1:28">
      <c r="A11" s="427">
        <v>1.3</v>
      </c>
      <c r="B11" s="444" t="s">
        <v>534</v>
      </c>
      <c r="C11" s="444"/>
      <c r="D11" s="723"/>
      <c r="E11" s="723"/>
      <c r="F11" s="723"/>
      <c r="G11" s="723"/>
      <c r="H11" s="723"/>
      <c r="I11" s="723"/>
      <c r="J11" s="723"/>
      <c r="K11" s="723"/>
      <c r="L11" s="723"/>
      <c r="M11" s="723"/>
      <c r="N11" s="723"/>
      <c r="O11" s="723"/>
      <c r="P11" s="723"/>
      <c r="Q11" s="723"/>
      <c r="R11" s="723"/>
      <c r="S11" s="723"/>
      <c r="T11" s="723"/>
      <c r="U11" s="723"/>
      <c r="V11" s="723"/>
      <c r="W11" s="723"/>
      <c r="X11" s="723"/>
      <c r="Y11" s="723"/>
      <c r="Z11" s="723"/>
      <c r="AA11" s="723"/>
    </row>
    <row r="12" spans="1:28">
      <c r="A12" s="427">
        <v>1.4</v>
      </c>
      <c r="B12" s="444" t="s">
        <v>535</v>
      </c>
      <c r="C12" s="444"/>
      <c r="D12" s="723"/>
      <c r="E12" s="723"/>
      <c r="F12" s="723"/>
      <c r="G12" s="723"/>
      <c r="H12" s="723"/>
      <c r="I12" s="723"/>
      <c r="J12" s="723"/>
      <c r="K12" s="723"/>
      <c r="L12" s="723"/>
      <c r="M12" s="723"/>
      <c r="N12" s="723"/>
      <c r="O12" s="723"/>
      <c r="P12" s="723"/>
      <c r="Q12" s="723"/>
      <c r="R12" s="723"/>
      <c r="S12" s="723"/>
      <c r="T12" s="723"/>
      <c r="U12" s="723"/>
      <c r="V12" s="723"/>
      <c r="W12" s="723"/>
      <c r="X12" s="723"/>
      <c r="Y12" s="723"/>
      <c r="Z12" s="723"/>
      <c r="AA12" s="723"/>
    </row>
    <row r="13" spans="1:28">
      <c r="A13" s="427">
        <v>1.5</v>
      </c>
      <c r="B13" s="444" t="s">
        <v>536</v>
      </c>
      <c r="C13" s="729">
        <f>D13+H13+L13+T13</f>
        <v>226912913.98402441</v>
      </c>
      <c r="D13" s="723">
        <v>222490801.68583059</v>
      </c>
      <c r="E13" s="723">
        <v>191225.84611562834</v>
      </c>
      <c r="F13" s="723">
        <v>0</v>
      </c>
      <c r="G13" s="723">
        <v>0</v>
      </c>
      <c r="H13" s="723">
        <v>4087457.3512526732</v>
      </c>
      <c r="I13" s="723">
        <v>0</v>
      </c>
      <c r="J13" s="723">
        <v>10976.247296538875</v>
      </c>
      <c r="K13" s="723">
        <v>0</v>
      </c>
      <c r="L13" s="723">
        <v>334654.94694112882</v>
      </c>
      <c r="M13" s="723">
        <v>0</v>
      </c>
      <c r="N13" s="723">
        <v>0</v>
      </c>
      <c r="O13" s="723">
        <v>98709.33545542779</v>
      </c>
      <c r="P13" s="723">
        <v>0</v>
      </c>
      <c r="Q13" s="723">
        <v>0</v>
      </c>
      <c r="R13" s="723">
        <v>0</v>
      </c>
      <c r="S13" s="723">
        <v>0</v>
      </c>
      <c r="T13" s="723">
        <v>0</v>
      </c>
      <c r="U13" s="723">
        <v>0</v>
      </c>
      <c r="V13" s="723">
        <v>0</v>
      </c>
      <c r="W13" s="723">
        <v>0</v>
      </c>
      <c r="X13" s="723">
        <v>0</v>
      </c>
      <c r="Y13" s="723">
        <v>0</v>
      </c>
      <c r="Z13" s="723">
        <v>0</v>
      </c>
      <c r="AA13" s="723">
        <v>0</v>
      </c>
    </row>
    <row r="14" spans="1:28">
      <c r="A14" s="427">
        <v>1.6</v>
      </c>
      <c r="B14" s="444" t="s">
        <v>537</v>
      </c>
      <c r="C14" s="729">
        <f>D14+H14+L14+T14</f>
        <v>3200406343.7551355</v>
      </c>
      <c r="D14" s="723">
        <v>3022148799.9786606</v>
      </c>
      <c r="E14" s="723">
        <v>20835767.346167915</v>
      </c>
      <c r="F14" s="723">
        <v>0</v>
      </c>
      <c r="G14" s="723">
        <v>0</v>
      </c>
      <c r="H14" s="723">
        <v>146339700.1423161</v>
      </c>
      <c r="I14" s="723">
        <v>7904004.8316524941</v>
      </c>
      <c r="J14" s="723">
        <v>24178792.093307901</v>
      </c>
      <c r="K14" s="723">
        <v>0</v>
      </c>
      <c r="L14" s="723">
        <v>31913770.228865951</v>
      </c>
      <c r="M14" s="723">
        <v>234464.91967297008</v>
      </c>
      <c r="N14" s="723">
        <v>1698118.0381843171</v>
      </c>
      <c r="O14" s="723">
        <v>27387792.158319797</v>
      </c>
      <c r="P14" s="723">
        <v>0</v>
      </c>
      <c r="Q14" s="723">
        <v>0</v>
      </c>
      <c r="R14" s="723">
        <v>0</v>
      </c>
      <c r="S14" s="723">
        <v>0</v>
      </c>
      <c r="T14" s="723">
        <v>4073.4052931453839</v>
      </c>
      <c r="U14" s="723"/>
      <c r="V14" s="723">
        <v>0</v>
      </c>
      <c r="W14" s="723">
        <v>0</v>
      </c>
      <c r="X14" s="723">
        <v>0</v>
      </c>
      <c r="Y14" s="723">
        <v>0</v>
      </c>
      <c r="Z14" s="723">
        <v>0</v>
      </c>
      <c r="AA14" s="723">
        <v>0</v>
      </c>
    </row>
    <row r="15" spans="1:28">
      <c r="A15" s="454">
        <v>2</v>
      </c>
      <c r="B15" s="430" t="s">
        <v>538</v>
      </c>
      <c r="C15" s="729">
        <f>D15+H15+L15+T15</f>
        <v>54464580</v>
      </c>
      <c r="D15" s="730">
        <f>SUM(D16:D21)</f>
        <v>54464580</v>
      </c>
      <c r="E15" s="427"/>
      <c r="F15" s="427"/>
      <c r="G15" s="427"/>
      <c r="H15" s="427"/>
      <c r="I15" s="427"/>
      <c r="J15" s="427"/>
      <c r="K15" s="427"/>
      <c r="L15" s="427"/>
      <c r="M15" s="427"/>
      <c r="N15" s="427"/>
      <c r="O15" s="427"/>
      <c r="P15" s="427"/>
      <c r="Q15" s="427"/>
      <c r="R15" s="427"/>
      <c r="S15" s="427"/>
      <c r="T15" s="427"/>
      <c r="U15" s="427"/>
      <c r="V15" s="427"/>
      <c r="W15" s="427"/>
      <c r="X15" s="427"/>
      <c r="Y15" s="427"/>
      <c r="Z15" s="427"/>
      <c r="AA15" s="427"/>
    </row>
    <row r="16" spans="1:28">
      <c r="A16" s="427">
        <v>2.1</v>
      </c>
      <c r="B16" s="444" t="s">
        <v>532</v>
      </c>
      <c r="C16" s="729">
        <f t="shared" ref="C16:C17" si="3">D16+H16+L16+T16</f>
        <v>0</v>
      </c>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row>
    <row r="17" spans="1:27">
      <c r="A17" s="427">
        <v>2.2000000000000002</v>
      </c>
      <c r="B17" s="444" t="s">
        <v>533</v>
      </c>
      <c r="C17" s="729">
        <f t="shared" si="3"/>
        <v>54464580</v>
      </c>
      <c r="D17" s="723">
        <v>54464580</v>
      </c>
      <c r="E17" s="427"/>
      <c r="F17" s="427"/>
      <c r="G17" s="427"/>
      <c r="H17" s="427"/>
      <c r="I17" s="427"/>
      <c r="J17" s="427"/>
      <c r="K17" s="427"/>
      <c r="L17" s="427"/>
      <c r="M17" s="427"/>
      <c r="N17" s="427"/>
      <c r="O17" s="427"/>
      <c r="P17" s="427"/>
      <c r="Q17" s="427"/>
      <c r="R17" s="427"/>
      <c r="S17" s="427"/>
      <c r="T17" s="427"/>
      <c r="U17" s="427"/>
      <c r="V17" s="427"/>
      <c r="W17" s="427"/>
      <c r="X17" s="427"/>
      <c r="Y17" s="427"/>
      <c r="Z17" s="427"/>
      <c r="AA17" s="427"/>
    </row>
    <row r="18" spans="1:27">
      <c r="A18" s="427">
        <v>2.2999999999999998</v>
      </c>
      <c r="B18" s="444" t="s">
        <v>534</v>
      </c>
      <c r="C18" s="444"/>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row>
    <row r="19" spans="1:27">
      <c r="A19" s="427">
        <v>2.4</v>
      </c>
      <c r="B19" s="444" t="s">
        <v>535</v>
      </c>
      <c r="C19" s="444"/>
      <c r="D19" s="427"/>
      <c r="E19" s="427"/>
      <c r="F19" s="427"/>
      <c r="G19" s="427"/>
      <c r="H19" s="427"/>
      <c r="I19" s="427"/>
      <c r="J19" s="427"/>
      <c r="K19" s="427"/>
      <c r="L19" s="427"/>
      <c r="M19" s="427"/>
      <c r="N19" s="427"/>
      <c r="O19" s="427"/>
      <c r="P19" s="427"/>
      <c r="Q19" s="427"/>
      <c r="R19" s="427"/>
      <c r="S19" s="427"/>
      <c r="T19" s="427"/>
      <c r="U19" s="427"/>
      <c r="V19" s="427"/>
      <c r="W19" s="427"/>
      <c r="X19" s="427"/>
      <c r="Y19" s="427"/>
      <c r="Z19" s="427"/>
      <c r="AA19" s="427"/>
    </row>
    <row r="20" spans="1:27">
      <c r="A20" s="427">
        <v>2.5</v>
      </c>
      <c r="B20" s="444" t="s">
        <v>536</v>
      </c>
      <c r="C20" s="444"/>
      <c r="D20" s="427"/>
      <c r="E20" s="427"/>
      <c r="F20" s="427"/>
      <c r="G20" s="427"/>
      <c r="H20" s="427"/>
      <c r="I20" s="427"/>
      <c r="J20" s="427"/>
      <c r="K20" s="427"/>
      <c r="L20" s="427"/>
      <c r="M20" s="427"/>
      <c r="N20" s="427"/>
      <c r="O20" s="427"/>
      <c r="P20" s="427"/>
      <c r="Q20" s="427"/>
      <c r="R20" s="427"/>
      <c r="S20" s="427"/>
      <c r="T20" s="427"/>
      <c r="U20" s="427"/>
      <c r="V20" s="427"/>
      <c r="W20" s="427"/>
      <c r="X20" s="427"/>
      <c r="Y20" s="427"/>
      <c r="Z20" s="427"/>
      <c r="AA20" s="427"/>
    </row>
    <row r="21" spans="1:27">
      <c r="A21" s="427">
        <v>2.6</v>
      </c>
      <c r="B21" s="444" t="s">
        <v>537</v>
      </c>
      <c r="C21" s="444"/>
      <c r="D21" s="427"/>
      <c r="E21" s="427"/>
      <c r="F21" s="427"/>
      <c r="G21" s="427"/>
      <c r="H21" s="427"/>
      <c r="I21" s="427"/>
      <c r="J21" s="427"/>
      <c r="K21" s="427"/>
      <c r="L21" s="427"/>
      <c r="M21" s="427"/>
      <c r="N21" s="427"/>
      <c r="O21" s="427"/>
      <c r="P21" s="427"/>
      <c r="Q21" s="427"/>
      <c r="R21" s="427"/>
      <c r="S21" s="427"/>
      <c r="T21" s="427"/>
      <c r="U21" s="427"/>
      <c r="V21" s="427"/>
      <c r="W21" s="427"/>
      <c r="X21" s="427"/>
      <c r="Y21" s="427"/>
      <c r="Z21" s="427"/>
      <c r="AA21" s="427"/>
    </row>
    <row r="22" spans="1:27">
      <c r="A22" s="454">
        <v>3</v>
      </c>
      <c r="B22" s="430" t="s">
        <v>539</v>
      </c>
      <c r="C22" s="730">
        <f>C27+C28</f>
        <v>515394137.94361597</v>
      </c>
      <c r="D22" s="430"/>
      <c r="E22" s="453"/>
      <c r="F22" s="453"/>
      <c r="G22" s="453"/>
      <c r="H22" s="430"/>
      <c r="I22" s="453"/>
      <c r="J22" s="453"/>
      <c r="K22" s="453"/>
      <c r="L22" s="430"/>
      <c r="M22" s="453"/>
      <c r="N22" s="453"/>
      <c r="O22" s="453"/>
      <c r="P22" s="453"/>
      <c r="Q22" s="453"/>
      <c r="R22" s="453"/>
      <c r="S22" s="453"/>
      <c r="T22" s="430"/>
      <c r="U22" s="453"/>
      <c r="V22" s="453"/>
      <c r="W22" s="453"/>
      <c r="X22" s="453"/>
      <c r="Y22" s="453"/>
      <c r="Z22" s="453"/>
      <c r="AA22" s="453"/>
    </row>
    <row r="23" spans="1:27">
      <c r="A23" s="427">
        <v>3.1</v>
      </c>
      <c r="B23" s="444" t="s">
        <v>532</v>
      </c>
      <c r="C23" s="444"/>
      <c r="D23" s="430"/>
      <c r="E23" s="453"/>
      <c r="F23" s="453"/>
      <c r="G23" s="453"/>
      <c r="H23" s="430"/>
      <c r="I23" s="453"/>
      <c r="J23" s="453"/>
      <c r="K23" s="453"/>
      <c r="L23" s="430"/>
      <c r="M23" s="453"/>
      <c r="N23" s="453"/>
      <c r="O23" s="453"/>
      <c r="P23" s="453"/>
      <c r="Q23" s="453"/>
      <c r="R23" s="453"/>
      <c r="S23" s="453"/>
      <c r="T23" s="430"/>
      <c r="U23" s="453"/>
      <c r="V23" s="453"/>
      <c r="W23" s="453"/>
      <c r="X23" s="453"/>
      <c r="Y23" s="453"/>
      <c r="Z23" s="453"/>
      <c r="AA23" s="453"/>
    </row>
    <row r="24" spans="1:27">
      <c r="A24" s="427">
        <v>3.2</v>
      </c>
      <c r="B24" s="444" t="s">
        <v>533</v>
      </c>
      <c r="C24" s="444"/>
      <c r="D24" s="430"/>
      <c r="E24" s="453"/>
      <c r="F24" s="453"/>
      <c r="G24" s="453"/>
      <c r="H24" s="430"/>
      <c r="I24" s="453"/>
      <c r="J24" s="453"/>
      <c r="K24" s="453"/>
      <c r="L24" s="430"/>
      <c r="M24" s="453"/>
      <c r="N24" s="453"/>
      <c r="O24" s="453"/>
      <c r="P24" s="453"/>
      <c r="Q24" s="453"/>
      <c r="R24" s="453"/>
      <c r="S24" s="453"/>
      <c r="T24" s="430"/>
      <c r="U24" s="453"/>
      <c r="V24" s="453"/>
      <c r="W24" s="453"/>
      <c r="X24" s="453"/>
      <c r="Y24" s="453"/>
      <c r="Z24" s="453"/>
      <c r="AA24" s="453"/>
    </row>
    <row r="25" spans="1:27">
      <c r="A25" s="427">
        <v>3.3</v>
      </c>
      <c r="B25" s="444" t="s">
        <v>534</v>
      </c>
      <c r="C25" s="444"/>
      <c r="D25" s="430"/>
      <c r="E25" s="453"/>
      <c r="F25" s="453"/>
      <c r="G25" s="453"/>
      <c r="H25" s="430"/>
      <c r="I25" s="453"/>
      <c r="J25" s="453"/>
      <c r="K25" s="453"/>
      <c r="L25" s="430"/>
      <c r="M25" s="453"/>
      <c r="N25" s="453"/>
      <c r="O25" s="453"/>
      <c r="P25" s="453"/>
      <c r="Q25" s="453"/>
      <c r="R25" s="453"/>
      <c r="S25" s="453"/>
      <c r="T25" s="430"/>
      <c r="U25" s="453"/>
      <c r="V25" s="453"/>
      <c r="W25" s="453"/>
      <c r="X25" s="453"/>
      <c r="Y25" s="453"/>
      <c r="Z25" s="453"/>
      <c r="AA25" s="453"/>
    </row>
    <row r="26" spans="1:27">
      <c r="A26" s="427">
        <v>3.4</v>
      </c>
      <c r="B26" s="444" t="s">
        <v>535</v>
      </c>
      <c r="C26" s="444"/>
      <c r="D26" s="430"/>
      <c r="E26" s="453"/>
      <c r="F26" s="453"/>
      <c r="G26" s="453"/>
      <c r="H26" s="430"/>
      <c r="I26" s="453"/>
      <c r="J26" s="453"/>
      <c r="K26" s="453"/>
      <c r="L26" s="430"/>
      <c r="M26" s="453"/>
      <c r="N26" s="453"/>
      <c r="O26" s="453"/>
      <c r="P26" s="453"/>
      <c r="Q26" s="453"/>
      <c r="R26" s="453"/>
      <c r="S26" s="453"/>
      <c r="T26" s="430"/>
      <c r="U26" s="453"/>
      <c r="V26" s="453"/>
      <c r="W26" s="453"/>
      <c r="X26" s="453"/>
      <c r="Y26" s="453"/>
      <c r="Z26" s="453"/>
      <c r="AA26" s="453"/>
    </row>
    <row r="27" spans="1:27">
      <c r="A27" s="427">
        <v>3.5</v>
      </c>
      <c r="B27" s="444" t="s">
        <v>536</v>
      </c>
      <c r="C27" s="731">
        <v>18322166</v>
      </c>
      <c r="D27" s="724">
        <v>18322166</v>
      </c>
      <c r="E27" s="453"/>
      <c r="F27" s="453"/>
      <c r="G27" s="453"/>
      <c r="H27" s="430"/>
      <c r="I27" s="453"/>
      <c r="J27" s="453"/>
      <c r="K27" s="453"/>
      <c r="L27" s="430"/>
      <c r="M27" s="453"/>
      <c r="N27" s="453"/>
      <c r="O27" s="453"/>
      <c r="P27" s="453"/>
      <c r="Q27" s="453"/>
      <c r="R27" s="453"/>
      <c r="S27" s="453"/>
      <c r="T27" s="430"/>
      <c r="U27" s="453"/>
      <c r="V27" s="453"/>
      <c r="W27" s="453"/>
      <c r="X27" s="453"/>
      <c r="Y27" s="453"/>
      <c r="Z27" s="453"/>
      <c r="AA27" s="453"/>
    </row>
    <row r="28" spans="1:27">
      <c r="A28" s="427">
        <v>3.6</v>
      </c>
      <c r="B28" s="444" t="s">
        <v>537</v>
      </c>
      <c r="C28" s="731">
        <v>497071971.94361597</v>
      </c>
      <c r="D28" s="724"/>
      <c r="E28" s="453"/>
      <c r="F28" s="453"/>
      <c r="G28" s="453"/>
      <c r="H28" s="430"/>
      <c r="I28" s="453"/>
      <c r="J28" s="453"/>
      <c r="K28" s="453"/>
      <c r="L28" s="430"/>
      <c r="M28" s="453"/>
      <c r="N28" s="453"/>
      <c r="O28" s="453"/>
      <c r="P28" s="453"/>
      <c r="Q28" s="453"/>
      <c r="R28" s="453"/>
      <c r="S28" s="453"/>
      <c r="T28" s="430"/>
      <c r="U28" s="453"/>
      <c r="V28" s="453"/>
      <c r="W28" s="453"/>
      <c r="X28" s="453"/>
      <c r="Y28" s="453"/>
      <c r="Z28" s="453"/>
      <c r="AA28" s="453"/>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AA22"/>
  <sheetViews>
    <sheetView showGridLines="0" zoomScale="80" zoomScaleNormal="80" workbookViewId="0">
      <selection activeCell="C8" sqref="C8:AA22"/>
    </sheetView>
  </sheetViews>
  <sheetFormatPr defaultColWidth="9.21875" defaultRowHeight="12"/>
  <cols>
    <col min="1" max="1" width="11.77734375" style="437" bestFit="1" customWidth="1"/>
    <col min="2" max="2" width="90.21875" style="437" bestFit="1" customWidth="1"/>
    <col min="3" max="3" width="20.21875" style="437" customWidth="1"/>
    <col min="4" max="4" width="22.21875" style="437" customWidth="1"/>
    <col min="5" max="7" width="17.109375" style="437" customWidth="1"/>
    <col min="8" max="8" width="22.21875" style="437" customWidth="1"/>
    <col min="9" max="10" width="17.109375" style="437" customWidth="1"/>
    <col min="11" max="27" width="22.21875" style="437" customWidth="1"/>
    <col min="28" max="16384" width="9.21875" style="437"/>
  </cols>
  <sheetData>
    <row r="1" spans="1:27" ht="13.8">
      <c r="A1" s="315" t="s">
        <v>97</v>
      </c>
      <c r="B1" s="244" t="str">
        <f>Info!C2</f>
        <v>სს "კრედო ბანკი"</v>
      </c>
    </row>
    <row r="2" spans="1:27">
      <c r="A2" s="315" t="s">
        <v>98</v>
      </c>
      <c r="B2" s="318">
        <f>'1. key ratios'!B2</f>
        <v>46203</v>
      </c>
    </row>
    <row r="3" spans="1:27">
      <c r="A3" s="317" t="s">
        <v>540</v>
      </c>
      <c r="C3" s="439"/>
    </row>
    <row r="4" spans="1:27" ht="12.6" thickBot="1">
      <c r="A4" s="317"/>
      <c r="B4" s="439"/>
      <c r="C4" s="439"/>
    </row>
    <row r="5" spans="1:27" ht="13.5" customHeight="1">
      <c r="A5" s="879" t="s">
        <v>869</v>
      </c>
      <c r="B5" s="880"/>
      <c r="C5" s="876" t="s">
        <v>541</v>
      </c>
      <c r="D5" s="877"/>
      <c r="E5" s="877"/>
      <c r="F5" s="877"/>
      <c r="G5" s="877"/>
      <c r="H5" s="877"/>
      <c r="I5" s="877"/>
      <c r="J5" s="877"/>
      <c r="K5" s="877"/>
      <c r="L5" s="877"/>
      <c r="M5" s="877"/>
      <c r="N5" s="877"/>
      <c r="O5" s="877"/>
      <c r="P5" s="877"/>
      <c r="Q5" s="877"/>
      <c r="R5" s="877"/>
      <c r="S5" s="877"/>
      <c r="T5" s="877"/>
      <c r="U5" s="877"/>
      <c r="V5" s="877"/>
      <c r="W5" s="877"/>
      <c r="X5" s="877"/>
      <c r="Y5" s="877"/>
      <c r="Z5" s="877"/>
      <c r="AA5" s="878"/>
    </row>
    <row r="6" spans="1:27" ht="12" customHeight="1">
      <c r="A6" s="881"/>
      <c r="B6" s="882"/>
      <c r="C6" s="885" t="s">
        <v>66</v>
      </c>
      <c r="D6" s="850" t="s">
        <v>860</v>
      </c>
      <c r="E6" s="850"/>
      <c r="F6" s="850"/>
      <c r="G6" s="850"/>
      <c r="H6" s="871" t="s">
        <v>859</v>
      </c>
      <c r="I6" s="872"/>
      <c r="J6" s="872"/>
      <c r="K6" s="872"/>
      <c r="L6" s="461"/>
      <c r="M6" s="854" t="s">
        <v>858</v>
      </c>
      <c r="N6" s="854"/>
      <c r="O6" s="854"/>
      <c r="P6" s="854"/>
      <c r="Q6" s="854"/>
      <c r="R6" s="854"/>
      <c r="S6" s="852"/>
      <c r="T6" s="461"/>
      <c r="U6" s="854" t="s">
        <v>857</v>
      </c>
      <c r="V6" s="854"/>
      <c r="W6" s="854"/>
      <c r="X6" s="854"/>
      <c r="Y6" s="854"/>
      <c r="Z6" s="854"/>
      <c r="AA6" s="875"/>
    </row>
    <row r="7" spans="1:27" ht="36">
      <c r="A7" s="883"/>
      <c r="B7" s="884"/>
      <c r="C7" s="886"/>
      <c r="D7" s="459"/>
      <c r="E7" s="434" t="s">
        <v>530</v>
      </c>
      <c r="F7" s="434" t="s">
        <v>855</v>
      </c>
      <c r="G7" s="434" t="s">
        <v>856</v>
      </c>
      <c r="H7" s="438"/>
      <c r="I7" s="434" t="s">
        <v>530</v>
      </c>
      <c r="J7" s="434" t="s">
        <v>855</v>
      </c>
      <c r="K7" s="434" t="s">
        <v>856</v>
      </c>
      <c r="L7" s="456"/>
      <c r="M7" s="434" t="s">
        <v>530</v>
      </c>
      <c r="N7" s="434" t="s">
        <v>868</v>
      </c>
      <c r="O7" s="434" t="s">
        <v>867</v>
      </c>
      <c r="P7" s="434" t="s">
        <v>866</v>
      </c>
      <c r="Q7" s="434" t="s">
        <v>865</v>
      </c>
      <c r="R7" s="434" t="s">
        <v>864</v>
      </c>
      <c r="S7" s="434" t="s">
        <v>850</v>
      </c>
      <c r="T7" s="456"/>
      <c r="U7" s="434" t="s">
        <v>530</v>
      </c>
      <c r="V7" s="434" t="s">
        <v>868</v>
      </c>
      <c r="W7" s="434" t="s">
        <v>867</v>
      </c>
      <c r="X7" s="434" t="s">
        <v>866</v>
      </c>
      <c r="Y7" s="434" t="s">
        <v>865</v>
      </c>
      <c r="Z7" s="434" t="s">
        <v>864</v>
      </c>
      <c r="AA7" s="434" t="s">
        <v>850</v>
      </c>
    </row>
    <row r="8" spans="1:27">
      <c r="A8" s="482">
        <v>1</v>
      </c>
      <c r="B8" s="481" t="s">
        <v>531</v>
      </c>
      <c r="C8" s="742">
        <f>D8+H8+L8+T8</f>
        <v>3427319257.7391601</v>
      </c>
      <c r="D8" s="723">
        <v>3244639601.6644912</v>
      </c>
      <c r="E8" s="723">
        <v>21026993.192283545</v>
      </c>
      <c r="F8" s="723">
        <v>0</v>
      </c>
      <c r="G8" s="723">
        <v>0</v>
      </c>
      <c r="H8" s="723">
        <v>150427157.49356878</v>
      </c>
      <c r="I8" s="723">
        <v>7904004.8316524941</v>
      </c>
      <c r="J8" s="723">
        <v>24189768.340604439</v>
      </c>
      <c r="K8" s="723">
        <v>0</v>
      </c>
      <c r="L8" s="723">
        <v>32248425.175807081</v>
      </c>
      <c r="M8" s="723">
        <v>234464.91967297008</v>
      </c>
      <c r="N8" s="723">
        <v>1698118.0381843171</v>
      </c>
      <c r="O8" s="723">
        <v>27486501.493775226</v>
      </c>
      <c r="P8" s="723">
        <v>0</v>
      </c>
      <c r="Q8" s="723">
        <v>0</v>
      </c>
      <c r="R8" s="723">
        <v>0</v>
      </c>
      <c r="S8" s="723">
        <v>0</v>
      </c>
      <c r="T8" s="723">
        <v>4073.4052931453839</v>
      </c>
      <c r="U8" s="723">
        <v>0</v>
      </c>
      <c r="V8" s="723">
        <v>0</v>
      </c>
      <c r="W8" s="723">
        <v>0</v>
      </c>
      <c r="X8" s="723">
        <v>0</v>
      </c>
      <c r="Y8" s="723">
        <v>0</v>
      </c>
      <c r="Z8" s="723">
        <v>0</v>
      </c>
      <c r="AA8" s="743">
        <v>0</v>
      </c>
    </row>
    <row r="9" spans="1:27">
      <c r="A9" s="474">
        <v>1.1000000000000001</v>
      </c>
      <c r="B9" s="480" t="s">
        <v>542</v>
      </c>
      <c r="C9" s="744">
        <f>D9+H9+L9+T9</f>
        <v>1445090976.2674308</v>
      </c>
      <c r="D9" s="723">
        <v>1417545729.9793069</v>
      </c>
      <c r="E9" s="723">
        <v>6754952.744182785</v>
      </c>
      <c r="F9" s="723">
        <v>0</v>
      </c>
      <c r="G9" s="723">
        <v>0</v>
      </c>
      <c r="H9" s="723">
        <v>21935036.339236371</v>
      </c>
      <c r="I9" s="723">
        <v>609434.4712378995</v>
      </c>
      <c r="J9" s="723">
        <v>3193372.4431403768</v>
      </c>
      <c r="K9" s="723">
        <v>0</v>
      </c>
      <c r="L9" s="723">
        <v>5610209.9488877049</v>
      </c>
      <c r="M9" s="723">
        <v>44865.684379917038</v>
      </c>
      <c r="N9" s="723">
        <v>253706.93382018237</v>
      </c>
      <c r="O9" s="723">
        <v>4266421.5401817765</v>
      </c>
      <c r="P9" s="723">
        <v>0</v>
      </c>
      <c r="Q9" s="723">
        <v>0</v>
      </c>
      <c r="R9" s="723">
        <v>0</v>
      </c>
      <c r="S9" s="723">
        <v>0</v>
      </c>
      <c r="T9" s="723">
        <v>0</v>
      </c>
      <c r="U9" s="723">
        <v>0</v>
      </c>
      <c r="V9" s="723">
        <v>0</v>
      </c>
      <c r="W9" s="723">
        <v>0</v>
      </c>
      <c r="X9" s="723">
        <v>0</v>
      </c>
      <c r="Y9" s="723">
        <v>0</v>
      </c>
      <c r="Z9" s="723">
        <v>0</v>
      </c>
      <c r="AA9" s="743">
        <v>0</v>
      </c>
    </row>
    <row r="10" spans="1:27">
      <c r="A10" s="478" t="s">
        <v>146</v>
      </c>
      <c r="B10" s="479" t="s">
        <v>543</v>
      </c>
      <c r="C10" s="745">
        <f>SUM(C11:C14)</f>
        <v>1290837362.9277732</v>
      </c>
      <c r="D10" s="745">
        <f t="shared" ref="D10:AA10" si="0">SUM(D11:D14)</f>
        <v>1267740116.7987623</v>
      </c>
      <c r="E10" s="745">
        <f t="shared" si="0"/>
        <v>5427806.1627849266</v>
      </c>
      <c r="F10" s="745">
        <f t="shared" si="0"/>
        <v>0</v>
      </c>
      <c r="G10" s="745">
        <f t="shared" si="0"/>
        <v>0</v>
      </c>
      <c r="H10" s="745">
        <f t="shared" si="0"/>
        <v>19457919.59745336</v>
      </c>
      <c r="I10" s="745">
        <f t="shared" si="0"/>
        <v>491083.42072075256</v>
      </c>
      <c r="J10" s="745">
        <f t="shared" si="0"/>
        <v>2003428.3466543797</v>
      </c>
      <c r="K10" s="745">
        <f t="shared" si="0"/>
        <v>623138.66877643985</v>
      </c>
      <c r="L10" s="745">
        <f t="shared" si="0"/>
        <v>3639326.5315574063</v>
      </c>
      <c r="M10" s="745">
        <f t="shared" si="0"/>
        <v>35282.518690857301</v>
      </c>
      <c r="N10" s="745">
        <f t="shared" si="0"/>
        <v>132461.89879002061</v>
      </c>
      <c r="O10" s="745">
        <f t="shared" si="0"/>
        <v>2529130.432357965</v>
      </c>
      <c r="P10" s="745">
        <f t="shared" si="0"/>
        <v>0</v>
      </c>
      <c r="Q10" s="745">
        <f t="shared" si="0"/>
        <v>0</v>
      </c>
      <c r="R10" s="745">
        <f t="shared" si="0"/>
        <v>0</v>
      </c>
      <c r="S10" s="745">
        <f t="shared" si="0"/>
        <v>0</v>
      </c>
      <c r="T10" s="745">
        <f t="shared" si="0"/>
        <v>0</v>
      </c>
      <c r="U10" s="745">
        <f t="shared" si="0"/>
        <v>0</v>
      </c>
      <c r="V10" s="745">
        <f t="shared" si="0"/>
        <v>0</v>
      </c>
      <c r="W10" s="745">
        <f t="shared" si="0"/>
        <v>0</v>
      </c>
      <c r="X10" s="745">
        <f t="shared" si="0"/>
        <v>0</v>
      </c>
      <c r="Y10" s="745">
        <f t="shared" si="0"/>
        <v>0</v>
      </c>
      <c r="Z10" s="745">
        <f t="shared" si="0"/>
        <v>0</v>
      </c>
      <c r="AA10" s="745">
        <f t="shared" si="0"/>
        <v>0</v>
      </c>
    </row>
    <row r="11" spans="1:27">
      <c r="A11" s="476" t="s">
        <v>544</v>
      </c>
      <c r="B11" s="477" t="s">
        <v>545</v>
      </c>
      <c r="C11" s="744">
        <f>D11+H11+L11+T11</f>
        <v>742220408.75443172</v>
      </c>
      <c r="D11" s="723">
        <v>732919031.03935397</v>
      </c>
      <c r="E11" s="723">
        <v>2628751.1011060784</v>
      </c>
      <c r="F11" s="723">
        <v>0</v>
      </c>
      <c r="G11" s="723">
        <v>0</v>
      </c>
      <c r="H11" s="723">
        <v>8273075.3340950115</v>
      </c>
      <c r="I11" s="723">
        <v>319880.35100212763</v>
      </c>
      <c r="J11" s="723">
        <v>1380289.6778779398</v>
      </c>
      <c r="K11" s="723">
        <v>0</v>
      </c>
      <c r="L11" s="723">
        <v>1028302.3809827397</v>
      </c>
      <c r="M11" s="723">
        <v>35282.518690857301</v>
      </c>
      <c r="N11" s="723">
        <v>43741.731314115197</v>
      </c>
      <c r="O11" s="723">
        <v>579481.03888740705</v>
      </c>
      <c r="P11" s="723">
        <v>0</v>
      </c>
      <c r="Q11" s="723">
        <v>0</v>
      </c>
      <c r="R11" s="723">
        <v>0</v>
      </c>
      <c r="S11" s="723">
        <v>0</v>
      </c>
      <c r="T11" s="723">
        <v>0</v>
      </c>
      <c r="U11" s="723">
        <v>0</v>
      </c>
      <c r="V11" s="723">
        <v>0</v>
      </c>
      <c r="W11" s="723">
        <v>0</v>
      </c>
      <c r="X11" s="723">
        <v>0</v>
      </c>
      <c r="Y11" s="723">
        <v>0</v>
      </c>
      <c r="Z11" s="723">
        <v>0</v>
      </c>
      <c r="AA11" s="743">
        <v>0</v>
      </c>
    </row>
    <row r="12" spans="1:27">
      <c r="A12" s="476" t="s">
        <v>546</v>
      </c>
      <c r="B12" s="477" t="s">
        <v>547</v>
      </c>
      <c r="C12" s="744">
        <f t="shared" ref="C12:C15" si="1">D12+H12+L12+T12</f>
        <v>296976968.72508615</v>
      </c>
      <c r="D12" s="723">
        <v>292752090.49232435</v>
      </c>
      <c r="E12" s="723">
        <v>1172081.1034490464</v>
      </c>
      <c r="F12" s="723">
        <v>0</v>
      </c>
      <c r="G12" s="723">
        <v>0</v>
      </c>
      <c r="H12" s="723">
        <v>3003345.2891123281</v>
      </c>
      <c r="I12" s="723">
        <v>0</v>
      </c>
      <c r="J12" s="723">
        <v>0</v>
      </c>
      <c r="K12" s="723">
        <v>0</v>
      </c>
      <c r="L12" s="723">
        <v>1221532.9436494892</v>
      </c>
      <c r="M12" s="723">
        <v>0</v>
      </c>
      <c r="N12" s="723">
        <v>88720.1674759054</v>
      </c>
      <c r="O12" s="723">
        <v>560158.18654538074</v>
      </c>
      <c r="P12" s="723">
        <v>0</v>
      </c>
      <c r="Q12" s="723">
        <v>0</v>
      </c>
      <c r="R12" s="723">
        <v>0</v>
      </c>
      <c r="S12" s="723">
        <v>0</v>
      </c>
      <c r="T12" s="723">
        <v>0</v>
      </c>
      <c r="U12" s="723">
        <v>0</v>
      </c>
      <c r="V12" s="723">
        <v>0</v>
      </c>
      <c r="W12" s="723">
        <v>0</v>
      </c>
      <c r="X12" s="723">
        <v>0</v>
      </c>
      <c r="Y12" s="723">
        <v>0</v>
      </c>
      <c r="Z12" s="723">
        <v>0</v>
      </c>
      <c r="AA12" s="743">
        <v>0</v>
      </c>
    </row>
    <row r="13" spans="1:27">
      <c r="A13" s="476" t="s">
        <v>548</v>
      </c>
      <c r="B13" s="477" t="s">
        <v>549</v>
      </c>
      <c r="C13" s="744">
        <f t="shared" si="1"/>
        <v>132877181.30426139</v>
      </c>
      <c r="D13" s="723">
        <v>130746535.25047301</v>
      </c>
      <c r="E13" s="723">
        <v>1582122.5624548774</v>
      </c>
      <c r="F13" s="723">
        <v>0</v>
      </c>
      <c r="G13" s="723">
        <v>0</v>
      </c>
      <c r="H13" s="723">
        <v>1049421.7650767071</v>
      </c>
      <c r="I13" s="723">
        <v>91212.062502565896</v>
      </c>
      <c r="J13" s="723">
        <v>0</v>
      </c>
      <c r="K13" s="723">
        <v>0</v>
      </c>
      <c r="L13" s="723">
        <v>1081224.2887116598</v>
      </c>
      <c r="M13" s="723">
        <v>0</v>
      </c>
      <c r="N13" s="723">
        <v>0</v>
      </c>
      <c r="O13" s="723">
        <v>1081224.2887116598</v>
      </c>
      <c r="P13" s="723">
        <v>0</v>
      </c>
      <c r="Q13" s="723">
        <v>0</v>
      </c>
      <c r="R13" s="723">
        <v>0</v>
      </c>
      <c r="S13" s="723">
        <v>0</v>
      </c>
      <c r="T13" s="723">
        <v>0</v>
      </c>
      <c r="U13" s="723">
        <v>0</v>
      </c>
      <c r="V13" s="723">
        <v>0</v>
      </c>
      <c r="W13" s="723">
        <v>0</v>
      </c>
      <c r="X13" s="723">
        <v>0</v>
      </c>
      <c r="Y13" s="723">
        <v>0</v>
      </c>
      <c r="Z13" s="723">
        <v>0</v>
      </c>
      <c r="AA13" s="743">
        <v>0</v>
      </c>
    </row>
    <row r="14" spans="1:27">
      <c r="A14" s="476" t="s">
        <v>550</v>
      </c>
      <c r="B14" s="477" t="s">
        <v>551</v>
      </c>
      <c r="C14" s="744">
        <f t="shared" si="1"/>
        <v>118762804.14399396</v>
      </c>
      <c r="D14" s="723">
        <v>111322460.01661113</v>
      </c>
      <c r="E14" s="723">
        <v>44851.395774924058</v>
      </c>
      <c r="F14" s="723">
        <v>0</v>
      </c>
      <c r="G14" s="723">
        <v>0</v>
      </c>
      <c r="H14" s="723">
        <v>7132077.2091693124</v>
      </c>
      <c r="I14" s="723">
        <v>79991.007216059021</v>
      </c>
      <c r="J14" s="723">
        <v>623138.66877643985</v>
      </c>
      <c r="K14" s="723">
        <v>623138.66877643985</v>
      </c>
      <c r="L14" s="723">
        <v>308266.91821351735</v>
      </c>
      <c r="M14" s="723">
        <v>0</v>
      </c>
      <c r="N14" s="723">
        <v>0</v>
      </c>
      <c r="O14" s="723">
        <v>308266.91821351735</v>
      </c>
      <c r="P14" s="723">
        <v>0</v>
      </c>
      <c r="Q14" s="723">
        <v>0</v>
      </c>
      <c r="R14" s="723">
        <v>0</v>
      </c>
      <c r="S14" s="723">
        <v>0</v>
      </c>
      <c r="T14" s="723">
        <v>0</v>
      </c>
      <c r="U14" s="723">
        <v>0</v>
      </c>
      <c r="V14" s="723">
        <v>0</v>
      </c>
      <c r="W14" s="723">
        <v>0</v>
      </c>
      <c r="X14" s="723">
        <v>0</v>
      </c>
      <c r="Y14" s="723">
        <v>0</v>
      </c>
      <c r="Z14" s="723">
        <v>0</v>
      </c>
      <c r="AA14" s="743">
        <v>0</v>
      </c>
    </row>
    <row r="15" spans="1:27">
      <c r="A15" s="475">
        <v>1.2</v>
      </c>
      <c r="B15" s="473" t="s">
        <v>863</v>
      </c>
      <c r="C15" s="744">
        <f t="shared" si="1"/>
        <v>11596921.403010843</v>
      </c>
      <c r="D15" s="723">
        <v>6904629.4725282341</v>
      </c>
      <c r="E15" s="723">
        <v>676955.56944829633</v>
      </c>
      <c r="F15" s="723">
        <v>0</v>
      </c>
      <c r="G15" s="723">
        <v>0</v>
      </c>
      <c r="H15" s="723">
        <v>2449615.3188982215</v>
      </c>
      <c r="I15" s="723">
        <v>103500.75799545359</v>
      </c>
      <c r="J15" s="723">
        <v>837787.00012499758</v>
      </c>
      <c r="K15" s="723">
        <v>0</v>
      </c>
      <c r="L15" s="723">
        <v>2242676.6115843873</v>
      </c>
      <c r="M15" s="723">
        <v>25436.521890542288</v>
      </c>
      <c r="N15" s="723">
        <v>140904.68913338674</v>
      </c>
      <c r="O15" s="723">
        <v>1817839.7140672209</v>
      </c>
      <c r="P15" s="723">
        <v>0</v>
      </c>
      <c r="Q15" s="723">
        <v>0</v>
      </c>
      <c r="R15" s="723">
        <v>0</v>
      </c>
      <c r="S15" s="723">
        <v>0</v>
      </c>
      <c r="T15" s="723">
        <v>0</v>
      </c>
      <c r="U15" s="723">
        <v>0</v>
      </c>
      <c r="V15" s="723">
        <v>0</v>
      </c>
      <c r="W15" s="723">
        <v>0</v>
      </c>
      <c r="X15" s="723">
        <v>0</v>
      </c>
      <c r="Y15" s="723">
        <v>0</v>
      </c>
      <c r="Z15" s="723">
        <v>0</v>
      </c>
      <c r="AA15" s="743">
        <v>0</v>
      </c>
    </row>
    <row r="16" spans="1:27">
      <c r="A16" s="474">
        <v>1.3</v>
      </c>
      <c r="B16" s="473" t="s">
        <v>552</v>
      </c>
      <c r="C16" s="746"/>
      <c r="D16" s="747"/>
      <c r="E16" s="747"/>
      <c r="F16" s="747"/>
      <c r="G16" s="747"/>
      <c r="H16" s="747"/>
      <c r="I16" s="747"/>
      <c r="J16" s="747"/>
      <c r="K16" s="747"/>
      <c r="L16" s="747"/>
      <c r="M16" s="747"/>
      <c r="N16" s="747"/>
      <c r="O16" s="747"/>
      <c r="P16" s="747"/>
      <c r="Q16" s="747"/>
      <c r="R16" s="747"/>
      <c r="S16" s="747"/>
      <c r="T16" s="747"/>
      <c r="U16" s="747"/>
      <c r="V16" s="747"/>
      <c r="W16" s="747"/>
      <c r="X16" s="747"/>
      <c r="Y16" s="747"/>
      <c r="Z16" s="747"/>
      <c r="AA16" s="748"/>
    </row>
    <row r="17" spans="1:27" ht="24">
      <c r="A17" s="470" t="s">
        <v>553</v>
      </c>
      <c r="B17" s="472" t="s">
        <v>554</v>
      </c>
      <c r="C17" s="742">
        <f>D17+H17+L17+T17</f>
        <v>1418167768.2909987</v>
      </c>
      <c r="D17" s="723">
        <v>1391690799.5097926</v>
      </c>
      <c r="E17" s="723">
        <v>6734032.5137282927</v>
      </c>
      <c r="F17" s="723">
        <v>0</v>
      </c>
      <c r="G17" s="723">
        <v>0</v>
      </c>
      <c r="H17" s="723">
        <v>21017541.347766012</v>
      </c>
      <c r="I17" s="723">
        <v>595706.18841552618</v>
      </c>
      <c r="J17" s="723">
        <v>3056131.2177442419</v>
      </c>
      <c r="K17" s="723">
        <v>0</v>
      </c>
      <c r="L17" s="723">
        <v>5459427.4334400948</v>
      </c>
      <c r="M17" s="723">
        <v>44268.34471683632</v>
      </c>
      <c r="N17" s="723">
        <v>253706.93382018237</v>
      </c>
      <c r="O17" s="723">
        <v>4119263.2299885144</v>
      </c>
      <c r="P17" s="723">
        <v>0</v>
      </c>
      <c r="Q17" s="723">
        <v>0</v>
      </c>
      <c r="R17" s="723">
        <v>0</v>
      </c>
      <c r="S17" s="723">
        <v>0</v>
      </c>
      <c r="T17" s="723">
        <v>0</v>
      </c>
      <c r="U17" s="723">
        <v>0</v>
      </c>
      <c r="V17" s="723">
        <v>0</v>
      </c>
      <c r="W17" s="723">
        <v>0</v>
      </c>
      <c r="X17" s="723">
        <v>0</v>
      </c>
      <c r="Y17" s="723">
        <v>0</v>
      </c>
      <c r="Z17" s="723">
        <v>0</v>
      </c>
      <c r="AA17" s="743">
        <v>0</v>
      </c>
    </row>
    <row r="18" spans="1:27" ht="24">
      <c r="A18" s="468" t="s">
        <v>555</v>
      </c>
      <c r="B18" s="469" t="s">
        <v>556</v>
      </c>
      <c r="C18" s="742">
        <f t="shared" ref="C18:C22" si="2">D18+H18+L18+T18</f>
        <v>1258120936.7303541</v>
      </c>
      <c r="D18" s="723">
        <v>1236701266.1649685</v>
      </c>
      <c r="E18" s="723">
        <v>5420174.22634489</v>
      </c>
      <c r="F18" s="723">
        <v>0</v>
      </c>
      <c r="G18" s="723">
        <v>0</v>
      </c>
      <c r="H18" s="723">
        <v>17824186.759763859</v>
      </c>
      <c r="I18" s="723">
        <v>490861.43500469351</v>
      </c>
      <c r="J18" s="723">
        <v>1716440.7778779399</v>
      </c>
      <c r="K18" s="723">
        <v>0</v>
      </c>
      <c r="L18" s="723">
        <v>3595483.8056215188</v>
      </c>
      <c r="M18" s="723">
        <v>35282.518690857301</v>
      </c>
      <c r="N18" s="723">
        <v>132461.89879002061</v>
      </c>
      <c r="O18" s="723">
        <v>2485287.7064220775</v>
      </c>
      <c r="P18" s="723">
        <v>0</v>
      </c>
      <c r="Q18" s="723">
        <v>0</v>
      </c>
      <c r="R18" s="723">
        <v>0</v>
      </c>
      <c r="S18" s="723">
        <v>0</v>
      </c>
      <c r="T18" s="723">
        <v>0</v>
      </c>
      <c r="U18" s="723">
        <v>0</v>
      </c>
      <c r="V18" s="723">
        <v>0</v>
      </c>
      <c r="W18" s="723">
        <v>0</v>
      </c>
      <c r="X18" s="723">
        <v>0</v>
      </c>
      <c r="Y18" s="723">
        <v>0</v>
      </c>
      <c r="Z18" s="723">
        <v>0</v>
      </c>
      <c r="AA18" s="743">
        <v>0</v>
      </c>
    </row>
    <row r="19" spans="1:27">
      <c r="A19" s="470" t="s">
        <v>557</v>
      </c>
      <c r="B19" s="471" t="s">
        <v>558</v>
      </c>
      <c r="C19" s="742">
        <f t="shared" si="2"/>
        <v>1547577321.7520287</v>
      </c>
      <c r="D19" s="723">
        <v>1522816173.5400608</v>
      </c>
      <c r="E19" s="723">
        <v>6680051.2292462066</v>
      </c>
      <c r="F19" s="723">
        <v>0</v>
      </c>
      <c r="G19" s="723">
        <v>0</v>
      </c>
      <c r="H19" s="723">
        <v>19913611.365976207</v>
      </c>
      <c r="I19" s="723">
        <v>754227.57357633137</v>
      </c>
      <c r="J19" s="723">
        <v>3355848.4068237199</v>
      </c>
      <c r="K19" s="723">
        <v>0</v>
      </c>
      <c r="L19" s="723">
        <v>4847536.8459917922</v>
      </c>
      <c r="M19" s="723">
        <v>119596.65528316371</v>
      </c>
      <c r="N19" s="723">
        <v>176931.76617981773</v>
      </c>
      <c r="O19" s="723">
        <v>2257926.8344493709</v>
      </c>
      <c r="P19" s="723">
        <v>0</v>
      </c>
      <c r="Q19" s="723">
        <v>0</v>
      </c>
      <c r="R19" s="723">
        <v>0</v>
      </c>
      <c r="S19" s="723">
        <v>0</v>
      </c>
      <c r="T19" s="723">
        <v>0</v>
      </c>
      <c r="U19" s="723">
        <v>0</v>
      </c>
      <c r="V19" s="723">
        <v>0</v>
      </c>
      <c r="W19" s="723">
        <v>0</v>
      </c>
      <c r="X19" s="723">
        <v>0</v>
      </c>
      <c r="Y19" s="723">
        <v>0</v>
      </c>
      <c r="Z19" s="723">
        <v>0</v>
      </c>
      <c r="AA19" s="743">
        <v>0</v>
      </c>
    </row>
    <row r="20" spans="1:27">
      <c r="A20" s="468" t="s">
        <v>559</v>
      </c>
      <c r="B20" s="469" t="s">
        <v>560</v>
      </c>
      <c r="C20" s="742">
        <f t="shared" si="2"/>
        <v>1359237793.593384</v>
      </c>
      <c r="D20" s="723">
        <v>1339673899.6342952</v>
      </c>
      <c r="E20" s="723">
        <v>5441996.802329612</v>
      </c>
      <c r="F20" s="723">
        <v>0</v>
      </c>
      <c r="G20" s="723">
        <v>0</v>
      </c>
      <c r="H20" s="723">
        <v>15885523.485278349</v>
      </c>
      <c r="I20" s="723">
        <v>575036.10738716414</v>
      </c>
      <c r="J20" s="723">
        <v>2387558.8466900219</v>
      </c>
      <c r="K20" s="723">
        <v>0</v>
      </c>
      <c r="L20" s="723">
        <v>3678370.4738103668</v>
      </c>
      <c r="M20" s="723">
        <v>96982.481309142706</v>
      </c>
      <c r="N20" s="723">
        <v>76516.8012099794</v>
      </c>
      <c r="O20" s="723">
        <v>1348532.3580158073</v>
      </c>
      <c r="P20" s="723">
        <v>0</v>
      </c>
      <c r="Q20" s="723">
        <v>0</v>
      </c>
      <c r="R20" s="723">
        <v>0</v>
      </c>
      <c r="S20" s="723">
        <v>0</v>
      </c>
      <c r="T20" s="723">
        <v>0</v>
      </c>
      <c r="U20" s="723">
        <v>0</v>
      </c>
      <c r="V20" s="723">
        <v>0</v>
      </c>
      <c r="W20" s="723">
        <v>0</v>
      </c>
      <c r="X20" s="723">
        <v>0</v>
      </c>
      <c r="Y20" s="723">
        <v>0</v>
      </c>
      <c r="Z20" s="723">
        <v>0</v>
      </c>
      <c r="AA20" s="743">
        <v>0</v>
      </c>
    </row>
    <row r="21" spans="1:27">
      <c r="A21" s="467">
        <v>1.4</v>
      </c>
      <c r="B21" s="466" t="s">
        <v>649</v>
      </c>
      <c r="C21" s="742">
        <f t="shared" si="2"/>
        <v>35334.105722621709</v>
      </c>
      <c r="D21" s="723">
        <v>35334.105722621709</v>
      </c>
      <c r="E21" s="723">
        <v>0</v>
      </c>
      <c r="F21" s="723">
        <v>0</v>
      </c>
      <c r="G21" s="723">
        <v>0</v>
      </c>
      <c r="H21" s="723">
        <v>0</v>
      </c>
      <c r="I21" s="723">
        <v>0</v>
      </c>
      <c r="J21" s="723">
        <v>0</v>
      </c>
      <c r="K21" s="723">
        <v>0</v>
      </c>
      <c r="L21" s="723">
        <v>0</v>
      </c>
      <c r="M21" s="723">
        <v>0</v>
      </c>
      <c r="N21" s="723">
        <v>0</v>
      </c>
      <c r="O21" s="723">
        <v>0</v>
      </c>
      <c r="P21" s="723">
        <v>0</v>
      </c>
      <c r="Q21" s="723">
        <v>0</v>
      </c>
      <c r="R21" s="723">
        <v>0</v>
      </c>
      <c r="S21" s="723">
        <v>0</v>
      </c>
      <c r="T21" s="723">
        <v>0</v>
      </c>
      <c r="U21" s="723">
        <v>0</v>
      </c>
      <c r="V21" s="723">
        <v>0</v>
      </c>
      <c r="W21" s="723">
        <v>0</v>
      </c>
      <c r="X21" s="723">
        <v>0</v>
      </c>
      <c r="Y21" s="723">
        <v>0</v>
      </c>
      <c r="Z21" s="723">
        <v>0</v>
      </c>
      <c r="AA21" s="743">
        <v>0</v>
      </c>
    </row>
    <row r="22" spans="1:27" ht="12.6" thickBot="1">
      <c r="A22" s="465">
        <v>1.5</v>
      </c>
      <c r="B22" s="464" t="s">
        <v>650</v>
      </c>
      <c r="C22" s="742">
        <f t="shared" si="2"/>
        <v>0</v>
      </c>
      <c r="D22" s="749"/>
      <c r="E22" s="749"/>
      <c r="F22" s="749"/>
      <c r="G22" s="749"/>
      <c r="H22" s="749"/>
      <c r="I22" s="749"/>
      <c r="J22" s="749"/>
      <c r="K22" s="749"/>
      <c r="L22" s="749"/>
      <c r="M22" s="749"/>
      <c r="N22" s="749"/>
      <c r="O22" s="749"/>
      <c r="P22" s="749"/>
      <c r="Q22" s="749"/>
      <c r="R22" s="749"/>
      <c r="S22" s="749"/>
      <c r="T22" s="749"/>
      <c r="U22" s="749"/>
      <c r="V22" s="749"/>
      <c r="W22" s="749"/>
      <c r="X22" s="749"/>
      <c r="Y22" s="749"/>
      <c r="Z22" s="749"/>
      <c r="AA22" s="750"/>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H72"/>
  <sheetViews>
    <sheetView topLeftCell="A46" zoomScale="90" zoomScaleNormal="90" workbookViewId="0">
      <selection activeCell="F55" sqref="F55:F67"/>
    </sheetView>
  </sheetViews>
  <sheetFormatPr defaultRowHeight="14.4"/>
  <cols>
    <col min="1" max="1" width="8.77734375" style="389"/>
    <col min="2" max="2" width="69.21875" style="363" customWidth="1"/>
    <col min="3" max="3" width="17.88671875" bestFit="1" customWidth="1"/>
    <col min="4" max="5" width="15" bestFit="1" customWidth="1"/>
    <col min="6" max="6" width="16.6640625" bestFit="1" customWidth="1"/>
    <col min="7" max="7" width="13.21875" customWidth="1"/>
    <col min="8" max="8" width="15" bestFit="1" customWidth="1"/>
  </cols>
  <sheetData>
    <row r="1" spans="1:8">
      <c r="A1" s="13" t="s">
        <v>97</v>
      </c>
      <c r="B1" s="244" t="str">
        <f>Info!C2</f>
        <v>სს "კრედო ბანკი"</v>
      </c>
      <c r="C1" s="12"/>
      <c r="D1" s="1"/>
      <c r="E1" s="1"/>
      <c r="F1" s="1"/>
      <c r="G1" s="1"/>
    </row>
    <row r="2" spans="1:8">
      <c r="A2" s="13" t="s">
        <v>98</v>
      </c>
      <c r="B2" s="272">
        <f>'1. key ratios'!B2</f>
        <v>46203</v>
      </c>
      <c r="C2" s="12"/>
      <c r="D2" s="1"/>
      <c r="E2" s="1"/>
      <c r="F2" s="1"/>
      <c r="G2" s="1"/>
    </row>
    <row r="3" spans="1:8">
      <c r="A3" s="13"/>
      <c r="B3" s="12"/>
      <c r="C3" s="12"/>
      <c r="D3" s="1"/>
      <c r="E3" s="1"/>
      <c r="F3" s="1"/>
      <c r="G3" s="1"/>
    </row>
    <row r="4" spans="1:8" ht="21" customHeight="1">
      <c r="A4" s="785" t="s">
        <v>25</v>
      </c>
      <c r="B4" s="786" t="s">
        <v>697</v>
      </c>
      <c r="C4" s="788" t="s">
        <v>103</v>
      </c>
      <c r="D4" s="788"/>
      <c r="E4" s="788"/>
      <c r="F4" s="788" t="s">
        <v>104</v>
      </c>
      <c r="G4" s="788"/>
      <c r="H4" s="789"/>
    </row>
    <row r="5" spans="1:8" ht="21" customHeight="1">
      <c r="A5" s="785"/>
      <c r="B5" s="787"/>
      <c r="C5" s="335" t="s">
        <v>26</v>
      </c>
      <c r="D5" s="335" t="s">
        <v>77</v>
      </c>
      <c r="E5" s="335" t="s">
        <v>66</v>
      </c>
      <c r="F5" s="335" t="s">
        <v>26</v>
      </c>
      <c r="G5" s="335" t="s">
        <v>77</v>
      </c>
      <c r="H5" s="335" t="s">
        <v>66</v>
      </c>
    </row>
    <row r="6" spans="1:8" ht="26.55" customHeight="1">
      <c r="A6" s="785"/>
      <c r="B6" s="336" t="s">
        <v>84</v>
      </c>
      <c r="C6" s="779"/>
      <c r="D6" s="780"/>
      <c r="E6" s="780"/>
      <c r="F6" s="780"/>
      <c r="G6" s="780"/>
      <c r="H6" s="781"/>
    </row>
    <row r="7" spans="1:8" ht="22.95" customHeight="1">
      <c r="A7" s="378">
        <v>1</v>
      </c>
      <c r="B7" s="337" t="s">
        <v>811</v>
      </c>
      <c r="C7" s="655">
        <f>SUM(C8:C10)</f>
        <v>324394470.00000006</v>
      </c>
      <c r="D7" s="655">
        <f>SUM(D8:D10)</f>
        <v>259531600.83000004</v>
      </c>
      <c r="E7" s="656">
        <f>C7+D7</f>
        <v>583926070.83000016</v>
      </c>
      <c r="F7" s="655">
        <f>SUM(F8:F10)</f>
        <v>293062810.35000002</v>
      </c>
      <c r="G7" s="655">
        <f>SUM(G8:G10)</f>
        <v>198086075.55338246</v>
      </c>
      <c r="H7" s="656">
        <f>F7+G7</f>
        <v>491148885.90338248</v>
      </c>
    </row>
    <row r="8" spans="1:8">
      <c r="A8" s="378">
        <v>1.1000000000000001</v>
      </c>
      <c r="B8" s="339" t="s">
        <v>85</v>
      </c>
      <c r="C8" s="659">
        <v>57609655.43</v>
      </c>
      <c r="D8" s="659">
        <v>41635467.890000008</v>
      </c>
      <c r="E8" s="656">
        <f t="shared" ref="E8:E36" si="0">C8+D8</f>
        <v>99245123.320000008</v>
      </c>
      <c r="F8" s="653">
        <v>59745103.449999996</v>
      </c>
      <c r="G8" s="653">
        <v>45160966.380000003</v>
      </c>
      <c r="H8" s="656">
        <f t="shared" ref="H8:H36" si="1">F8+G8</f>
        <v>104906069.83</v>
      </c>
    </row>
    <row r="9" spans="1:8">
      <c r="A9" s="378">
        <v>1.2</v>
      </c>
      <c r="B9" s="339" t="s">
        <v>86</v>
      </c>
      <c r="C9" s="659">
        <v>260885489.28000003</v>
      </c>
      <c r="D9" s="659">
        <v>70881406.310000002</v>
      </c>
      <c r="E9" s="656">
        <f t="shared" si="0"/>
        <v>331766895.59000003</v>
      </c>
      <c r="F9" s="653">
        <v>231569818.48999998</v>
      </c>
      <c r="G9" s="653">
        <v>65427754.559999973</v>
      </c>
      <c r="H9" s="656">
        <f t="shared" si="1"/>
        <v>296997573.04999995</v>
      </c>
    </row>
    <row r="10" spans="1:8">
      <c r="A10" s="378">
        <v>1.3</v>
      </c>
      <c r="B10" s="339" t="s">
        <v>87</v>
      </c>
      <c r="C10" s="659">
        <v>5899325.29</v>
      </c>
      <c r="D10" s="659">
        <v>147014726.63000003</v>
      </c>
      <c r="E10" s="656">
        <f t="shared" si="0"/>
        <v>152914051.92000002</v>
      </c>
      <c r="F10" s="653">
        <v>1747888.41</v>
      </c>
      <c r="G10" s="653">
        <v>87497354.613382488</v>
      </c>
      <c r="H10" s="656">
        <f t="shared" si="1"/>
        <v>89245243.023382485</v>
      </c>
    </row>
    <row r="11" spans="1:8">
      <c r="A11" s="378">
        <v>2</v>
      </c>
      <c r="B11" s="340" t="s">
        <v>698</v>
      </c>
      <c r="C11" s="659">
        <v>126021.62</v>
      </c>
      <c r="D11" s="659">
        <v>0</v>
      </c>
      <c r="E11" s="656">
        <f t="shared" si="0"/>
        <v>126021.62</v>
      </c>
      <c r="F11" s="653">
        <v>2958401.69</v>
      </c>
      <c r="G11" s="584">
        <v>0</v>
      </c>
      <c r="H11" s="656">
        <f t="shared" si="1"/>
        <v>2958401.69</v>
      </c>
    </row>
    <row r="12" spans="1:8">
      <c r="A12" s="378">
        <v>2.1</v>
      </c>
      <c r="B12" s="341" t="s">
        <v>699</v>
      </c>
      <c r="C12" s="659">
        <v>126021.62</v>
      </c>
      <c r="D12" s="659">
        <v>0</v>
      </c>
      <c r="E12" s="656">
        <f t="shared" si="0"/>
        <v>126021.62</v>
      </c>
      <c r="F12" s="653">
        <v>2958401.69</v>
      </c>
      <c r="G12" s="584">
        <v>0</v>
      </c>
      <c r="H12" s="656">
        <f t="shared" si="1"/>
        <v>2958401.69</v>
      </c>
    </row>
    <row r="13" spans="1:8" ht="26.55" customHeight="1">
      <c r="A13" s="378">
        <v>3</v>
      </c>
      <c r="B13" s="342" t="s">
        <v>700</v>
      </c>
      <c r="C13" s="659"/>
      <c r="D13" s="659"/>
      <c r="E13" s="656">
        <f t="shared" si="0"/>
        <v>0</v>
      </c>
      <c r="F13" s="338"/>
      <c r="G13" s="338"/>
      <c r="H13" s="656">
        <f t="shared" si="1"/>
        <v>0</v>
      </c>
    </row>
    <row r="14" spans="1:8" ht="26.55" customHeight="1">
      <c r="A14" s="378">
        <v>4</v>
      </c>
      <c r="B14" s="343" t="s">
        <v>701</v>
      </c>
      <c r="C14" s="659"/>
      <c r="D14" s="659"/>
      <c r="E14" s="656">
        <f t="shared" si="0"/>
        <v>0</v>
      </c>
      <c r="F14" s="338"/>
      <c r="G14" s="338"/>
      <c r="H14" s="656">
        <f t="shared" si="1"/>
        <v>0</v>
      </c>
    </row>
    <row r="15" spans="1:8" ht="24.45" customHeight="1">
      <c r="A15" s="378">
        <v>5</v>
      </c>
      <c r="B15" s="343" t="s">
        <v>702</v>
      </c>
      <c r="C15" s="663">
        <f>SUM(C16:C18)</f>
        <v>0</v>
      </c>
      <c r="D15" s="663">
        <f>SUM(D16:D18)</f>
        <v>0</v>
      </c>
      <c r="E15" s="657">
        <f t="shared" si="0"/>
        <v>0</v>
      </c>
      <c r="F15" s="663">
        <f>SUM(F16:F18)</f>
        <v>0</v>
      </c>
      <c r="G15" s="663">
        <f>SUM(G16:G18)</f>
        <v>0</v>
      </c>
      <c r="H15" s="657">
        <f t="shared" si="1"/>
        <v>0</v>
      </c>
    </row>
    <row r="16" spans="1:8">
      <c r="A16" s="378">
        <v>5.0999999999999996</v>
      </c>
      <c r="B16" s="344" t="s">
        <v>703</v>
      </c>
      <c r="C16" s="659"/>
      <c r="D16" s="659"/>
      <c r="E16" s="656">
        <f t="shared" si="0"/>
        <v>0</v>
      </c>
      <c r="F16" s="338"/>
      <c r="G16" s="338"/>
      <c r="H16" s="656">
        <f t="shared" si="1"/>
        <v>0</v>
      </c>
    </row>
    <row r="17" spans="1:8">
      <c r="A17" s="378">
        <v>5.2</v>
      </c>
      <c r="B17" s="344" t="s">
        <v>538</v>
      </c>
      <c r="C17" s="659"/>
      <c r="D17" s="659"/>
      <c r="E17" s="656">
        <f t="shared" si="0"/>
        <v>0</v>
      </c>
      <c r="F17" s="338"/>
      <c r="G17" s="338"/>
      <c r="H17" s="656">
        <f t="shared" si="1"/>
        <v>0</v>
      </c>
    </row>
    <row r="18" spans="1:8">
      <c r="A18" s="378">
        <v>5.3</v>
      </c>
      <c r="B18" s="344" t="s">
        <v>704</v>
      </c>
      <c r="C18" s="659"/>
      <c r="D18" s="659"/>
      <c r="E18" s="656">
        <f t="shared" si="0"/>
        <v>0</v>
      </c>
      <c r="F18" s="338"/>
      <c r="G18" s="338"/>
      <c r="H18" s="656">
        <f t="shared" si="1"/>
        <v>0</v>
      </c>
    </row>
    <row r="19" spans="1:8">
      <c r="A19" s="378">
        <v>6</v>
      </c>
      <c r="B19" s="342" t="s">
        <v>705</v>
      </c>
      <c r="C19" s="655">
        <f>SUM(C20:C21)</f>
        <v>3047059408.993741</v>
      </c>
      <c r="D19" s="655">
        <f>SUM(D20:D21)</f>
        <v>351754931.40630198</v>
      </c>
      <c r="E19" s="656">
        <f t="shared" si="0"/>
        <v>3398814340.400043</v>
      </c>
      <c r="F19" s="655">
        <f>SUM(F20:F21)</f>
        <v>2500092209.8597374</v>
      </c>
      <c r="G19" s="655">
        <f>SUM(G20:G21)</f>
        <v>281592742.03001547</v>
      </c>
      <c r="H19" s="656">
        <f t="shared" si="1"/>
        <v>2781684951.8897529</v>
      </c>
    </row>
    <row r="20" spans="1:8">
      <c r="A20" s="378">
        <v>6.1</v>
      </c>
      <c r="B20" s="344" t="s">
        <v>538</v>
      </c>
      <c r="C20" s="659">
        <v>54464579.82</v>
      </c>
      <c r="D20" s="659"/>
      <c r="E20" s="656">
        <f t="shared" si="0"/>
        <v>54464579.82</v>
      </c>
      <c r="F20" s="653">
        <v>73312067.549999997</v>
      </c>
      <c r="G20" s="653"/>
      <c r="H20" s="656">
        <f t="shared" si="1"/>
        <v>73312067.549999997</v>
      </c>
    </row>
    <row r="21" spans="1:8">
      <c r="A21" s="378">
        <v>6.2</v>
      </c>
      <c r="B21" s="344" t="s">
        <v>704</v>
      </c>
      <c r="C21" s="659">
        <v>2992594829.1737409</v>
      </c>
      <c r="D21" s="659">
        <v>351754931.40630198</v>
      </c>
      <c r="E21" s="656">
        <f t="shared" si="0"/>
        <v>3344349760.5800428</v>
      </c>
      <c r="F21" s="653">
        <v>2426780142.3097372</v>
      </c>
      <c r="G21" s="653">
        <v>281592742.03001547</v>
      </c>
      <c r="H21" s="656">
        <f t="shared" si="1"/>
        <v>2708372884.3397527</v>
      </c>
    </row>
    <row r="22" spans="1:8">
      <c r="A22" s="378">
        <v>7</v>
      </c>
      <c r="B22" s="345" t="s">
        <v>706</v>
      </c>
      <c r="C22" s="659">
        <v>3709467.2800000003</v>
      </c>
      <c r="D22" s="659"/>
      <c r="E22" s="656">
        <f t="shared" si="0"/>
        <v>3709467.2800000003</v>
      </c>
      <c r="F22" s="653">
        <v>2202413.5</v>
      </c>
      <c r="G22" s="653"/>
      <c r="H22" s="656">
        <f t="shared" si="1"/>
        <v>2202413.5</v>
      </c>
    </row>
    <row r="23" spans="1:8">
      <c r="A23" s="378">
        <v>8</v>
      </c>
      <c r="B23" s="346" t="s">
        <v>707</v>
      </c>
      <c r="C23" s="659"/>
      <c r="D23" s="659"/>
      <c r="E23" s="656">
        <f t="shared" si="0"/>
        <v>0</v>
      </c>
      <c r="F23" s="338"/>
      <c r="G23" s="338"/>
      <c r="H23" s="656">
        <f t="shared" si="1"/>
        <v>0</v>
      </c>
    </row>
    <row r="24" spans="1:8">
      <c r="A24" s="378">
        <v>9</v>
      </c>
      <c r="B24" s="343" t="s">
        <v>708</v>
      </c>
      <c r="C24" s="654">
        <f>SUM(C25:C26)</f>
        <v>55160443.689999968</v>
      </c>
      <c r="D24" s="654">
        <f>SUM(D25:D26)</f>
        <v>0</v>
      </c>
      <c r="E24" s="656">
        <f t="shared" si="0"/>
        <v>55160443.689999968</v>
      </c>
      <c r="F24" s="655">
        <f>SUM(F25:F26)</f>
        <v>53619535.339999974</v>
      </c>
      <c r="G24" s="655">
        <f>SUM(G25:G26)</f>
        <v>0</v>
      </c>
      <c r="H24" s="656">
        <f t="shared" si="1"/>
        <v>53619535.339999974</v>
      </c>
    </row>
    <row r="25" spans="1:8">
      <c r="A25" s="378">
        <v>9.1</v>
      </c>
      <c r="B25" s="347" t="s">
        <v>709</v>
      </c>
      <c r="C25" s="659">
        <v>55160443.689999968</v>
      </c>
      <c r="D25" s="659"/>
      <c r="E25" s="656">
        <f t="shared" si="0"/>
        <v>55160443.689999968</v>
      </c>
      <c r="F25" s="653">
        <v>53619535.339999974</v>
      </c>
      <c r="G25" s="338"/>
      <c r="H25" s="656">
        <f t="shared" si="1"/>
        <v>53619535.339999974</v>
      </c>
    </row>
    <row r="26" spans="1:8">
      <c r="A26" s="378">
        <v>9.1999999999999993</v>
      </c>
      <c r="B26" s="347" t="s">
        <v>710</v>
      </c>
      <c r="C26" s="659"/>
      <c r="D26" s="659"/>
      <c r="E26" s="656">
        <f t="shared" si="0"/>
        <v>0</v>
      </c>
      <c r="F26" s="338"/>
      <c r="G26" s="338"/>
      <c r="H26" s="656">
        <f t="shared" si="1"/>
        <v>0</v>
      </c>
    </row>
    <row r="27" spans="1:8">
      <c r="A27" s="378">
        <v>10</v>
      </c>
      <c r="B27" s="343" t="s">
        <v>36</v>
      </c>
      <c r="C27" s="655">
        <f>SUM(C28:C29)</f>
        <v>44289248.359999985</v>
      </c>
      <c r="D27" s="655">
        <f>SUM(D28:D29)</f>
        <v>0</v>
      </c>
      <c r="E27" s="656">
        <f t="shared" si="0"/>
        <v>44289248.359999985</v>
      </c>
      <c r="F27" s="655">
        <f>SUM(F28:F29)</f>
        <v>33263478.05999998</v>
      </c>
      <c r="G27" s="655">
        <f>SUM(G28:G29)</f>
        <v>0</v>
      </c>
      <c r="H27" s="656">
        <f t="shared" si="1"/>
        <v>33263478.05999998</v>
      </c>
    </row>
    <row r="28" spans="1:8">
      <c r="A28" s="378">
        <v>10.1</v>
      </c>
      <c r="B28" s="347" t="s">
        <v>711</v>
      </c>
      <c r="C28" s="659"/>
      <c r="D28" s="659"/>
      <c r="E28" s="656">
        <f t="shared" si="0"/>
        <v>0</v>
      </c>
      <c r="F28" s="338"/>
      <c r="G28" s="338"/>
      <c r="H28" s="656">
        <f t="shared" si="1"/>
        <v>0</v>
      </c>
    </row>
    <row r="29" spans="1:8">
      <c r="A29" s="378">
        <v>10.199999999999999</v>
      </c>
      <c r="B29" s="347" t="s">
        <v>712</v>
      </c>
      <c r="C29" s="659">
        <v>44289248.359999985</v>
      </c>
      <c r="D29" s="659"/>
      <c r="E29" s="656">
        <f t="shared" si="0"/>
        <v>44289248.359999985</v>
      </c>
      <c r="F29" s="659">
        <v>33263478.05999998</v>
      </c>
      <c r="G29" s="338"/>
      <c r="H29" s="656">
        <f t="shared" si="1"/>
        <v>33263478.05999998</v>
      </c>
    </row>
    <row r="30" spans="1:8">
      <c r="A30" s="378">
        <v>11</v>
      </c>
      <c r="B30" s="343" t="s">
        <v>713</v>
      </c>
      <c r="C30" s="655">
        <f>SUM(C31:C32)</f>
        <v>0</v>
      </c>
      <c r="D30" s="655">
        <f>SUM(D31:D32)</f>
        <v>0</v>
      </c>
      <c r="E30" s="656">
        <f t="shared" si="0"/>
        <v>0</v>
      </c>
      <c r="F30" s="659">
        <f>SUM(F31:F32)</f>
        <v>0</v>
      </c>
      <c r="G30" s="659">
        <f>SUM(G31:G32)</f>
        <v>0</v>
      </c>
      <c r="H30" s="656">
        <f t="shared" si="1"/>
        <v>0</v>
      </c>
    </row>
    <row r="31" spans="1:8">
      <c r="A31" s="378">
        <v>11.1</v>
      </c>
      <c r="B31" s="347" t="s">
        <v>714</v>
      </c>
      <c r="C31" s="659"/>
      <c r="D31" s="659"/>
      <c r="E31" s="656">
        <f t="shared" si="0"/>
        <v>0</v>
      </c>
      <c r="F31" s="338"/>
      <c r="G31" s="338"/>
      <c r="H31" s="656">
        <f t="shared" si="1"/>
        <v>0</v>
      </c>
    </row>
    <row r="32" spans="1:8">
      <c r="A32" s="378">
        <v>11.2</v>
      </c>
      <c r="B32" s="347" t="s">
        <v>715</v>
      </c>
      <c r="C32" s="659"/>
      <c r="D32" s="659"/>
      <c r="E32" s="656">
        <f t="shared" si="0"/>
        <v>0</v>
      </c>
      <c r="F32" s="338"/>
      <c r="G32" s="338"/>
      <c r="H32" s="656">
        <f t="shared" si="1"/>
        <v>0</v>
      </c>
    </row>
    <row r="33" spans="1:8">
      <c r="A33" s="378">
        <v>13</v>
      </c>
      <c r="B33" s="343" t="s">
        <v>88</v>
      </c>
      <c r="C33" s="655">
        <v>64973908.579999998</v>
      </c>
      <c r="D33" s="655">
        <v>3935039.1999999881</v>
      </c>
      <c r="E33" s="656">
        <f t="shared" si="0"/>
        <v>68908947.779999986</v>
      </c>
      <c r="F33" s="655">
        <v>52896928.969999999</v>
      </c>
      <c r="G33" s="655">
        <v>7032611.9500000104</v>
      </c>
      <c r="H33" s="656">
        <f t="shared" si="1"/>
        <v>59929540.920000009</v>
      </c>
    </row>
    <row r="34" spans="1:8">
      <c r="A34" s="378">
        <v>13.1</v>
      </c>
      <c r="B34" s="348" t="s">
        <v>716</v>
      </c>
      <c r="C34" s="659">
        <v>37551183</v>
      </c>
      <c r="D34" s="659"/>
      <c r="E34" s="656">
        <f t="shared" si="0"/>
        <v>37551183</v>
      </c>
      <c r="F34" s="659">
        <v>26038814.609999999</v>
      </c>
      <c r="G34" s="659"/>
      <c r="H34" s="656">
        <f t="shared" si="1"/>
        <v>26038814.609999999</v>
      </c>
    </row>
    <row r="35" spans="1:8">
      <c r="A35" s="378">
        <v>13.2</v>
      </c>
      <c r="B35" s="348" t="s">
        <v>717</v>
      </c>
      <c r="C35" s="659"/>
      <c r="D35" s="659"/>
      <c r="E35" s="656">
        <f t="shared" si="0"/>
        <v>0</v>
      </c>
      <c r="F35" s="338"/>
      <c r="G35" s="338"/>
      <c r="H35" s="656">
        <f t="shared" si="1"/>
        <v>0</v>
      </c>
    </row>
    <row r="36" spans="1:8">
      <c r="A36" s="378">
        <v>14</v>
      </c>
      <c r="B36" s="349" t="s">
        <v>718</v>
      </c>
      <c r="C36" s="655">
        <f>SUM(C7,C11,C13,C14,C15,C19,C22,C23,C24,C27,C30,C33)</f>
        <v>3539712968.5237412</v>
      </c>
      <c r="D36" s="655">
        <f>SUM(D7,D11,D13,D14,D15,D19,D22,D23,D24,D27,D30,D33)</f>
        <v>615221571.43630195</v>
      </c>
      <c r="E36" s="656">
        <f t="shared" si="0"/>
        <v>4154934539.960043</v>
      </c>
      <c r="F36" s="655">
        <f>SUM(F7,F11,F13,F14,F15,F19,F22,F23,F24,F27,F30,F33)</f>
        <v>2938095777.7697372</v>
      </c>
      <c r="G36" s="655">
        <f>SUM(G7,G11,G13,G14,G15,G19,G22,G23,G24,G27,G30,G33)</f>
        <v>486711429.53339791</v>
      </c>
      <c r="H36" s="656">
        <f t="shared" si="1"/>
        <v>3424807207.3031349</v>
      </c>
    </row>
    <row r="37" spans="1:8" ht="22.5" customHeight="1">
      <c r="A37" s="378"/>
      <c r="B37" s="350" t="s">
        <v>93</v>
      </c>
      <c r="C37" s="779"/>
      <c r="D37" s="780"/>
      <c r="E37" s="780"/>
      <c r="F37" s="780"/>
      <c r="G37" s="780"/>
      <c r="H37" s="781"/>
    </row>
    <row r="38" spans="1:8">
      <c r="A38" s="378">
        <v>15</v>
      </c>
      <c r="B38" s="351" t="s">
        <v>719</v>
      </c>
      <c r="C38" s="660">
        <v>13713498.93</v>
      </c>
      <c r="D38" s="352"/>
      <c r="E38" s="658">
        <f>C38+D38</f>
        <v>13713498.93</v>
      </c>
      <c r="F38" s="660">
        <v>3962499.94</v>
      </c>
      <c r="G38" s="352"/>
      <c r="H38" s="658">
        <f>F38+G38</f>
        <v>3962499.94</v>
      </c>
    </row>
    <row r="39" spans="1:8">
      <c r="A39" s="378">
        <v>15.1</v>
      </c>
      <c r="B39" s="353" t="s">
        <v>699</v>
      </c>
      <c r="C39" s="660">
        <v>13713498.93</v>
      </c>
      <c r="D39" s="352"/>
      <c r="E39" s="658">
        <f t="shared" ref="E39:E53" si="2">C39+D39</f>
        <v>13713498.93</v>
      </c>
      <c r="F39" s="660">
        <v>3962499.94</v>
      </c>
      <c r="G39" s="352"/>
      <c r="H39" s="658">
        <f t="shared" ref="H39:H53" si="3">F39+G39</f>
        <v>3962499.94</v>
      </c>
    </row>
    <row r="40" spans="1:8" ht="24" customHeight="1">
      <c r="A40" s="378">
        <v>16</v>
      </c>
      <c r="B40" s="345" t="s">
        <v>720</v>
      </c>
      <c r="C40" s="352"/>
      <c r="D40" s="352"/>
      <c r="E40" s="658">
        <f t="shared" si="2"/>
        <v>0</v>
      </c>
      <c r="F40" s="352"/>
      <c r="G40" s="352"/>
      <c r="H40" s="658">
        <f t="shared" si="3"/>
        <v>0</v>
      </c>
    </row>
    <row r="41" spans="1:8">
      <c r="A41" s="378">
        <v>17</v>
      </c>
      <c r="B41" s="345" t="s">
        <v>721</v>
      </c>
      <c r="C41" s="662">
        <f>SUM(C42:C45)</f>
        <v>2515256746.7200103</v>
      </c>
      <c r="D41" s="662">
        <f>SUM(D42:D45)</f>
        <v>813810637.92870176</v>
      </c>
      <c r="E41" s="658">
        <f t="shared" si="2"/>
        <v>3329067384.6487122</v>
      </c>
      <c r="F41" s="661">
        <f>SUM(F42:F45)</f>
        <v>2004170231.1499965</v>
      </c>
      <c r="G41" s="661">
        <f>SUM(G42:G45)</f>
        <v>762534302.30720019</v>
      </c>
      <c r="H41" s="658">
        <f t="shared" si="3"/>
        <v>2766704533.4571967</v>
      </c>
    </row>
    <row r="42" spans="1:8">
      <c r="A42" s="378">
        <v>17.100000000000001</v>
      </c>
      <c r="B42" s="354" t="s">
        <v>722</v>
      </c>
      <c r="C42" s="660">
        <v>1512799361.6800098</v>
      </c>
      <c r="D42" s="660">
        <v>535266141.66870171</v>
      </c>
      <c r="E42" s="658">
        <f t="shared" si="2"/>
        <v>2048065503.3487115</v>
      </c>
      <c r="F42" s="653">
        <v>959688428.08999658</v>
      </c>
      <c r="G42" s="653">
        <v>441908296.87720037</v>
      </c>
      <c r="H42" s="658">
        <f t="shared" si="3"/>
        <v>1401596724.9671969</v>
      </c>
    </row>
    <row r="43" spans="1:8">
      <c r="A43" s="378">
        <v>17.2</v>
      </c>
      <c r="B43" s="355" t="s">
        <v>89</v>
      </c>
      <c r="C43" s="660">
        <v>981313017.00999999</v>
      </c>
      <c r="D43" s="660">
        <v>276059982.65999997</v>
      </c>
      <c r="E43" s="658">
        <f t="shared" si="2"/>
        <v>1257372999.6700001</v>
      </c>
      <c r="F43" s="653">
        <v>1026015299.02</v>
      </c>
      <c r="G43" s="653">
        <v>315833182.94999981</v>
      </c>
      <c r="H43" s="658">
        <f t="shared" si="3"/>
        <v>1341848481.9699998</v>
      </c>
    </row>
    <row r="44" spans="1:8">
      <c r="A44" s="378">
        <v>17.3</v>
      </c>
      <c r="B44" s="354" t="s">
        <v>723</v>
      </c>
      <c r="C44" s="660"/>
      <c r="D44" s="660"/>
      <c r="E44" s="658">
        <f t="shared" si="2"/>
        <v>0</v>
      </c>
      <c r="F44" s="653"/>
      <c r="G44" s="653"/>
      <c r="H44" s="658">
        <f t="shared" si="3"/>
        <v>0</v>
      </c>
    </row>
    <row r="45" spans="1:8">
      <c r="A45" s="378">
        <v>17.399999999999999</v>
      </c>
      <c r="B45" s="354" t="s">
        <v>724</v>
      </c>
      <c r="C45" s="660">
        <v>21144368.030000001</v>
      </c>
      <c r="D45" s="660">
        <v>2484513.6</v>
      </c>
      <c r="E45" s="658">
        <f t="shared" si="2"/>
        <v>23628881.630000003</v>
      </c>
      <c r="F45" s="653">
        <v>18466504.039999999</v>
      </c>
      <c r="G45" s="653">
        <v>4792822.4800000004</v>
      </c>
      <c r="H45" s="658">
        <f t="shared" si="3"/>
        <v>23259326.52</v>
      </c>
    </row>
    <row r="46" spans="1:8">
      <c r="A46" s="378">
        <v>18</v>
      </c>
      <c r="B46" s="343" t="s">
        <v>725</v>
      </c>
      <c r="C46" s="660">
        <v>2546293.98</v>
      </c>
      <c r="D46" s="660"/>
      <c r="E46" s="658">
        <f t="shared" si="2"/>
        <v>2546293.98</v>
      </c>
      <c r="F46" s="660">
        <v>1768709.2000000002</v>
      </c>
      <c r="G46" s="352"/>
      <c r="H46" s="658">
        <f t="shared" si="3"/>
        <v>1768709.2000000002</v>
      </c>
    </row>
    <row r="47" spans="1:8">
      <c r="A47" s="378">
        <v>19</v>
      </c>
      <c r="B47" s="343" t="s">
        <v>726</v>
      </c>
      <c r="C47" s="662">
        <f>SUM(C48:C49)</f>
        <v>8857882.980000006</v>
      </c>
      <c r="D47" s="662">
        <f>SUM(D48:D49)</f>
        <v>0</v>
      </c>
      <c r="E47" s="658">
        <f t="shared" si="2"/>
        <v>8857882.980000006</v>
      </c>
      <c r="F47" s="661">
        <f>SUM(F48:F49)</f>
        <v>9217250.7799999937</v>
      </c>
      <c r="G47" s="352">
        <f>SUM(G48:G49)</f>
        <v>0</v>
      </c>
      <c r="H47" s="658">
        <f t="shared" si="3"/>
        <v>9217250.7799999937</v>
      </c>
    </row>
    <row r="48" spans="1:8">
      <c r="A48" s="378">
        <v>19.100000000000001</v>
      </c>
      <c r="B48" s="356" t="s">
        <v>727</v>
      </c>
      <c r="C48" s="660">
        <v>2376268.6700000055</v>
      </c>
      <c r="D48" s="660"/>
      <c r="E48" s="658">
        <f t="shared" si="2"/>
        <v>2376268.6700000055</v>
      </c>
      <c r="F48" s="653">
        <v>3651432.5699999947</v>
      </c>
      <c r="G48" s="352"/>
      <c r="H48" s="658">
        <f t="shared" si="3"/>
        <v>3651432.5699999947</v>
      </c>
    </row>
    <row r="49" spans="1:8">
      <c r="A49" s="378">
        <v>19.2</v>
      </c>
      <c r="B49" s="357" t="s">
        <v>728</v>
      </c>
      <c r="C49" s="660">
        <v>6481614.3100000005</v>
      </c>
      <c r="D49" s="660"/>
      <c r="E49" s="658">
        <f t="shared" si="2"/>
        <v>6481614.3100000005</v>
      </c>
      <c r="F49" s="653">
        <v>5565818.21</v>
      </c>
      <c r="G49" s="352"/>
      <c r="H49" s="658">
        <f t="shared" si="3"/>
        <v>5565818.21</v>
      </c>
    </row>
    <row r="50" spans="1:8">
      <c r="A50" s="378">
        <v>20</v>
      </c>
      <c r="B50" s="358" t="s">
        <v>90</v>
      </c>
      <c r="C50" s="660">
        <v>37248773.550000004</v>
      </c>
      <c r="D50" s="660">
        <v>187856628.45999998</v>
      </c>
      <c r="E50" s="658">
        <f t="shared" si="2"/>
        <v>225105402.00999999</v>
      </c>
      <c r="F50" s="653">
        <v>54315880.219999999</v>
      </c>
      <c r="G50" s="653">
        <v>116661039.03</v>
      </c>
      <c r="H50" s="658">
        <f t="shared" si="3"/>
        <v>170976919.25</v>
      </c>
    </row>
    <row r="51" spans="1:8">
      <c r="A51" s="378">
        <v>21</v>
      </c>
      <c r="B51" s="359" t="s">
        <v>78</v>
      </c>
      <c r="C51" s="660">
        <v>52083300.350000001</v>
      </c>
      <c r="D51" s="660">
        <v>3404417.9600000004</v>
      </c>
      <c r="E51" s="658">
        <f t="shared" si="2"/>
        <v>55487718.310000002</v>
      </c>
      <c r="F51" s="653">
        <v>48194509.819999993</v>
      </c>
      <c r="G51" s="653">
        <v>2742761.1199999973</v>
      </c>
      <c r="H51" s="658">
        <f t="shared" si="3"/>
        <v>50937270.93999999</v>
      </c>
    </row>
    <row r="52" spans="1:8">
      <c r="A52" s="378">
        <v>21.1</v>
      </c>
      <c r="B52" s="355" t="s">
        <v>729</v>
      </c>
      <c r="C52" s="660"/>
      <c r="D52" s="660"/>
      <c r="E52" s="658">
        <f t="shared" si="2"/>
        <v>0</v>
      </c>
      <c r="F52" s="352"/>
      <c r="G52" s="352"/>
      <c r="H52" s="658">
        <f t="shared" si="3"/>
        <v>0</v>
      </c>
    </row>
    <row r="53" spans="1:8">
      <c r="A53" s="378">
        <v>22</v>
      </c>
      <c r="B53" s="358" t="s">
        <v>730</v>
      </c>
      <c r="C53" s="662">
        <f>SUM(C38,C40,C41,C46,C47,C50,C51)</f>
        <v>2629706496.5100102</v>
      </c>
      <c r="D53" s="662">
        <f>SUM(D38,D40,D41,D46,D47,D50,D51)</f>
        <v>1005071684.3487017</v>
      </c>
      <c r="E53" s="658">
        <f t="shared" si="2"/>
        <v>3634778180.8587122</v>
      </c>
      <c r="F53" s="662">
        <f>SUM(F38,F40,F41,F46,F47,F50,F51)</f>
        <v>2121629081.1099966</v>
      </c>
      <c r="G53" s="662">
        <f>SUM(G38,G40,G41,G46,G47,G50,G51)</f>
        <v>881938102.45720017</v>
      </c>
      <c r="H53" s="658">
        <f t="shared" si="3"/>
        <v>3003567183.5671968</v>
      </c>
    </row>
    <row r="54" spans="1:8" ht="24" customHeight="1">
      <c r="A54" s="378"/>
      <c r="B54" s="360" t="s">
        <v>731</v>
      </c>
      <c r="C54" s="782"/>
      <c r="D54" s="783"/>
      <c r="E54" s="783"/>
      <c r="F54" s="783"/>
      <c r="G54" s="783"/>
      <c r="H54" s="784"/>
    </row>
    <row r="55" spans="1:8">
      <c r="A55" s="378">
        <v>23</v>
      </c>
      <c r="B55" s="583" t="s">
        <v>959</v>
      </c>
      <c r="C55" s="660">
        <v>5303030</v>
      </c>
      <c r="D55" s="660"/>
      <c r="E55" s="658">
        <f>C55+D55</f>
        <v>5303030</v>
      </c>
      <c r="F55" s="660">
        <v>5270620</v>
      </c>
      <c r="G55" s="352"/>
      <c r="H55" s="658">
        <f>F55+G55</f>
        <v>5270620</v>
      </c>
    </row>
    <row r="56" spans="1:8">
      <c r="A56" s="378">
        <v>24</v>
      </c>
      <c r="B56" s="358" t="s">
        <v>732</v>
      </c>
      <c r="C56" s="660">
        <v>0</v>
      </c>
      <c r="D56" s="660"/>
      <c r="E56" s="658">
        <f t="shared" ref="E56:E69" si="4">C56+D56</f>
        <v>0</v>
      </c>
      <c r="F56" s="660"/>
      <c r="G56" s="352"/>
      <c r="H56" s="658">
        <f t="shared" ref="H56:H69" si="5">F56+G56</f>
        <v>0</v>
      </c>
    </row>
    <row r="57" spans="1:8">
      <c r="A57" s="378">
        <v>25</v>
      </c>
      <c r="B57" s="358" t="s">
        <v>91</v>
      </c>
      <c r="C57" s="660">
        <v>45359473.049999997</v>
      </c>
      <c r="D57" s="660"/>
      <c r="E57" s="658">
        <f t="shared" si="4"/>
        <v>45359473.049999997</v>
      </c>
      <c r="F57" s="660">
        <v>41797125.18</v>
      </c>
      <c r="G57" s="352"/>
      <c r="H57" s="658">
        <f t="shared" si="5"/>
        <v>41797125.18</v>
      </c>
    </row>
    <row r="58" spans="1:8">
      <c r="A58" s="378">
        <v>26</v>
      </c>
      <c r="B58" s="343" t="s">
        <v>733</v>
      </c>
      <c r="C58" s="660">
        <v>0</v>
      </c>
      <c r="D58" s="660"/>
      <c r="E58" s="658">
        <f t="shared" si="4"/>
        <v>0</v>
      </c>
      <c r="F58" s="352"/>
      <c r="G58" s="352"/>
      <c r="H58" s="658">
        <f t="shared" si="5"/>
        <v>0</v>
      </c>
    </row>
    <row r="59" spans="1:8">
      <c r="A59" s="378">
        <v>27</v>
      </c>
      <c r="B59" s="343" t="s">
        <v>734</v>
      </c>
      <c r="C59" s="660">
        <v>0</v>
      </c>
      <c r="D59" s="660">
        <f>SUM(D60:D61)</f>
        <v>0</v>
      </c>
      <c r="E59" s="658">
        <f t="shared" si="4"/>
        <v>0</v>
      </c>
      <c r="F59" s="352">
        <v>0</v>
      </c>
      <c r="G59" s="352"/>
      <c r="H59" s="658">
        <f t="shared" si="5"/>
        <v>0</v>
      </c>
    </row>
    <row r="60" spans="1:8">
      <c r="A60" s="378">
        <v>27.1</v>
      </c>
      <c r="B60" s="356" t="s">
        <v>735</v>
      </c>
      <c r="C60" s="660">
        <v>0</v>
      </c>
      <c r="D60" s="660"/>
      <c r="E60" s="658">
        <f t="shared" si="4"/>
        <v>0</v>
      </c>
      <c r="F60" s="352"/>
      <c r="G60" s="352"/>
      <c r="H60" s="658">
        <f t="shared" si="5"/>
        <v>0</v>
      </c>
    </row>
    <row r="61" spans="1:8">
      <c r="A61" s="378">
        <v>27.2</v>
      </c>
      <c r="B61" s="354" t="s">
        <v>736</v>
      </c>
      <c r="C61" s="660">
        <v>0</v>
      </c>
      <c r="D61" s="660"/>
      <c r="E61" s="658">
        <f t="shared" si="4"/>
        <v>0</v>
      </c>
      <c r="F61" s="352"/>
      <c r="G61" s="352"/>
      <c r="H61" s="658">
        <f t="shared" si="5"/>
        <v>0</v>
      </c>
    </row>
    <row r="62" spans="1:8">
      <c r="A62" s="378">
        <v>28</v>
      </c>
      <c r="B62" s="359" t="s">
        <v>737</v>
      </c>
      <c r="C62" s="660">
        <v>0</v>
      </c>
      <c r="D62" s="660"/>
      <c r="E62" s="658">
        <f t="shared" si="4"/>
        <v>0</v>
      </c>
      <c r="F62" s="352"/>
      <c r="G62" s="352"/>
      <c r="H62" s="658">
        <f t="shared" si="5"/>
        <v>0</v>
      </c>
    </row>
    <row r="63" spans="1:8">
      <c r="A63" s="378">
        <v>29</v>
      </c>
      <c r="B63" s="343" t="s">
        <v>738</v>
      </c>
      <c r="C63" s="660">
        <v>0</v>
      </c>
      <c r="D63" s="660">
        <f>SUM(D64:D66)</f>
        <v>0</v>
      </c>
      <c r="E63" s="658">
        <f t="shared" si="4"/>
        <v>0</v>
      </c>
      <c r="F63" s="352">
        <v>0</v>
      </c>
      <c r="G63" s="352"/>
      <c r="H63" s="658">
        <f t="shared" si="5"/>
        <v>0</v>
      </c>
    </row>
    <row r="64" spans="1:8">
      <c r="A64" s="378">
        <v>29.1</v>
      </c>
      <c r="B64" s="344" t="s">
        <v>739</v>
      </c>
      <c r="C64" s="660">
        <v>0</v>
      </c>
      <c r="D64" s="660"/>
      <c r="E64" s="658">
        <f t="shared" si="4"/>
        <v>0</v>
      </c>
      <c r="F64" s="352"/>
      <c r="G64" s="352"/>
      <c r="H64" s="658">
        <f t="shared" si="5"/>
        <v>0</v>
      </c>
    </row>
    <row r="65" spans="1:8" ht="25.05" customHeight="1">
      <c r="A65" s="378">
        <v>29.2</v>
      </c>
      <c r="B65" s="356" t="s">
        <v>740</v>
      </c>
      <c r="C65" s="660">
        <v>0</v>
      </c>
      <c r="D65" s="660"/>
      <c r="E65" s="658">
        <f t="shared" si="4"/>
        <v>0</v>
      </c>
      <c r="F65" s="352"/>
      <c r="G65" s="352"/>
      <c r="H65" s="658">
        <f t="shared" si="5"/>
        <v>0</v>
      </c>
    </row>
    <row r="66" spans="1:8" ht="22.5" customHeight="1">
      <c r="A66" s="378">
        <v>29.3</v>
      </c>
      <c r="B66" s="347" t="s">
        <v>741</v>
      </c>
      <c r="C66" s="660">
        <v>0</v>
      </c>
      <c r="D66" s="660"/>
      <c r="E66" s="658">
        <f t="shared" si="4"/>
        <v>0</v>
      </c>
      <c r="F66" s="352"/>
      <c r="G66" s="352"/>
      <c r="H66" s="658">
        <f t="shared" si="5"/>
        <v>0</v>
      </c>
    </row>
    <row r="67" spans="1:8">
      <c r="A67" s="378">
        <v>30</v>
      </c>
      <c r="B67" s="343" t="s">
        <v>92</v>
      </c>
      <c r="C67" s="660">
        <v>469493855.75858319</v>
      </c>
      <c r="D67" s="660"/>
      <c r="E67" s="658">
        <f t="shared" si="4"/>
        <v>469493855.75858319</v>
      </c>
      <c r="F67" s="653">
        <v>374172278.06696802</v>
      </c>
      <c r="G67" s="352"/>
      <c r="H67" s="658">
        <f t="shared" si="5"/>
        <v>374172278.06696802</v>
      </c>
    </row>
    <row r="68" spans="1:8">
      <c r="A68" s="378">
        <v>31</v>
      </c>
      <c r="B68" s="361" t="s">
        <v>999</v>
      </c>
      <c r="C68" s="662">
        <f>SUM(C55,C56,C57,C58,C59,C62,C63,C67)</f>
        <v>520156358.8085832</v>
      </c>
      <c r="D68" s="662">
        <f>SUM(D55,D56,D57,D58,D59,D62,D63,D67)</f>
        <v>0</v>
      </c>
      <c r="E68" s="658">
        <f t="shared" si="4"/>
        <v>520156358.8085832</v>
      </c>
      <c r="F68" s="661">
        <f>SUM(F55,F56,F57,F58,F59,F62,F63,F67)</f>
        <v>421240023.24696803</v>
      </c>
      <c r="G68" s="763">
        <f>SUM(G55,G56,G57,G58,G59,G62,G63,G67)</f>
        <v>0</v>
      </c>
      <c r="H68" s="658">
        <f t="shared" si="5"/>
        <v>421240023.24696803</v>
      </c>
    </row>
    <row r="69" spans="1:8">
      <c r="A69" s="378">
        <v>32</v>
      </c>
      <c r="B69" s="362" t="s">
        <v>743</v>
      </c>
      <c r="C69" s="662">
        <f>SUM(C53,C68)</f>
        <v>3149862855.3185935</v>
      </c>
      <c r="D69" s="662">
        <f>SUM(D53,D68)</f>
        <v>1005071684.3487017</v>
      </c>
      <c r="E69" s="658">
        <f t="shared" si="4"/>
        <v>4154934539.6672955</v>
      </c>
      <c r="F69" s="661">
        <f>SUM(F53,F68)</f>
        <v>2542869104.3569646</v>
      </c>
      <c r="G69" s="661">
        <f>SUM(G53,G68)</f>
        <v>881938102.45720017</v>
      </c>
      <c r="H69" s="658">
        <f t="shared" si="5"/>
        <v>3424807206.8141646</v>
      </c>
    </row>
    <row r="72" spans="1:8" ht="25.05" customHeight="1">
      <c r="B72" s="635" t="s">
        <v>1000</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L35"/>
  <sheetViews>
    <sheetView showGridLines="0" topLeftCell="A7" zoomScale="80" zoomScaleNormal="80" workbookViewId="0">
      <selection activeCell="I7" sqref="I7:L32"/>
    </sheetView>
  </sheetViews>
  <sheetFormatPr defaultColWidth="9.21875" defaultRowHeight="12"/>
  <cols>
    <col min="1" max="1" width="11.77734375" style="437" bestFit="1" customWidth="1"/>
    <col min="2" max="2" width="63.109375" style="437" customWidth="1"/>
    <col min="3" max="3" width="14.6640625" style="437" customWidth="1"/>
    <col min="4" max="5" width="16.109375" style="437" customWidth="1"/>
    <col min="6" max="6" width="16.109375" style="455" customWidth="1"/>
    <col min="7" max="7" width="25.21875" style="455" customWidth="1"/>
    <col min="8" max="8" width="16.109375" style="437" customWidth="1"/>
    <col min="9" max="11" width="16.109375" style="455" customWidth="1"/>
    <col min="12" max="12" width="26.21875" style="455" customWidth="1"/>
    <col min="13" max="16384" width="9.21875" style="437"/>
  </cols>
  <sheetData>
    <row r="1" spans="1:12" ht="13.8">
      <c r="A1" s="315" t="s">
        <v>97</v>
      </c>
      <c r="B1" s="244" t="str">
        <f>Info!C2</f>
        <v>სს "კრედო ბანკი"</v>
      </c>
      <c r="F1" s="437"/>
      <c r="G1" s="437"/>
      <c r="I1" s="437"/>
      <c r="J1" s="437"/>
      <c r="K1" s="437"/>
      <c r="L1" s="437"/>
    </row>
    <row r="2" spans="1:12">
      <c r="A2" s="315" t="s">
        <v>98</v>
      </c>
      <c r="B2" s="318">
        <f>'1. key ratios'!B2</f>
        <v>46203</v>
      </c>
      <c r="F2" s="437"/>
      <c r="G2" s="437"/>
      <c r="I2" s="437"/>
      <c r="J2" s="437"/>
      <c r="K2" s="437"/>
      <c r="L2" s="437"/>
    </row>
    <row r="3" spans="1:12">
      <c r="A3" s="317" t="s">
        <v>563</v>
      </c>
      <c r="F3" s="437"/>
      <c r="G3" s="437"/>
      <c r="I3" s="437"/>
      <c r="J3" s="437"/>
      <c r="K3" s="437"/>
      <c r="L3" s="437"/>
    </row>
    <row r="4" spans="1:12">
      <c r="F4" s="437"/>
      <c r="G4" s="437"/>
      <c r="I4" s="437"/>
      <c r="J4" s="437"/>
      <c r="K4" s="437"/>
      <c r="L4" s="437"/>
    </row>
    <row r="5" spans="1:12" ht="37.5" customHeight="1">
      <c r="A5" s="838" t="s">
        <v>564</v>
      </c>
      <c r="B5" s="839"/>
      <c r="C5" s="887" t="s">
        <v>565</v>
      </c>
      <c r="D5" s="888"/>
      <c r="E5" s="888"/>
      <c r="F5" s="888"/>
      <c r="G5" s="888"/>
      <c r="H5" s="887" t="s">
        <v>875</v>
      </c>
      <c r="I5" s="889"/>
      <c r="J5" s="889"/>
      <c r="K5" s="889"/>
      <c r="L5" s="890"/>
    </row>
    <row r="6" spans="1:12" ht="39.450000000000003" customHeight="1">
      <c r="A6" s="842"/>
      <c r="B6" s="843"/>
      <c r="C6" s="322"/>
      <c r="D6" s="435" t="s">
        <v>860</v>
      </c>
      <c r="E6" s="435" t="s">
        <v>859</v>
      </c>
      <c r="F6" s="435" t="s">
        <v>858</v>
      </c>
      <c r="G6" s="435" t="s">
        <v>857</v>
      </c>
      <c r="H6" s="456"/>
      <c r="I6" s="435" t="s">
        <v>860</v>
      </c>
      <c r="J6" s="435" t="s">
        <v>859</v>
      </c>
      <c r="K6" s="435" t="s">
        <v>858</v>
      </c>
      <c r="L6" s="435" t="s">
        <v>857</v>
      </c>
    </row>
    <row r="7" spans="1:12">
      <c r="A7" s="427">
        <v>1</v>
      </c>
      <c r="B7" s="440" t="s">
        <v>487</v>
      </c>
      <c r="C7" s="734">
        <f>SUM(D7:G7)</f>
        <v>28697717.320000004</v>
      </c>
      <c r="D7" s="723">
        <v>28008153.050000001</v>
      </c>
      <c r="E7" s="723">
        <v>555279.76</v>
      </c>
      <c r="F7" s="723">
        <v>134284.51</v>
      </c>
      <c r="G7" s="723">
        <v>0</v>
      </c>
      <c r="H7" s="730">
        <f>SUM(I7:L7)</f>
        <v>492781.14</v>
      </c>
      <c r="I7" s="723">
        <v>275339.33</v>
      </c>
      <c r="J7" s="723">
        <v>110017.46</v>
      </c>
      <c r="K7" s="723">
        <v>107424.35</v>
      </c>
      <c r="L7" s="723">
        <v>0</v>
      </c>
    </row>
    <row r="8" spans="1:12">
      <c r="A8" s="427">
        <v>2</v>
      </c>
      <c r="B8" s="440" t="s">
        <v>488</v>
      </c>
      <c r="C8" s="734">
        <f t="shared" ref="C8:C32" si="0">SUM(D8:G8)</f>
        <v>28038371.219999999</v>
      </c>
      <c r="D8" s="723">
        <v>27600399.800000001</v>
      </c>
      <c r="E8" s="723">
        <v>274323.58</v>
      </c>
      <c r="F8" s="732">
        <v>163647.84</v>
      </c>
      <c r="G8" s="732">
        <v>0</v>
      </c>
      <c r="H8" s="730">
        <f t="shared" ref="H8:H32" si="1">SUM(I8:L8)</f>
        <v>388471.12</v>
      </c>
      <c r="I8" s="732">
        <v>229957.65</v>
      </c>
      <c r="J8" s="732">
        <v>51870.58</v>
      </c>
      <c r="K8" s="732">
        <v>106642.89</v>
      </c>
      <c r="L8" s="732">
        <v>0</v>
      </c>
    </row>
    <row r="9" spans="1:12">
      <c r="A9" s="427">
        <v>3</v>
      </c>
      <c r="B9" s="440" t="s">
        <v>836</v>
      </c>
      <c r="C9" s="734">
        <f t="shared" si="0"/>
        <v>8698669.6799999997</v>
      </c>
      <c r="D9" s="723">
        <v>8346872.0099999998</v>
      </c>
      <c r="E9" s="723">
        <v>287560.03999999998</v>
      </c>
      <c r="F9" s="733">
        <v>64237.63</v>
      </c>
      <c r="G9" s="733">
        <v>0</v>
      </c>
      <c r="H9" s="730">
        <f t="shared" si="1"/>
        <v>180476.08</v>
      </c>
      <c r="I9" s="733">
        <v>75725.87</v>
      </c>
      <c r="J9" s="733">
        <v>53651.4</v>
      </c>
      <c r="K9" s="733">
        <v>51098.81</v>
      </c>
      <c r="L9" s="733">
        <v>0</v>
      </c>
    </row>
    <row r="10" spans="1:12">
      <c r="A10" s="427">
        <v>4</v>
      </c>
      <c r="B10" s="440" t="s">
        <v>489</v>
      </c>
      <c r="C10" s="734">
        <f t="shared" si="0"/>
        <v>61497480.350000001</v>
      </c>
      <c r="D10" s="723">
        <v>60072258.259999998</v>
      </c>
      <c r="E10" s="723">
        <v>1425222.09</v>
      </c>
      <c r="F10" s="733">
        <v>0</v>
      </c>
      <c r="G10" s="733">
        <v>0</v>
      </c>
      <c r="H10" s="730">
        <f t="shared" si="1"/>
        <v>246272.53999999998</v>
      </c>
      <c r="I10" s="733">
        <v>217448.18</v>
      </c>
      <c r="J10" s="733">
        <v>28824.36</v>
      </c>
      <c r="K10" s="733">
        <v>0</v>
      </c>
      <c r="L10" s="733">
        <v>0</v>
      </c>
    </row>
    <row r="11" spans="1:12">
      <c r="A11" s="427">
        <v>5</v>
      </c>
      <c r="B11" s="440" t="s">
        <v>490</v>
      </c>
      <c r="C11" s="734">
        <f t="shared" si="0"/>
        <v>56935794</v>
      </c>
      <c r="D11" s="723">
        <v>55781797.359999999</v>
      </c>
      <c r="E11" s="723">
        <v>1151778.3999999999</v>
      </c>
      <c r="F11" s="733">
        <v>2218.2399999999998</v>
      </c>
      <c r="G11" s="733">
        <v>0</v>
      </c>
      <c r="H11" s="730">
        <f t="shared" si="1"/>
        <v>300405.58999999997</v>
      </c>
      <c r="I11" s="733">
        <v>239591.43</v>
      </c>
      <c r="J11" s="733">
        <v>59055.73</v>
      </c>
      <c r="K11" s="733">
        <v>1758.43</v>
      </c>
      <c r="L11" s="733">
        <v>0</v>
      </c>
    </row>
    <row r="12" spans="1:12">
      <c r="A12" s="427">
        <v>6</v>
      </c>
      <c r="B12" s="440" t="s">
        <v>491</v>
      </c>
      <c r="C12" s="734">
        <f t="shared" si="0"/>
        <v>17316755.290000003</v>
      </c>
      <c r="D12" s="723">
        <v>16430925.800000001</v>
      </c>
      <c r="E12" s="723">
        <v>768338.26</v>
      </c>
      <c r="F12" s="733">
        <v>117491.23</v>
      </c>
      <c r="G12" s="733">
        <v>0</v>
      </c>
      <c r="H12" s="730">
        <f t="shared" si="1"/>
        <v>364718.99000000005</v>
      </c>
      <c r="I12" s="733">
        <v>120065.97</v>
      </c>
      <c r="J12" s="733">
        <v>152094.19</v>
      </c>
      <c r="K12" s="733">
        <v>92558.83</v>
      </c>
      <c r="L12" s="733">
        <v>0</v>
      </c>
    </row>
    <row r="13" spans="1:12">
      <c r="A13" s="427">
        <v>7</v>
      </c>
      <c r="B13" s="440" t="s">
        <v>492</v>
      </c>
      <c r="C13" s="734">
        <f t="shared" si="0"/>
        <v>6486189.0599999996</v>
      </c>
      <c r="D13" s="723">
        <v>6060941.2000000002</v>
      </c>
      <c r="E13" s="723">
        <v>368724.39</v>
      </c>
      <c r="F13" s="733">
        <v>56523.47</v>
      </c>
      <c r="G13" s="733">
        <v>0</v>
      </c>
      <c r="H13" s="730">
        <f t="shared" si="1"/>
        <v>179119.02000000002</v>
      </c>
      <c r="I13" s="733">
        <v>51627.17</v>
      </c>
      <c r="J13" s="733">
        <v>82990.649999999994</v>
      </c>
      <c r="K13" s="733">
        <v>44501.2</v>
      </c>
      <c r="L13" s="733">
        <v>0</v>
      </c>
    </row>
    <row r="14" spans="1:12">
      <c r="A14" s="427">
        <v>8</v>
      </c>
      <c r="B14" s="440" t="s">
        <v>493</v>
      </c>
      <c r="C14" s="734">
        <f t="shared" si="0"/>
        <v>227972716.68000001</v>
      </c>
      <c r="D14" s="723">
        <v>216223993.21000001</v>
      </c>
      <c r="E14" s="723">
        <v>10051791.35</v>
      </c>
      <c r="F14" s="733">
        <v>1693363.52</v>
      </c>
      <c r="G14" s="733">
        <v>3568.6</v>
      </c>
      <c r="H14" s="730">
        <f t="shared" si="1"/>
        <v>4639947.67</v>
      </c>
      <c r="I14" s="733">
        <v>1784698.35</v>
      </c>
      <c r="J14" s="733">
        <v>1642355.67</v>
      </c>
      <c r="K14" s="733">
        <v>1212846.53</v>
      </c>
      <c r="L14" s="733">
        <v>47.12</v>
      </c>
    </row>
    <row r="15" spans="1:12">
      <c r="A15" s="427">
        <v>9</v>
      </c>
      <c r="B15" s="440" t="s">
        <v>494</v>
      </c>
      <c r="C15" s="734">
        <f t="shared" si="0"/>
        <v>38072578.25</v>
      </c>
      <c r="D15" s="723">
        <v>35175590.390000001</v>
      </c>
      <c r="E15" s="723">
        <v>2635782.75</v>
      </c>
      <c r="F15" s="733">
        <v>261205.11</v>
      </c>
      <c r="G15" s="733">
        <v>0</v>
      </c>
      <c r="H15" s="730">
        <f t="shared" si="1"/>
        <v>988168.98999999987</v>
      </c>
      <c r="I15" s="733">
        <v>361895.42</v>
      </c>
      <c r="J15" s="733">
        <v>418241.73</v>
      </c>
      <c r="K15" s="733">
        <v>208031.84</v>
      </c>
      <c r="L15" s="733">
        <v>0</v>
      </c>
    </row>
    <row r="16" spans="1:12">
      <c r="A16" s="427">
        <v>10</v>
      </c>
      <c r="B16" s="440" t="s">
        <v>495</v>
      </c>
      <c r="C16" s="734">
        <f t="shared" si="0"/>
        <v>19952157.109999999</v>
      </c>
      <c r="D16" s="723">
        <v>18791162.489999998</v>
      </c>
      <c r="E16" s="723">
        <v>935333.46</v>
      </c>
      <c r="F16" s="733">
        <v>225661.16</v>
      </c>
      <c r="G16" s="733">
        <v>0</v>
      </c>
      <c r="H16" s="730">
        <f t="shared" si="1"/>
        <v>485040.44000000006</v>
      </c>
      <c r="I16" s="733">
        <v>154403.72</v>
      </c>
      <c r="J16" s="733">
        <v>158062.29999999999</v>
      </c>
      <c r="K16" s="733">
        <v>172574.42</v>
      </c>
      <c r="L16" s="733">
        <v>0</v>
      </c>
    </row>
    <row r="17" spans="1:12">
      <c r="A17" s="427">
        <v>11</v>
      </c>
      <c r="B17" s="440" t="s">
        <v>496</v>
      </c>
      <c r="C17" s="734">
        <f t="shared" si="0"/>
        <v>9290995.5</v>
      </c>
      <c r="D17" s="723">
        <v>8857553.6899999995</v>
      </c>
      <c r="E17" s="723">
        <v>380001.83</v>
      </c>
      <c r="F17" s="733">
        <v>53439.98</v>
      </c>
      <c r="G17" s="733">
        <v>0</v>
      </c>
      <c r="H17" s="730">
        <f t="shared" si="1"/>
        <v>234701.61</v>
      </c>
      <c r="I17" s="733">
        <v>106529.66</v>
      </c>
      <c r="J17" s="733">
        <v>85692.33</v>
      </c>
      <c r="K17" s="733">
        <v>42479.62</v>
      </c>
      <c r="L17" s="733">
        <v>0</v>
      </c>
    </row>
    <row r="18" spans="1:12">
      <c r="A18" s="427">
        <v>12</v>
      </c>
      <c r="B18" s="440" t="s">
        <v>497</v>
      </c>
      <c r="C18" s="734">
        <f t="shared" si="0"/>
        <v>182143333.36999997</v>
      </c>
      <c r="D18" s="723">
        <v>173896001.50999999</v>
      </c>
      <c r="E18" s="723">
        <v>6958478.9199999999</v>
      </c>
      <c r="F18" s="733">
        <v>1288852.94</v>
      </c>
      <c r="G18" s="733">
        <v>0</v>
      </c>
      <c r="H18" s="730">
        <f t="shared" si="1"/>
        <v>3358614.4299999997</v>
      </c>
      <c r="I18" s="733">
        <v>1367600.92</v>
      </c>
      <c r="J18" s="733">
        <v>1213018.81</v>
      </c>
      <c r="K18" s="733">
        <v>777994.7</v>
      </c>
      <c r="L18" s="733">
        <v>0</v>
      </c>
    </row>
    <row r="19" spans="1:12">
      <c r="A19" s="427">
        <v>13</v>
      </c>
      <c r="B19" s="440" t="s">
        <v>498</v>
      </c>
      <c r="C19" s="734">
        <f t="shared" si="0"/>
        <v>31114834.390000001</v>
      </c>
      <c r="D19" s="723">
        <v>29273537.300000001</v>
      </c>
      <c r="E19" s="723">
        <v>1526778.65</v>
      </c>
      <c r="F19" s="733">
        <v>314518.44</v>
      </c>
      <c r="G19" s="733">
        <v>0</v>
      </c>
      <c r="H19" s="730">
        <f t="shared" si="1"/>
        <v>801033.41</v>
      </c>
      <c r="I19" s="733">
        <v>271040.84000000003</v>
      </c>
      <c r="J19" s="733">
        <v>295413.55</v>
      </c>
      <c r="K19" s="733">
        <v>234579.02</v>
      </c>
      <c r="L19" s="733">
        <v>0</v>
      </c>
    </row>
    <row r="20" spans="1:12">
      <c r="A20" s="427">
        <v>14</v>
      </c>
      <c r="B20" s="440" t="s">
        <v>499</v>
      </c>
      <c r="C20" s="734">
        <f t="shared" si="0"/>
        <v>109214560.58</v>
      </c>
      <c r="D20" s="723">
        <v>105979757.76000001</v>
      </c>
      <c r="E20" s="723">
        <v>2900642.24</v>
      </c>
      <c r="F20" s="733">
        <v>334160.58</v>
      </c>
      <c r="G20" s="733">
        <v>0</v>
      </c>
      <c r="H20" s="730">
        <f t="shared" si="1"/>
        <v>1173965.1000000001</v>
      </c>
      <c r="I20" s="733">
        <v>593717.65</v>
      </c>
      <c r="J20" s="733">
        <v>325599.31</v>
      </c>
      <c r="K20" s="733">
        <v>254648.14</v>
      </c>
      <c r="L20" s="733">
        <v>0</v>
      </c>
    </row>
    <row r="21" spans="1:12">
      <c r="A21" s="427">
        <v>15</v>
      </c>
      <c r="B21" s="440" t="s">
        <v>500</v>
      </c>
      <c r="C21" s="734">
        <f t="shared" si="0"/>
        <v>69029677.25</v>
      </c>
      <c r="D21" s="723">
        <v>65123529.310000002</v>
      </c>
      <c r="E21" s="723">
        <v>3304546.52</v>
      </c>
      <c r="F21" s="733">
        <v>601601.42000000004</v>
      </c>
      <c r="G21" s="733">
        <v>0</v>
      </c>
      <c r="H21" s="730">
        <f t="shared" si="1"/>
        <v>1712313.7000000002</v>
      </c>
      <c r="I21" s="733">
        <v>584010.73</v>
      </c>
      <c r="J21" s="733">
        <v>659910.93000000005</v>
      </c>
      <c r="K21" s="733">
        <v>468392.04</v>
      </c>
      <c r="L21" s="733">
        <v>0</v>
      </c>
    </row>
    <row r="22" spans="1:12">
      <c r="A22" s="427">
        <v>16</v>
      </c>
      <c r="B22" s="440" t="s">
        <v>501</v>
      </c>
      <c r="C22" s="734">
        <f t="shared" si="0"/>
        <v>15622052.560000001</v>
      </c>
      <c r="D22" s="723">
        <v>14266881.15</v>
      </c>
      <c r="E22" s="723">
        <v>1172564.28</v>
      </c>
      <c r="F22" s="733">
        <v>182607.13</v>
      </c>
      <c r="G22" s="733">
        <v>0</v>
      </c>
      <c r="H22" s="730">
        <f t="shared" si="1"/>
        <v>534567.30999999994</v>
      </c>
      <c r="I22" s="733">
        <v>147908.04999999999</v>
      </c>
      <c r="J22" s="733">
        <v>240766.49</v>
      </c>
      <c r="K22" s="733">
        <v>145892.76999999999</v>
      </c>
      <c r="L22" s="733">
        <v>0</v>
      </c>
    </row>
    <row r="23" spans="1:12">
      <c r="A23" s="427">
        <v>17</v>
      </c>
      <c r="B23" s="440" t="s">
        <v>502</v>
      </c>
      <c r="C23" s="734">
        <f t="shared" si="0"/>
        <v>1122948.76</v>
      </c>
      <c r="D23" s="723">
        <v>1081591.8600000001</v>
      </c>
      <c r="E23" s="723">
        <v>19480.64</v>
      </c>
      <c r="F23" s="733">
        <v>21876.26</v>
      </c>
      <c r="G23" s="733">
        <v>0</v>
      </c>
      <c r="H23" s="730">
        <f t="shared" si="1"/>
        <v>43139.82</v>
      </c>
      <c r="I23" s="733">
        <v>22435.98</v>
      </c>
      <c r="J23" s="733">
        <v>3351.63</v>
      </c>
      <c r="K23" s="733">
        <v>17352.21</v>
      </c>
      <c r="L23" s="733">
        <v>0</v>
      </c>
    </row>
    <row r="24" spans="1:12">
      <c r="A24" s="427">
        <v>18</v>
      </c>
      <c r="B24" s="440" t="s">
        <v>503</v>
      </c>
      <c r="C24" s="734">
        <f t="shared" si="0"/>
        <v>4627685.6900000004</v>
      </c>
      <c r="D24" s="723">
        <v>4409548.96</v>
      </c>
      <c r="E24" s="723">
        <v>199798.98</v>
      </c>
      <c r="F24" s="733">
        <v>18337.75</v>
      </c>
      <c r="G24" s="733">
        <v>0</v>
      </c>
      <c r="H24" s="730">
        <f t="shared" si="1"/>
        <v>112062.92</v>
      </c>
      <c r="I24" s="733">
        <v>53866.23</v>
      </c>
      <c r="J24" s="733">
        <v>43643.18</v>
      </c>
      <c r="K24" s="733">
        <v>14553.51</v>
      </c>
      <c r="L24" s="733">
        <v>0</v>
      </c>
    </row>
    <row r="25" spans="1:12">
      <c r="A25" s="427">
        <v>19</v>
      </c>
      <c r="B25" s="440" t="s">
        <v>504</v>
      </c>
      <c r="C25" s="734">
        <f t="shared" si="0"/>
        <v>11644022.01</v>
      </c>
      <c r="D25" s="723">
        <v>11362794.51</v>
      </c>
      <c r="E25" s="723">
        <v>227956.01</v>
      </c>
      <c r="F25" s="733">
        <v>53271.49</v>
      </c>
      <c r="G25" s="733">
        <v>0</v>
      </c>
      <c r="H25" s="730">
        <f t="shared" si="1"/>
        <v>162860.70000000001</v>
      </c>
      <c r="I25" s="733">
        <v>79038.81</v>
      </c>
      <c r="J25" s="733">
        <v>47830.81</v>
      </c>
      <c r="K25" s="733">
        <v>35991.08</v>
      </c>
      <c r="L25" s="733">
        <v>0</v>
      </c>
    </row>
    <row r="26" spans="1:12">
      <c r="A26" s="427">
        <v>20</v>
      </c>
      <c r="B26" s="440" t="s">
        <v>505</v>
      </c>
      <c r="C26" s="734">
        <f t="shared" si="0"/>
        <v>23476601.650000002</v>
      </c>
      <c r="D26" s="723">
        <v>22803683.960000001</v>
      </c>
      <c r="E26" s="723">
        <v>623076.93000000005</v>
      </c>
      <c r="F26" s="733">
        <v>49840.76</v>
      </c>
      <c r="G26" s="733">
        <v>0</v>
      </c>
      <c r="H26" s="730">
        <f t="shared" si="1"/>
        <v>297653.03000000003</v>
      </c>
      <c r="I26" s="733">
        <v>175165.63</v>
      </c>
      <c r="J26" s="733">
        <v>82956.100000000006</v>
      </c>
      <c r="K26" s="733">
        <v>39531.300000000003</v>
      </c>
      <c r="L26" s="733">
        <v>0</v>
      </c>
    </row>
    <row r="27" spans="1:12">
      <c r="A27" s="427">
        <v>21</v>
      </c>
      <c r="B27" s="440" t="s">
        <v>506</v>
      </c>
      <c r="C27" s="734">
        <f t="shared" si="0"/>
        <v>3157868.02</v>
      </c>
      <c r="D27" s="723">
        <v>3093056.02</v>
      </c>
      <c r="E27" s="723">
        <v>63886.14</v>
      </c>
      <c r="F27" s="733">
        <v>925.86</v>
      </c>
      <c r="G27" s="733">
        <v>0</v>
      </c>
      <c r="H27" s="730">
        <f t="shared" si="1"/>
        <v>41674.410000000003</v>
      </c>
      <c r="I27" s="733">
        <v>23698.29</v>
      </c>
      <c r="J27" s="733">
        <v>17241.150000000001</v>
      </c>
      <c r="K27" s="733">
        <v>734.97</v>
      </c>
      <c r="L27" s="733">
        <v>0</v>
      </c>
    </row>
    <row r="28" spans="1:12">
      <c r="A28" s="427">
        <v>22</v>
      </c>
      <c r="B28" s="440" t="s">
        <v>507</v>
      </c>
      <c r="C28" s="734">
        <f t="shared" si="0"/>
        <v>1882503.79</v>
      </c>
      <c r="D28" s="723">
        <v>1829557.68</v>
      </c>
      <c r="E28" s="723">
        <v>52199.02</v>
      </c>
      <c r="F28" s="733">
        <v>747.09</v>
      </c>
      <c r="G28" s="733">
        <v>0</v>
      </c>
      <c r="H28" s="730">
        <f t="shared" si="1"/>
        <v>34798.22</v>
      </c>
      <c r="I28" s="733">
        <v>16092.81</v>
      </c>
      <c r="J28" s="733">
        <v>18112.36</v>
      </c>
      <c r="K28" s="733">
        <v>593.04999999999995</v>
      </c>
      <c r="L28" s="733">
        <v>0</v>
      </c>
    </row>
    <row r="29" spans="1:12">
      <c r="A29" s="427">
        <v>23</v>
      </c>
      <c r="B29" s="440" t="s">
        <v>508</v>
      </c>
      <c r="C29" s="734">
        <f t="shared" si="0"/>
        <v>755391997.83000004</v>
      </c>
      <c r="D29" s="723">
        <v>704790610.89999998</v>
      </c>
      <c r="E29" s="723">
        <v>41690298.990000002</v>
      </c>
      <c r="F29" s="733">
        <v>8911087.9399999995</v>
      </c>
      <c r="G29" s="733">
        <v>0</v>
      </c>
      <c r="H29" s="730">
        <f t="shared" si="1"/>
        <v>22110290.25</v>
      </c>
      <c r="I29" s="733">
        <v>7095475.8899999997</v>
      </c>
      <c r="J29" s="733">
        <v>8437164.6799999997</v>
      </c>
      <c r="K29" s="733">
        <v>6577649.6799999997</v>
      </c>
      <c r="L29" s="733">
        <v>0</v>
      </c>
    </row>
    <row r="30" spans="1:12">
      <c r="A30" s="427">
        <v>24</v>
      </c>
      <c r="B30" s="440" t="s">
        <v>509</v>
      </c>
      <c r="C30" s="734">
        <f t="shared" si="0"/>
        <v>1207028949.8500001</v>
      </c>
      <c r="D30" s="723">
        <v>1137932587.6400001</v>
      </c>
      <c r="E30" s="723">
        <v>57525200.530000001</v>
      </c>
      <c r="F30" s="733">
        <v>11571161.68</v>
      </c>
      <c r="G30" s="733">
        <v>0</v>
      </c>
      <c r="H30" s="730">
        <f t="shared" si="1"/>
        <v>32259158.540000003</v>
      </c>
      <c r="I30" s="733">
        <v>11436997.07</v>
      </c>
      <c r="J30" s="733">
        <v>11664288.130000001</v>
      </c>
      <c r="K30" s="733">
        <v>9157873.3399999999</v>
      </c>
      <c r="L30" s="733">
        <v>0</v>
      </c>
    </row>
    <row r="31" spans="1:12">
      <c r="A31" s="427">
        <v>25</v>
      </c>
      <c r="B31" s="440" t="s">
        <v>510</v>
      </c>
      <c r="C31" s="734">
        <f t="shared" si="0"/>
        <v>403598042.80000001</v>
      </c>
      <c r="D31" s="723">
        <v>388106302.82999998</v>
      </c>
      <c r="E31" s="723">
        <v>10696435.109999999</v>
      </c>
      <c r="F31" s="733">
        <v>4794800.0599999996</v>
      </c>
      <c r="G31" s="733">
        <v>504.8</v>
      </c>
      <c r="H31" s="730">
        <f t="shared" si="1"/>
        <v>8720147.9399999995</v>
      </c>
      <c r="I31" s="733">
        <v>3644327.68</v>
      </c>
      <c r="J31" s="733">
        <v>2387416.2799999998</v>
      </c>
      <c r="K31" s="733">
        <v>2688397.32</v>
      </c>
      <c r="L31" s="733">
        <v>6.66</v>
      </c>
    </row>
    <row r="32" spans="1:12">
      <c r="A32" s="427">
        <v>26</v>
      </c>
      <c r="B32" s="440" t="s">
        <v>566</v>
      </c>
      <c r="C32" s="734">
        <f t="shared" si="0"/>
        <v>105304754.74000001</v>
      </c>
      <c r="D32" s="723">
        <v>99340513.010000005</v>
      </c>
      <c r="E32" s="723">
        <v>4631678.6399999997</v>
      </c>
      <c r="F32" s="733">
        <v>1332563.0900000001</v>
      </c>
      <c r="G32" s="733">
        <v>0</v>
      </c>
      <c r="H32" s="730">
        <f t="shared" si="1"/>
        <v>3107114.24</v>
      </c>
      <c r="I32" s="733">
        <v>1065520.76</v>
      </c>
      <c r="J32" s="733">
        <v>1004832.55</v>
      </c>
      <c r="K32" s="733">
        <v>1036760.93</v>
      </c>
      <c r="L32" s="733">
        <v>0</v>
      </c>
    </row>
    <row r="33" spans="1:12">
      <c r="A33" s="427">
        <v>27</v>
      </c>
      <c r="B33" s="484" t="s">
        <v>66</v>
      </c>
      <c r="C33" s="734">
        <f>SUM(C7:C32)</f>
        <v>3427319257.75</v>
      </c>
      <c r="D33" s="734">
        <f t="shared" ref="D33:G33" si="2">SUM(D7:D32)</f>
        <v>3244639601.6599998</v>
      </c>
      <c r="E33" s="734">
        <f t="shared" si="2"/>
        <v>150427157.50999999</v>
      </c>
      <c r="F33" s="734">
        <f t="shared" si="2"/>
        <v>32248425.18</v>
      </c>
      <c r="G33" s="734">
        <f t="shared" si="2"/>
        <v>4073.4</v>
      </c>
      <c r="H33" s="730">
        <f>SUM(H7:H32)</f>
        <v>82969497.209999993</v>
      </c>
      <c r="I33" s="730">
        <f t="shared" ref="I33:L33" si="3">SUM(I7:I32)</f>
        <v>30194180.09</v>
      </c>
      <c r="J33" s="730">
        <f t="shared" si="3"/>
        <v>29284402.360000003</v>
      </c>
      <c r="K33" s="730">
        <f t="shared" si="3"/>
        <v>23490860.98</v>
      </c>
      <c r="L33" s="730">
        <f t="shared" si="3"/>
        <v>53.78</v>
      </c>
    </row>
    <row r="35" spans="1:12">
      <c r="B35" s="483"/>
      <c r="C35" s="483"/>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K13"/>
  <sheetViews>
    <sheetView showGridLines="0" topLeftCell="B4" zoomScale="80" zoomScaleNormal="80" workbookViewId="0">
      <selection activeCell="C6" sqref="C6:K11"/>
    </sheetView>
  </sheetViews>
  <sheetFormatPr defaultColWidth="8.77734375" defaultRowHeight="12"/>
  <cols>
    <col min="1" max="1" width="9.5546875" style="323" customWidth="1"/>
    <col min="2" max="2" width="78" style="323" customWidth="1"/>
    <col min="3" max="11" width="18.77734375" style="323" customWidth="1"/>
    <col min="12" max="16384" width="8.77734375" style="323"/>
  </cols>
  <sheetData>
    <row r="1" spans="1:11" s="316" customFormat="1" ht="13.8">
      <c r="A1" s="315" t="s">
        <v>97</v>
      </c>
      <c r="B1" s="244" t="str">
        <f>Info!C2</f>
        <v>სს "კრედო ბანკი"</v>
      </c>
      <c r="C1" s="437"/>
      <c r="D1" s="437"/>
      <c r="E1" s="437"/>
      <c r="F1" s="437"/>
      <c r="G1" s="437"/>
      <c r="H1" s="437"/>
      <c r="I1" s="437"/>
      <c r="J1" s="437"/>
      <c r="K1" s="437"/>
    </row>
    <row r="2" spans="1:11" s="316" customFormat="1">
      <c r="A2" s="315" t="s">
        <v>98</v>
      </c>
      <c r="B2" s="318">
        <f>'1. key ratios'!B2</f>
        <v>46203</v>
      </c>
      <c r="C2" s="437"/>
      <c r="D2" s="437"/>
      <c r="E2" s="437"/>
      <c r="F2" s="437"/>
      <c r="G2" s="437"/>
      <c r="H2" s="437"/>
      <c r="I2" s="437"/>
      <c r="J2" s="437"/>
      <c r="K2" s="437"/>
    </row>
    <row r="3" spans="1:11" s="316" customFormat="1">
      <c r="A3" s="317" t="s">
        <v>567</v>
      </c>
      <c r="B3" s="437"/>
      <c r="C3" s="437"/>
      <c r="D3" s="437"/>
      <c r="E3" s="437"/>
      <c r="F3" s="437"/>
      <c r="G3" s="437"/>
      <c r="H3" s="437"/>
      <c r="I3" s="437"/>
      <c r="J3" s="437"/>
      <c r="K3" s="437"/>
    </row>
    <row r="4" spans="1:11">
      <c r="A4" s="488"/>
      <c r="B4" s="488"/>
      <c r="C4" s="487" t="s">
        <v>471</v>
      </c>
      <c r="D4" s="487" t="s">
        <v>472</v>
      </c>
      <c r="E4" s="487" t="s">
        <v>473</v>
      </c>
      <c r="F4" s="487" t="s">
        <v>474</v>
      </c>
      <c r="G4" s="487" t="s">
        <v>475</v>
      </c>
      <c r="H4" s="487" t="s">
        <v>476</v>
      </c>
      <c r="I4" s="487" t="s">
        <v>477</v>
      </c>
      <c r="J4" s="487" t="s">
        <v>478</v>
      </c>
      <c r="K4" s="487" t="s">
        <v>479</v>
      </c>
    </row>
    <row r="5" spans="1:11" ht="103.95" customHeight="1">
      <c r="A5" s="891" t="s">
        <v>874</v>
      </c>
      <c r="B5" s="892"/>
      <c r="C5" s="486" t="s">
        <v>568</v>
      </c>
      <c r="D5" s="486" t="s">
        <v>561</v>
      </c>
      <c r="E5" s="486" t="s">
        <v>562</v>
      </c>
      <c r="F5" s="486" t="s">
        <v>873</v>
      </c>
      <c r="G5" s="486" t="s">
        <v>569</v>
      </c>
      <c r="H5" s="486" t="s">
        <v>570</v>
      </c>
      <c r="I5" s="486" t="s">
        <v>571</v>
      </c>
      <c r="J5" s="486" t="s">
        <v>572</v>
      </c>
      <c r="K5" s="486" t="s">
        <v>573</v>
      </c>
    </row>
    <row r="6" spans="1:11">
      <c r="A6" s="427">
        <v>1</v>
      </c>
      <c r="B6" s="427" t="s">
        <v>574</v>
      </c>
      <c r="C6" s="723">
        <v>1302069.8909330971</v>
      </c>
      <c r="D6" s="723">
        <v>35334.105722621709</v>
      </c>
      <c r="E6" s="723"/>
      <c r="F6" s="723"/>
      <c r="G6" s="723">
        <v>1258120936.7303514</v>
      </c>
      <c r="H6" s="723"/>
      <c r="I6" s="723">
        <v>158744761.66971463</v>
      </c>
      <c r="J6" s="723">
        <v>344161952.69815207</v>
      </c>
      <c r="K6" s="723">
        <v>1664954202.6442654</v>
      </c>
    </row>
    <row r="7" spans="1:11">
      <c r="A7" s="427">
        <v>2</v>
      </c>
      <c r="B7" s="427" t="s">
        <v>575</v>
      </c>
      <c r="C7" s="723"/>
      <c r="D7" s="723"/>
      <c r="E7" s="723"/>
      <c r="F7" s="723"/>
      <c r="G7" s="723"/>
      <c r="H7" s="723"/>
      <c r="I7" s="723"/>
      <c r="J7" s="723"/>
      <c r="K7" s="723"/>
    </row>
    <row r="8" spans="1:11">
      <c r="A8" s="427">
        <v>3</v>
      </c>
      <c r="B8" s="427" t="s">
        <v>539</v>
      </c>
      <c r="C8" s="723">
        <v>0</v>
      </c>
      <c r="D8" s="723">
        <v>0</v>
      </c>
      <c r="E8" s="723"/>
      <c r="F8" s="723"/>
      <c r="G8" s="723">
        <v>27819011.643218771</v>
      </c>
      <c r="H8" s="723"/>
      <c r="I8" s="723">
        <v>805732.74884898146</v>
      </c>
      <c r="J8" s="723">
        <v>10619445.381429136</v>
      </c>
      <c r="K8" s="723">
        <v>476149948.11650312</v>
      </c>
    </row>
    <row r="9" spans="1:11">
      <c r="A9" s="427">
        <v>4</v>
      </c>
      <c r="B9" s="444" t="s">
        <v>872</v>
      </c>
      <c r="C9" s="735">
        <v>0</v>
      </c>
      <c r="D9" s="735">
        <v>0</v>
      </c>
      <c r="E9" s="735"/>
      <c r="F9" s="735"/>
      <c r="G9" s="735">
        <v>3595483.8056215188</v>
      </c>
      <c r="H9" s="735"/>
      <c r="I9" s="735">
        <v>1863943.6278185761</v>
      </c>
      <c r="J9" s="735">
        <v>2787957.6315002115</v>
      </c>
      <c r="K9" s="735">
        <v>24005113.516159918</v>
      </c>
    </row>
    <row r="10" spans="1:11">
      <c r="A10" s="427">
        <v>5</v>
      </c>
      <c r="B10" s="444" t="s">
        <v>871</v>
      </c>
      <c r="C10" s="735"/>
      <c r="D10" s="735"/>
      <c r="E10" s="735"/>
      <c r="F10" s="735"/>
      <c r="G10" s="735"/>
      <c r="H10" s="735"/>
      <c r="I10" s="735"/>
      <c r="J10" s="735"/>
      <c r="K10" s="735"/>
    </row>
    <row r="11" spans="1:11">
      <c r="A11" s="427">
        <v>6</v>
      </c>
      <c r="B11" s="444" t="s">
        <v>870</v>
      </c>
      <c r="C11" s="735"/>
      <c r="D11" s="735"/>
      <c r="E11" s="735"/>
      <c r="F11" s="735"/>
      <c r="G11" s="735"/>
      <c r="H11" s="735"/>
      <c r="I11" s="735"/>
      <c r="J11" s="735"/>
      <c r="K11" s="735"/>
    </row>
    <row r="13" spans="1:11" ht="13.8">
      <c r="B13" s="485"/>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V21"/>
  <sheetViews>
    <sheetView showGridLines="0" zoomScale="80" zoomScaleNormal="80" workbookViewId="0">
      <selection activeCell="K2" sqref="K2"/>
    </sheetView>
  </sheetViews>
  <sheetFormatPr defaultColWidth="8.77734375" defaultRowHeight="14.4"/>
  <cols>
    <col min="1" max="1" width="10" style="489" bestFit="1" customWidth="1"/>
    <col min="2" max="2" width="71.77734375" style="489" customWidth="1"/>
    <col min="3" max="3" width="13.88671875" style="489" bestFit="1" customWidth="1"/>
    <col min="4" max="5" width="15.33203125" style="489" bestFit="1" customWidth="1"/>
    <col min="6" max="6" width="20.109375" style="489" bestFit="1" customWidth="1"/>
    <col min="7" max="7" width="37.77734375" style="489" bestFit="1" customWidth="1"/>
    <col min="8" max="8" width="11.6640625" style="489" bestFit="1" customWidth="1"/>
    <col min="9" max="10" width="15.33203125" style="489" bestFit="1" customWidth="1"/>
    <col min="11" max="11" width="20.109375" style="489" bestFit="1" customWidth="1"/>
    <col min="12" max="12" width="37.77734375" style="489" bestFit="1" customWidth="1"/>
    <col min="13" max="13" width="10.77734375" style="489" bestFit="1" customWidth="1"/>
    <col min="14" max="15" width="15.33203125" style="489" bestFit="1" customWidth="1"/>
    <col min="16" max="16" width="20.109375" style="489" bestFit="1" customWidth="1"/>
    <col min="17" max="17" width="37.77734375" style="489" bestFit="1" customWidth="1"/>
    <col min="18" max="18" width="18" style="489" bestFit="1" customWidth="1"/>
    <col min="19" max="19" width="48" style="489" bestFit="1" customWidth="1"/>
    <col min="20" max="20" width="45.77734375" style="489" bestFit="1" customWidth="1"/>
    <col min="21" max="21" width="48" style="489" bestFit="1" customWidth="1"/>
    <col min="22" max="22" width="44.33203125" style="489" bestFit="1" customWidth="1"/>
    <col min="23" max="16384" width="8.77734375" style="489"/>
  </cols>
  <sheetData>
    <row r="1" spans="1:22">
      <c r="A1" s="315" t="s">
        <v>97</v>
      </c>
      <c r="B1" s="244" t="str">
        <f>Info!C2</f>
        <v>სს "კრედო ბანკი"</v>
      </c>
    </row>
    <row r="2" spans="1:22">
      <c r="A2" s="315" t="s">
        <v>98</v>
      </c>
      <c r="B2" s="318">
        <f>'1. key ratios'!B2</f>
        <v>46203</v>
      </c>
    </row>
    <row r="3" spans="1:22">
      <c r="A3" s="317" t="s">
        <v>657</v>
      </c>
      <c r="B3" s="437"/>
    </row>
    <row r="4" spans="1:22">
      <c r="A4" s="317"/>
      <c r="B4" s="437"/>
    </row>
    <row r="5" spans="1:22" ht="24" customHeight="1">
      <c r="A5" s="893" t="s">
        <v>684</v>
      </c>
      <c r="B5" s="893"/>
      <c r="C5" s="895" t="s">
        <v>876</v>
      </c>
      <c r="D5" s="895"/>
      <c r="E5" s="895"/>
      <c r="F5" s="895"/>
      <c r="G5" s="895"/>
      <c r="H5" s="895" t="s">
        <v>565</v>
      </c>
      <c r="I5" s="895"/>
      <c r="J5" s="895"/>
      <c r="K5" s="895"/>
      <c r="L5" s="895"/>
      <c r="M5" s="895" t="s">
        <v>875</v>
      </c>
      <c r="N5" s="895"/>
      <c r="O5" s="895"/>
      <c r="P5" s="895"/>
      <c r="Q5" s="895"/>
      <c r="R5" s="894" t="s">
        <v>683</v>
      </c>
      <c r="S5" s="894" t="s">
        <v>687</v>
      </c>
      <c r="T5" s="894" t="s">
        <v>686</v>
      </c>
      <c r="U5" s="894" t="s">
        <v>914</v>
      </c>
      <c r="V5" s="894" t="s">
        <v>915</v>
      </c>
    </row>
    <row r="6" spans="1:22" ht="36" customHeight="1">
      <c r="A6" s="893"/>
      <c r="B6" s="893"/>
      <c r="C6" s="498"/>
      <c r="D6" s="435" t="s">
        <v>860</v>
      </c>
      <c r="E6" s="435" t="s">
        <v>859</v>
      </c>
      <c r="F6" s="435" t="s">
        <v>858</v>
      </c>
      <c r="G6" s="435" t="s">
        <v>857</v>
      </c>
      <c r="H6" s="498"/>
      <c r="I6" s="435" t="s">
        <v>860</v>
      </c>
      <c r="J6" s="435" t="s">
        <v>859</v>
      </c>
      <c r="K6" s="435" t="s">
        <v>858</v>
      </c>
      <c r="L6" s="435" t="s">
        <v>857</v>
      </c>
      <c r="M6" s="498"/>
      <c r="N6" s="435" t="s">
        <v>860</v>
      </c>
      <c r="O6" s="435" t="s">
        <v>859</v>
      </c>
      <c r="P6" s="435" t="s">
        <v>858</v>
      </c>
      <c r="Q6" s="435" t="s">
        <v>857</v>
      </c>
      <c r="R6" s="894"/>
      <c r="S6" s="894"/>
      <c r="T6" s="894"/>
      <c r="U6" s="894"/>
      <c r="V6" s="894"/>
    </row>
    <row r="7" spans="1:22">
      <c r="A7" s="493">
        <v>1</v>
      </c>
      <c r="B7" s="497" t="s">
        <v>658</v>
      </c>
      <c r="C7" s="751">
        <f>SUM(D7:G7)</f>
        <v>28834186.910000082</v>
      </c>
      <c r="D7" s="735">
        <v>27785674.730000079</v>
      </c>
      <c r="E7" s="735">
        <v>438479.99000000028</v>
      </c>
      <c r="F7" s="735">
        <v>610032.18999999994</v>
      </c>
      <c r="G7" s="735">
        <v>0</v>
      </c>
      <c r="H7" s="751">
        <f>SUM(I7:L7)</f>
        <v>29110722.572381761</v>
      </c>
      <c r="I7" s="735">
        <v>27890743.20218106</v>
      </c>
      <c r="J7" s="735">
        <v>462849.34304691787</v>
      </c>
      <c r="K7" s="735">
        <v>757130.02715378278</v>
      </c>
      <c r="L7" s="735">
        <v>0</v>
      </c>
      <c r="M7" s="751">
        <f>SUM(N7:Q7)</f>
        <v>1055932.9648710275</v>
      </c>
      <c r="N7" s="735">
        <v>407204.99238559476</v>
      </c>
      <c r="O7" s="735">
        <v>181534.27959873484</v>
      </c>
      <c r="P7" s="735">
        <v>467193.69288669794</v>
      </c>
      <c r="Q7" s="735">
        <v>0</v>
      </c>
      <c r="R7" s="735">
        <v>32294</v>
      </c>
      <c r="S7" s="756">
        <v>0.18629999999999999</v>
      </c>
      <c r="T7" s="756">
        <v>0.26156600000000002</v>
      </c>
      <c r="U7" s="756">
        <v>0.21</v>
      </c>
      <c r="V7" s="752">
        <v>35.017400000000002</v>
      </c>
    </row>
    <row r="8" spans="1:22">
      <c r="A8" s="493">
        <v>2</v>
      </c>
      <c r="B8" s="496" t="s">
        <v>659</v>
      </c>
      <c r="C8" s="751">
        <f t="shared" ref="C8:C18" si="0">SUM(D8:G8)</f>
        <v>1310087174.0662904</v>
      </c>
      <c r="D8" s="735">
        <v>1192062049.2510905</v>
      </c>
      <c r="E8" s="735">
        <v>105694160.67079973</v>
      </c>
      <c r="F8" s="735">
        <v>12330964.144400002</v>
      </c>
      <c r="G8" s="735">
        <v>0</v>
      </c>
      <c r="H8" s="751">
        <f t="shared" ref="H8:H18" si="1">SUM(I8:L8)</f>
        <v>1304854962.490767</v>
      </c>
      <c r="I8" s="735">
        <v>1188373162.8253016</v>
      </c>
      <c r="J8" s="735">
        <v>101683657.31676021</v>
      </c>
      <c r="K8" s="735">
        <v>14798142.34870515</v>
      </c>
      <c r="L8" s="735">
        <v>0</v>
      </c>
      <c r="M8" s="751">
        <f t="shared" ref="M8:M18" si="2">SUM(N8:Q8)</f>
        <v>44755263.464687772</v>
      </c>
      <c r="N8" s="735">
        <v>13623461.583624531</v>
      </c>
      <c r="O8" s="735">
        <v>19684558.640813775</v>
      </c>
      <c r="P8" s="735">
        <v>11447243.240249468</v>
      </c>
      <c r="Q8" s="735">
        <v>0</v>
      </c>
      <c r="R8" s="735">
        <v>165637</v>
      </c>
      <c r="S8" s="756">
        <v>0.2271</v>
      </c>
      <c r="T8" s="756">
        <v>0.28373900000000002</v>
      </c>
      <c r="U8" s="756">
        <v>0.21</v>
      </c>
      <c r="V8" s="752">
        <v>43.8872</v>
      </c>
    </row>
    <row r="9" spans="1:22">
      <c r="A9" s="493">
        <v>3</v>
      </c>
      <c r="B9" s="496" t="s">
        <v>660</v>
      </c>
      <c r="C9" s="751">
        <f t="shared" si="0"/>
        <v>0</v>
      </c>
      <c r="D9" s="735">
        <v>0</v>
      </c>
      <c r="E9" s="735">
        <v>0</v>
      </c>
      <c r="F9" s="735">
        <v>0</v>
      </c>
      <c r="G9" s="735">
        <v>0</v>
      </c>
      <c r="H9" s="751">
        <f t="shared" si="1"/>
        <v>0</v>
      </c>
      <c r="I9" s="735">
        <v>0</v>
      </c>
      <c r="J9" s="735">
        <v>0</v>
      </c>
      <c r="K9" s="735">
        <v>0</v>
      </c>
      <c r="L9" s="735">
        <v>0</v>
      </c>
      <c r="M9" s="751">
        <f t="shared" si="2"/>
        <v>0</v>
      </c>
      <c r="N9" s="735">
        <v>0</v>
      </c>
      <c r="O9" s="735">
        <v>0</v>
      </c>
      <c r="P9" s="735">
        <v>0</v>
      </c>
      <c r="Q9" s="735">
        <v>0</v>
      </c>
      <c r="R9" s="735">
        <v>0</v>
      </c>
      <c r="S9" s="756">
        <v>0</v>
      </c>
      <c r="T9" s="756">
        <v>0</v>
      </c>
      <c r="U9" s="756">
        <v>0</v>
      </c>
      <c r="V9" s="752">
        <v>0</v>
      </c>
    </row>
    <row r="10" spans="1:22">
      <c r="A10" s="493">
        <v>4</v>
      </c>
      <c r="B10" s="496" t="s">
        <v>661</v>
      </c>
      <c r="C10" s="751">
        <f t="shared" si="0"/>
        <v>254638233.18999889</v>
      </c>
      <c r="D10" s="735">
        <v>243517892.2799989</v>
      </c>
      <c r="E10" s="735">
        <v>7417107.3800000027</v>
      </c>
      <c r="F10" s="735">
        <v>3703233.5299999947</v>
      </c>
      <c r="G10" s="735">
        <v>0</v>
      </c>
      <c r="H10" s="751">
        <f t="shared" si="1"/>
        <v>286833058.31002188</v>
      </c>
      <c r="I10" s="735">
        <v>271277841.60997289</v>
      </c>
      <c r="J10" s="735">
        <v>9441209.4870409798</v>
      </c>
      <c r="K10" s="735">
        <v>6114007.2130079605</v>
      </c>
      <c r="L10" s="735">
        <v>0</v>
      </c>
      <c r="M10" s="751">
        <f t="shared" si="2"/>
        <v>11319333.324833767</v>
      </c>
      <c r="N10" s="735">
        <v>3944707.7597847991</v>
      </c>
      <c r="O10" s="735">
        <v>2529965.1396331261</v>
      </c>
      <c r="P10" s="735">
        <v>4844660.4254158419</v>
      </c>
      <c r="Q10" s="735">
        <v>0</v>
      </c>
      <c r="R10" s="735">
        <v>287104</v>
      </c>
      <c r="S10" s="756">
        <v>9.1999999999999998E-2</v>
      </c>
      <c r="T10" s="756">
        <v>0.18277299999999999</v>
      </c>
      <c r="U10" s="756">
        <v>0.19</v>
      </c>
      <c r="V10" s="752">
        <v>20.5883</v>
      </c>
    </row>
    <row r="11" spans="1:22">
      <c r="A11" s="493">
        <v>5</v>
      </c>
      <c r="B11" s="496" t="s">
        <v>662</v>
      </c>
      <c r="C11" s="751">
        <f t="shared" si="0"/>
        <v>2463553.1244999999</v>
      </c>
      <c r="D11" s="735">
        <v>2463553.1244999999</v>
      </c>
      <c r="E11" s="735">
        <v>0</v>
      </c>
      <c r="F11" s="735">
        <v>0</v>
      </c>
      <c r="G11" s="735">
        <v>0</v>
      </c>
      <c r="H11" s="751">
        <f t="shared" si="1"/>
        <v>2517462.7668493334</v>
      </c>
      <c r="I11" s="735">
        <v>2517462.7668493334</v>
      </c>
      <c r="J11" s="735">
        <v>0</v>
      </c>
      <c r="K11" s="735">
        <v>0</v>
      </c>
      <c r="L11" s="735">
        <v>0</v>
      </c>
      <c r="M11" s="751">
        <f t="shared" si="2"/>
        <v>8024.9137766400654</v>
      </c>
      <c r="N11" s="735">
        <v>8024.9137766400654</v>
      </c>
      <c r="O11" s="735">
        <v>0</v>
      </c>
      <c r="P11" s="735">
        <v>0</v>
      </c>
      <c r="Q11" s="735">
        <v>0</v>
      </c>
      <c r="R11" s="735">
        <v>19</v>
      </c>
      <c r="S11" s="756">
        <v>0.1444</v>
      </c>
      <c r="T11" s="756">
        <v>0.15778300000000001</v>
      </c>
      <c r="U11" s="756">
        <v>0.12</v>
      </c>
      <c r="V11" s="752">
        <v>7.8898999999999999</v>
      </c>
    </row>
    <row r="12" spans="1:22">
      <c r="A12" s="493">
        <v>6</v>
      </c>
      <c r="B12" s="496" t="s">
        <v>663</v>
      </c>
      <c r="C12" s="751">
        <f t="shared" si="0"/>
        <v>108493987.03999737</v>
      </c>
      <c r="D12" s="735">
        <v>103639602.85999738</v>
      </c>
      <c r="E12" s="735">
        <v>2635878.5499999998</v>
      </c>
      <c r="F12" s="735">
        <v>2218505.6300000004</v>
      </c>
      <c r="G12" s="735">
        <v>0</v>
      </c>
      <c r="H12" s="751">
        <f t="shared" si="1"/>
        <v>108663140.6093009</v>
      </c>
      <c r="I12" s="735">
        <v>103793680.27188198</v>
      </c>
      <c r="J12" s="735">
        <v>2646970.1020118697</v>
      </c>
      <c r="K12" s="735">
        <v>2222490.2354070372</v>
      </c>
      <c r="L12" s="735">
        <v>0</v>
      </c>
      <c r="M12" s="751">
        <f t="shared" si="2"/>
        <v>4114881.5474363752</v>
      </c>
      <c r="N12" s="735">
        <v>1484215.528184636</v>
      </c>
      <c r="O12" s="735">
        <v>868871.32367391838</v>
      </c>
      <c r="P12" s="735">
        <v>1761794.6955778208</v>
      </c>
      <c r="Q12" s="735">
        <v>0</v>
      </c>
      <c r="R12" s="735">
        <v>145089</v>
      </c>
      <c r="S12" s="756">
        <v>0.33600000000000002</v>
      </c>
      <c r="T12" s="756">
        <v>0.40402300000000002</v>
      </c>
      <c r="U12" s="756">
        <v>0.34</v>
      </c>
      <c r="V12" s="752">
        <v>317.69439999999997</v>
      </c>
    </row>
    <row r="13" spans="1:22">
      <c r="A13" s="493">
        <v>7</v>
      </c>
      <c r="B13" s="496" t="s">
        <v>664</v>
      </c>
      <c r="C13" s="751">
        <f t="shared" si="0"/>
        <v>385968298.54679954</v>
      </c>
      <c r="D13" s="751">
        <f>SUM(D14:D16)</f>
        <v>381664144.63869953</v>
      </c>
      <c r="E13" s="751">
        <f t="shared" ref="E13:G13" si="3">SUM(E14:E16)</f>
        <v>2854852.3799999966</v>
      </c>
      <c r="F13" s="751">
        <f t="shared" si="3"/>
        <v>1445738.3980999999</v>
      </c>
      <c r="G13" s="751">
        <f t="shared" si="3"/>
        <v>3563.13</v>
      </c>
      <c r="H13" s="751">
        <f t="shared" si="1"/>
        <v>390844134.10554993</v>
      </c>
      <c r="I13" s="751">
        <f>SUM(I14:I16)</f>
        <v>386371782.78803843</v>
      </c>
      <c r="J13" s="751">
        <f t="shared" ref="J13:L13" si="4">SUM(J14:J16)</f>
        <v>2884743.58378918</v>
      </c>
      <c r="K13" s="751">
        <f t="shared" si="4"/>
        <v>1584039.1323881983</v>
      </c>
      <c r="L13" s="751">
        <f t="shared" si="4"/>
        <v>3568.6013341410498</v>
      </c>
      <c r="M13" s="751">
        <f t="shared" si="2"/>
        <v>2758657.4086222309</v>
      </c>
      <c r="N13" s="751">
        <f>SUM(N14:N16)</f>
        <v>1652380.8726847419</v>
      </c>
      <c r="O13" s="751">
        <f t="shared" ref="O13:Q13" si="5">SUM(O14:O16)</f>
        <v>558453.52300296619</v>
      </c>
      <c r="P13" s="751">
        <f t="shared" si="5"/>
        <v>547775.89680431131</v>
      </c>
      <c r="Q13" s="751">
        <f t="shared" si="5"/>
        <v>47.116130211465602</v>
      </c>
      <c r="R13" s="751">
        <v>8384</v>
      </c>
      <c r="S13" s="756">
        <v>0.1381</v>
      </c>
      <c r="T13" s="756">
        <v>0.16599</v>
      </c>
      <c r="U13" s="756">
        <v>0.1416</v>
      </c>
      <c r="V13" s="752">
        <v>108.8638</v>
      </c>
    </row>
    <row r="14" spans="1:22">
      <c r="A14" s="491">
        <v>7.1</v>
      </c>
      <c r="B14" s="490" t="s">
        <v>665</v>
      </c>
      <c r="C14" s="751">
        <f t="shared" si="0"/>
        <v>314658806.91349947</v>
      </c>
      <c r="D14" s="735">
        <v>313156447.27539945</v>
      </c>
      <c r="E14" s="735">
        <v>304249.87</v>
      </c>
      <c r="F14" s="735">
        <v>1198109.7681</v>
      </c>
      <c r="G14" s="735">
        <v>0</v>
      </c>
      <c r="H14" s="751">
        <f t="shared" si="1"/>
        <v>319519366.6799553</v>
      </c>
      <c r="I14" s="735">
        <v>317923835.74133402</v>
      </c>
      <c r="J14" s="735">
        <v>316061.41406685789</v>
      </c>
      <c r="K14" s="735">
        <v>1279469.5245544186</v>
      </c>
      <c r="L14" s="735">
        <v>0</v>
      </c>
      <c r="M14" s="751">
        <f t="shared" si="2"/>
        <v>1452994.1589480862</v>
      </c>
      <c r="N14" s="735">
        <v>1107116.4231554805</v>
      </c>
      <c r="O14" s="735">
        <v>41824.680175497429</v>
      </c>
      <c r="P14" s="735">
        <v>304053.05561710813</v>
      </c>
      <c r="Q14" s="735">
        <v>0</v>
      </c>
      <c r="R14" s="735">
        <v>3172</v>
      </c>
      <c r="S14" s="756">
        <v>0.13189999999999999</v>
      </c>
      <c r="T14" s="756">
        <v>0.15732599999999999</v>
      </c>
      <c r="U14" s="756">
        <v>0.13</v>
      </c>
      <c r="V14" s="752">
        <v>118.8319</v>
      </c>
    </row>
    <row r="15" spans="1:22" ht="24">
      <c r="A15" s="491">
        <v>7.2</v>
      </c>
      <c r="B15" s="490" t="s">
        <v>666</v>
      </c>
      <c r="C15" s="751">
        <f t="shared" si="0"/>
        <v>5184630.4655000018</v>
      </c>
      <c r="D15" s="735">
        <v>5112257.6855000015</v>
      </c>
      <c r="E15" s="735">
        <v>72372.78</v>
      </c>
      <c r="F15" s="735">
        <v>0</v>
      </c>
      <c r="G15" s="735">
        <v>0</v>
      </c>
      <c r="H15" s="751">
        <f t="shared" si="1"/>
        <v>5235661.8999411976</v>
      </c>
      <c r="I15" s="735">
        <v>5166400.3594222348</v>
      </c>
      <c r="J15" s="735">
        <v>69261.540518962924</v>
      </c>
      <c r="K15" s="735">
        <v>0</v>
      </c>
      <c r="L15" s="735">
        <v>0</v>
      </c>
      <c r="M15" s="751">
        <f t="shared" si="2"/>
        <v>24916.459594567557</v>
      </c>
      <c r="N15" s="735">
        <v>14493.016446963629</v>
      </c>
      <c r="O15" s="735">
        <v>10423.443147603928</v>
      </c>
      <c r="P15" s="735">
        <v>0</v>
      </c>
      <c r="Q15" s="735">
        <v>0</v>
      </c>
      <c r="R15" s="735">
        <v>60</v>
      </c>
      <c r="S15" s="756">
        <v>0.1321</v>
      </c>
      <c r="T15" s="756">
        <v>0.15490699999999999</v>
      </c>
      <c r="U15" s="756">
        <v>0.13</v>
      </c>
      <c r="V15" s="752">
        <v>100.98090000000001</v>
      </c>
    </row>
    <row r="16" spans="1:22">
      <c r="A16" s="491">
        <v>7.3</v>
      </c>
      <c r="B16" s="490" t="s">
        <v>667</v>
      </c>
      <c r="C16" s="751">
        <f t="shared" si="0"/>
        <v>66124861.167800061</v>
      </c>
      <c r="D16" s="735">
        <v>63395439.677800059</v>
      </c>
      <c r="E16" s="735">
        <v>2478229.7299999967</v>
      </c>
      <c r="F16" s="735">
        <v>247628.62999999998</v>
      </c>
      <c r="G16" s="735">
        <v>3563.13</v>
      </c>
      <c r="H16" s="751">
        <f t="shared" si="1"/>
        <v>66089105.525653489</v>
      </c>
      <c r="I16" s="735">
        <v>63281546.687282212</v>
      </c>
      <c r="J16" s="735">
        <v>2499420.6292033591</v>
      </c>
      <c r="K16" s="735">
        <v>304569.60783377977</v>
      </c>
      <c r="L16" s="735">
        <v>3568.6013341410498</v>
      </c>
      <c r="M16" s="751">
        <f t="shared" si="2"/>
        <v>1280746.7900795771</v>
      </c>
      <c r="N16" s="735">
        <v>530771.43308229779</v>
      </c>
      <c r="O16" s="735">
        <v>506205.39967986481</v>
      </c>
      <c r="P16" s="735">
        <v>243722.84118720316</v>
      </c>
      <c r="Q16" s="735">
        <v>47.116130211465602</v>
      </c>
      <c r="R16" s="735">
        <v>5152</v>
      </c>
      <c r="S16" s="756">
        <v>0.17630000000000001</v>
      </c>
      <c r="T16" s="756">
        <v>0.22078</v>
      </c>
      <c r="U16" s="756">
        <v>0.18</v>
      </c>
      <c r="V16" s="752">
        <v>62.048499999999997</v>
      </c>
    </row>
    <row r="17" spans="1:22">
      <c r="A17" s="493">
        <v>8</v>
      </c>
      <c r="B17" s="496" t="s">
        <v>668</v>
      </c>
      <c r="C17" s="751">
        <f t="shared" si="0"/>
        <v>0</v>
      </c>
      <c r="D17" s="735">
        <v>0</v>
      </c>
      <c r="E17" s="735">
        <v>0</v>
      </c>
      <c r="F17" s="735">
        <v>0</v>
      </c>
      <c r="G17" s="735">
        <v>0</v>
      </c>
      <c r="H17" s="751">
        <f t="shared" si="1"/>
        <v>0</v>
      </c>
      <c r="I17" s="735">
        <v>0</v>
      </c>
      <c r="J17" s="735">
        <v>0</v>
      </c>
      <c r="K17" s="735">
        <v>0</v>
      </c>
      <c r="L17" s="735">
        <v>0</v>
      </c>
      <c r="M17" s="751">
        <f t="shared" si="2"/>
        <v>0</v>
      </c>
      <c r="N17" s="735">
        <v>0</v>
      </c>
      <c r="O17" s="735">
        <v>0</v>
      </c>
      <c r="P17" s="735">
        <v>0</v>
      </c>
      <c r="Q17" s="735">
        <v>0</v>
      </c>
      <c r="R17" s="735">
        <v>0</v>
      </c>
      <c r="S17" s="756">
        <v>0</v>
      </c>
      <c r="T17" s="756">
        <v>0</v>
      </c>
      <c r="U17" s="756">
        <v>0</v>
      </c>
      <c r="V17" s="752">
        <v>0</v>
      </c>
    </row>
    <row r="18" spans="1:22">
      <c r="A18" s="495">
        <v>9</v>
      </c>
      <c r="B18" s="494" t="s">
        <v>669</v>
      </c>
      <c r="C18" s="751">
        <f t="shared" si="0"/>
        <v>7121355.2704999978</v>
      </c>
      <c r="D18" s="754">
        <v>7031667.5404999973</v>
      </c>
      <c r="E18" s="754">
        <v>62962.239999999998</v>
      </c>
      <c r="F18" s="754">
        <v>26725.489999999998</v>
      </c>
      <c r="G18" s="754">
        <v>0</v>
      </c>
      <c r="H18" s="751">
        <f t="shared" si="1"/>
        <v>7770092.5353319682</v>
      </c>
      <c r="I18" s="754">
        <v>7666081.7858744506</v>
      </c>
      <c r="J18" s="754">
        <v>69942.961132362034</v>
      </c>
      <c r="K18" s="754">
        <v>34067.788325155547</v>
      </c>
      <c r="L18" s="754">
        <v>0</v>
      </c>
      <c r="M18" s="751">
        <f t="shared" si="2"/>
        <v>154603.27340573908</v>
      </c>
      <c r="N18" s="754">
        <v>103919.54708666554</v>
      </c>
      <c r="O18" s="754">
        <v>23638.357510876154</v>
      </c>
      <c r="P18" s="754">
        <v>27045.368808197374</v>
      </c>
      <c r="Q18" s="754">
        <v>0</v>
      </c>
      <c r="R18" s="754">
        <v>2373</v>
      </c>
      <c r="S18" s="756">
        <v>7.4999999999999997E-2</v>
      </c>
      <c r="T18" s="756">
        <v>9.4384999999999997E-2</v>
      </c>
      <c r="U18" s="756">
        <v>0.04</v>
      </c>
      <c r="V18" s="753">
        <v>39.1663</v>
      </c>
    </row>
    <row r="19" spans="1:22">
      <c r="A19" s="493">
        <v>10</v>
      </c>
      <c r="B19" s="492" t="s">
        <v>685</v>
      </c>
      <c r="C19" s="751">
        <f>SUM(C7:C13)+C17+C18</f>
        <v>2097606788.1480863</v>
      </c>
      <c r="D19" s="751">
        <f t="shared" ref="D19:G19" si="6">SUM(D7:D13)+D17+D18</f>
        <v>1958164584.4247861</v>
      </c>
      <c r="E19" s="751">
        <f t="shared" si="6"/>
        <v>119103441.21079972</v>
      </c>
      <c r="F19" s="751">
        <f t="shared" si="6"/>
        <v>20335199.382499993</v>
      </c>
      <c r="G19" s="751">
        <f t="shared" si="6"/>
        <v>3563.13</v>
      </c>
      <c r="H19" s="751">
        <f>SUM(H7:H13)+H17+H18</f>
        <v>2130593573.3902028</v>
      </c>
      <c r="I19" s="751">
        <f t="shared" ref="I19:L19" si="7">SUM(I7:I13)+I17+I18</f>
        <v>1987890755.2500999</v>
      </c>
      <c r="J19" s="751">
        <f t="shared" si="7"/>
        <v>117189372.79378153</v>
      </c>
      <c r="K19" s="751">
        <f t="shared" si="7"/>
        <v>25509876.744987283</v>
      </c>
      <c r="L19" s="751">
        <f t="shared" si="7"/>
        <v>3568.6013341410498</v>
      </c>
      <c r="M19" s="751">
        <f>SUM(M7:M13)+M17+M18</f>
        <v>64166696.897633553</v>
      </c>
      <c r="N19" s="751">
        <f t="shared" ref="N19:Q19" si="8">SUM(N7:N13)+N17+N18</f>
        <v>21223915.197527613</v>
      </c>
      <c r="O19" s="751">
        <f t="shared" si="8"/>
        <v>23847021.264233399</v>
      </c>
      <c r="P19" s="751">
        <f t="shared" si="8"/>
        <v>19095713.319742337</v>
      </c>
      <c r="Q19" s="751">
        <f t="shared" si="8"/>
        <v>47.116130211465602</v>
      </c>
      <c r="R19" s="751">
        <v>640900</v>
      </c>
      <c r="S19" s="756">
        <v>0.19</v>
      </c>
      <c r="T19" s="756">
        <v>0.25</v>
      </c>
      <c r="U19" s="756">
        <v>0.20119999999999999</v>
      </c>
      <c r="V19" s="752">
        <v>66.996700000000004</v>
      </c>
    </row>
    <row r="20" spans="1:22" ht="24">
      <c r="A20" s="491">
        <v>10.1</v>
      </c>
      <c r="B20" s="490" t="s">
        <v>688</v>
      </c>
      <c r="C20" s="751">
        <f>SUM(D20:G20)</f>
        <v>4180328.0983999986</v>
      </c>
      <c r="D20" s="735">
        <v>3981210.8383999988</v>
      </c>
      <c r="E20" s="735">
        <v>189461.63</v>
      </c>
      <c r="F20" s="735">
        <v>9655.6299999999992</v>
      </c>
      <c r="G20" s="735">
        <v>0</v>
      </c>
      <c r="H20" s="751">
        <f>SUM(I20:L20)</f>
        <v>4227574.7734608827</v>
      </c>
      <c r="I20" s="735">
        <v>4037845.6399701163</v>
      </c>
      <c r="J20" s="735">
        <v>177914.23551760771</v>
      </c>
      <c r="K20" s="735">
        <v>11814.897973158364</v>
      </c>
      <c r="L20" s="735">
        <v>0</v>
      </c>
      <c r="M20" s="751">
        <f>SUM(N20:Q20)</f>
        <v>99632.891648269826</v>
      </c>
      <c r="N20" s="735">
        <v>59189.850784027745</v>
      </c>
      <c r="O20" s="735">
        <v>31067.059695834869</v>
      </c>
      <c r="P20" s="735">
        <v>9375.9811684071992</v>
      </c>
      <c r="Q20" s="735">
        <v>0</v>
      </c>
      <c r="R20" s="735">
        <v>1555</v>
      </c>
      <c r="S20" s="756">
        <v>0.2049</v>
      </c>
      <c r="T20" s="756">
        <v>0.27062999999999998</v>
      </c>
      <c r="U20" s="756">
        <v>0.2147</v>
      </c>
      <c r="V20" s="752">
        <v>47.803899999999999</v>
      </c>
    </row>
    <row r="21" spans="1:22">
      <c r="C21" s="755"/>
      <c r="D21" s="755"/>
      <c r="E21" s="755"/>
      <c r="F21" s="755"/>
      <c r="G21" s="755"/>
      <c r="H21" s="755"/>
      <c r="I21" s="755"/>
      <c r="J21" s="755"/>
      <c r="K21" s="755"/>
      <c r="L21" s="755"/>
      <c r="M21" s="755"/>
      <c r="N21" s="755"/>
      <c r="O21" s="755"/>
      <c r="P21" s="755"/>
      <c r="Q21" s="755"/>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37"/>
  <sheetViews>
    <sheetView topLeftCell="B95" zoomScale="110" zoomScaleNormal="110" workbookViewId="0">
      <selection activeCell="B111" sqref="B111:C111"/>
    </sheetView>
  </sheetViews>
  <sheetFormatPr defaultColWidth="43.5546875" defaultRowHeight="12"/>
  <cols>
    <col min="1" max="1" width="8" style="128" customWidth="1"/>
    <col min="2" max="2" width="66.21875" style="129" customWidth="1"/>
    <col min="3" max="3" width="131.44140625" style="130" customWidth="1"/>
    <col min="4" max="5" width="10.21875" style="121" customWidth="1"/>
    <col min="6" max="6" width="67.6640625" style="121" customWidth="1"/>
    <col min="7" max="16384" width="43.5546875" style="121"/>
  </cols>
  <sheetData>
    <row r="1" spans="1:3" ht="13.2" thickTop="1" thickBot="1">
      <c r="A1" s="896" t="s">
        <v>176</v>
      </c>
      <c r="B1" s="897"/>
      <c r="C1" s="898"/>
    </row>
    <row r="2" spans="1:3" ht="26.25" customHeight="1">
      <c r="A2" s="324"/>
      <c r="B2" s="899" t="s">
        <v>177</v>
      </c>
      <c r="C2" s="899"/>
    </row>
    <row r="3" spans="1:3" s="126" customFormat="1" ht="11.25" customHeight="1">
      <c r="A3" s="125"/>
      <c r="B3" s="899" t="s">
        <v>251</v>
      </c>
      <c r="C3" s="899"/>
    </row>
    <row r="4" spans="1:3" ht="12" customHeight="1" thickBot="1">
      <c r="A4" s="900" t="s">
        <v>255</v>
      </c>
      <c r="B4" s="901"/>
      <c r="C4" s="902"/>
    </row>
    <row r="5" spans="1:3" ht="12.6" thickTop="1">
      <c r="A5" s="122"/>
      <c r="B5" s="903" t="s">
        <v>178</v>
      </c>
      <c r="C5" s="904"/>
    </row>
    <row r="6" spans="1:3">
      <c r="A6" s="324"/>
      <c r="B6" s="905" t="s">
        <v>252</v>
      </c>
      <c r="C6" s="906"/>
    </row>
    <row r="7" spans="1:3">
      <c r="A7" s="324"/>
      <c r="B7" s="905" t="s">
        <v>179</v>
      </c>
      <c r="C7" s="906"/>
    </row>
    <row r="8" spans="1:3">
      <c r="A8" s="324"/>
      <c r="B8" s="905" t="s">
        <v>253</v>
      </c>
      <c r="C8" s="906"/>
    </row>
    <row r="9" spans="1:3">
      <c r="A9" s="324"/>
      <c r="B9" s="911" t="s">
        <v>254</v>
      </c>
      <c r="C9" s="912"/>
    </row>
    <row r="10" spans="1:3">
      <c r="A10" s="324"/>
      <c r="B10" s="909" t="s">
        <v>180</v>
      </c>
      <c r="C10" s="910" t="s">
        <v>180</v>
      </c>
    </row>
    <row r="11" spans="1:3">
      <c r="A11" s="324"/>
      <c r="B11" s="909" t="s">
        <v>181</v>
      </c>
      <c r="C11" s="910" t="s">
        <v>181</v>
      </c>
    </row>
    <row r="12" spans="1:3">
      <c r="A12" s="324"/>
      <c r="B12" s="909" t="s">
        <v>182</v>
      </c>
      <c r="C12" s="910" t="s">
        <v>182</v>
      </c>
    </row>
    <row r="13" spans="1:3">
      <c r="A13" s="324"/>
      <c r="B13" s="909" t="s">
        <v>183</v>
      </c>
      <c r="C13" s="910" t="s">
        <v>183</v>
      </c>
    </row>
    <row r="14" spans="1:3">
      <c r="A14" s="324"/>
      <c r="B14" s="909" t="s">
        <v>184</v>
      </c>
      <c r="C14" s="910" t="s">
        <v>184</v>
      </c>
    </row>
    <row r="15" spans="1:3" ht="21.75" customHeight="1">
      <c r="A15" s="324"/>
      <c r="B15" s="909" t="s">
        <v>185</v>
      </c>
      <c r="C15" s="910" t="s">
        <v>185</v>
      </c>
    </row>
    <row r="16" spans="1:3">
      <c r="A16" s="324"/>
      <c r="B16" s="909" t="s">
        <v>186</v>
      </c>
      <c r="C16" s="910" t="s">
        <v>187</v>
      </c>
    </row>
    <row r="17" spans="1:6">
      <c r="A17" s="324"/>
      <c r="B17" s="909" t="s">
        <v>188</v>
      </c>
      <c r="C17" s="910" t="s">
        <v>189</v>
      </c>
    </row>
    <row r="18" spans="1:6">
      <c r="A18" s="324"/>
      <c r="B18" s="909" t="s">
        <v>190</v>
      </c>
      <c r="C18" s="910" t="s">
        <v>191</v>
      </c>
    </row>
    <row r="19" spans="1:6">
      <c r="A19" s="579"/>
      <c r="B19" s="907" t="s">
        <v>192</v>
      </c>
      <c r="C19" s="908" t="s">
        <v>192</v>
      </c>
    </row>
    <row r="20" spans="1:6">
      <c r="A20" s="579"/>
      <c r="B20" s="907" t="s">
        <v>917</v>
      </c>
      <c r="C20" s="908" t="s">
        <v>193</v>
      </c>
    </row>
    <row r="21" spans="1:6">
      <c r="A21" s="324"/>
      <c r="B21" s="907" t="s">
        <v>960</v>
      </c>
      <c r="C21" s="908" t="s">
        <v>194</v>
      </c>
    </row>
    <row r="22" spans="1:6" ht="23.25" customHeight="1">
      <c r="A22" s="324"/>
      <c r="B22" s="909" t="s">
        <v>195</v>
      </c>
      <c r="C22" s="910" t="s">
        <v>196</v>
      </c>
      <c r="F22" s="543"/>
    </row>
    <row r="23" spans="1:6">
      <c r="A23" s="324"/>
      <c r="B23" s="909" t="s">
        <v>197</v>
      </c>
      <c r="C23" s="910" t="s">
        <v>197</v>
      </c>
    </row>
    <row r="24" spans="1:6">
      <c r="A24" s="324"/>
      <c r="B24" s="909" t="s">
        <v>198</v>
      </c>
      <c r="C24" s="910" t="s">
        <v>199</v>
      </c>
    </row>
    <row r="25" spans="1:6" ht="12.6" thickBot="1">
      <c r="A25" s="123"/>
      <c r="B25" s="918" t="s">
        <v>200</v>
      </c>
      <c r="C25" s="919"/>
    </row>
    <row r="26" spans="1:6" ht="13.2" thickTop="1" thickBot="1">
      <c r="A26" s="900" t="s">
        <v>812</v>
      </c>
      <c r="B26" s="901"/>
      <c r="C26" s="902"/>
    </row>
    <row r="27" spans="1:6" ht="13.2" thickTop="1" thickBot="1">
      <c r="A27" s="124"/>
      <c r="B27" s="920" t="s">
        <v>813</v>
      </c>
      <c r="C27" s="921"/>
    </row>
    <row r="28" spans="1:6" ht="13.2" thickTop="1" thickBot="1">
      <c r="A28" s="900" t="s">
        <v>256</v>
      </c>
      <c r="B28" s="901"/>
      <c r="C28" s="902"/>
    </row>
    <row r="29" spans="1:6" ht="12.6" thickTop="1">
      <c r="A29" s="122"/>
      <c r="B29" s="922" t="s">
        <v>816</v>
      </c>
      <c r="C29" s="923" t="s">
        <v>201</v>
      </c>
    </row>
    <row r="30" spans="1:6">
      <c r="A30" s="324"/>
      <c r="B30" s="913" t="s">
        <v>205</v>
      </c>
      <c r="C30" s="914" t="s">
        <v>202</v>
      </c>
    </row>
    <row r="31" spans="1:6">
      <c r="A31" s="324"/>
      <c r="B31" s="913" t="s">
        <v>814</v>
      </c>
      <c r="C31" s="914" t="s">
        <v>203</v>
      </c>
    </row>
    <row r="32" spans="1:6">
      <c r="A32" s="324"/>
      <c r="B32" s="913" t="s">
        <v>815</v>
      </c>
      <c r="C32" s="914" t="s">
        <v>204</v>
      </c>
    </row>
    <row r="33" spans="1:3">
      <c r="A33" s="324"/>
      <c r="B33" s="913" t="s">
        <v>208</v>
      </c>
      <c r="C33" s="914" t="s">
        <v>209</v>
      </c>
    </row>
    <row r="34" spans="1:3">
      <c r="A34" s="324"/>
      <c r="B34" s="913" t="s">
        <v>817</v>
      </c>
      <c r="C34" s="914" t="s">
        <v>206</v>
      </c>
    </row>
    <row r="35" spans="1:3">
      <c r="A35" s="324"/>
      <c r="B35" s="913" t="s">
        <v>818</v>
      </c>
      <c r="C35" s="914" t="s">
        <v>207</v>
      </c>
    </row>
    <row r="36" spans="1:3">
      <c r="A36" s="324"/>
      <c r="B36" s="915" t="s">
        <v>819</v>
      </c>
      <c r="C36" s="916"/>
    </row>
    <row r="37" spans="1:3" ht="24.75" customHeight="1">
      <c r="A37" s="324"/>
      <c r="B37" s="913" t="s">
        <v>820</v>
      </c>
      <c r="C37" s="914" t="s">
        <v>210</v>
      </c>
    </row>
    <row r="38" spans="1:3" ht="23.25" customHeight="1">
      <c r="A38" s="324"/>
      <c r="B38" s="913" t="s">
        <v>821</v>
      </c>
      <c r="C38" s="914" t="s">
        <v>211</v>
      </c>
    </row>
    <row r="39" spans="1:3" ht="23.25" customHeight="1">
      <c r="A39" s="391"/>
      <c r="B39" s="915" t="s">
        <v>822</v>
      </c>
      <c r="C39" s="917"/>
    </row>
    <row r="40" spans="1:3" ht="12" customHeight="1">
      <c r="A40" s="324"/>
      <c r="B40" s="913" t="s">
        <v>823</v>
      </c>
      <c r="C40" s="914"/>
    </row>
    <row r="41" spans="1:3" ht="12.6" thickBot="1">
      <c r="A41" s="900" t="s">
        <v>257</v>
      </c>
      <c r="B41" s="901"/>
      <c r="C41" s="902"/>
    </row>
    <row r="42" spans="1:3" ht="12.6" thickTop="1">
      <c r="A42" s="122"/>
      <c r="B42" s="903" t="s">
        <v>287</v>
      </c>
      <c r="C42" s="904" t="s">
        <v>212</v>
      </c>
    </row>
    <row r="43" spans="1:3">
      <c r="A43" s="324"/>
      <c r="B43" s="905" t="s">
        <v>286</v>
      </c>
      <c r="C43" s="906"/>
    </row>
    <row r="44" spans="1:3" ht="23.25" customHeight="1" thickBot="1">
      <c r="A44" s="123"/>
      <c r="B44" s="924" t="s">
        <v>213</v>
      </c>
      <c r="C44" s="925" t="s">
        <v>214</v>
      </c>
    </row>
    <row r="45" spans="1:3" ht="11.25" customHeight="1" thickTop="1" thickBot="1">
      <c r="A45" s="900" t="s">
        <v>258</v>
      </c>
      <c r="B45" s="901"/>
      <c r="C45" s="902"/>
    </row>
    <row r="46" spans="1:3" ht="26.25" customHeight="1" thickTop="1">
      <c r="A46" s="324"/>
      <c r="B46" s="905" t="s">
        <v>259</v>
      </c>
      <c r="C46" s="906"/>
    </row>
    <row r="47" spans="1:3" ht="12.6" thickBot="1">
      <c r="A47" s="900" t="s">
        <v>260</v>
      </c>
      <c r="B47" s="901"/>
      <c r="C47" s="902"/>
    </row>
    <row r="48" spans="1:3" ht="12.6" thickTop="1">
      <c r="A48" s="122"/>
      <c r="B48" s="903" t="s">
        <v>215</v>
      </c>
      <c r="C48" s="904" t="s">
        <v>215</v>
      </c>
    </row>
    <row r="49" spans="1:3" ht="11.25" customHeight="1">
      <c r="A49" s="324"/>
      <c r="B49" s="905" t="s">
        <v>216</v>
      </c>
      <c r="C49" s="906" t="s">
        <v>216</v>
      </c>
    </row>
    <row r="50" spans="1:3">
      <c r="A50" s="324"/>
      <c r="B50" s="905" t="s">
        <v>217</v>
      </c>
      <c r="C50" s="906" t="s">
        <v>217</v>
      </c>
    </row>
    <row r="51" spans="1:3" ht="11.25" customHeight="1">
      <c r="A51" s="324"/>
      <c r="B51" s="905" t="s">
        <v>825</v>
      </c>
      <c r="C51" s="906" t="s">
        <v>218</v>
      </c>
    </row>
    <row r="52" spans="1:3" ht="33.6" customHeight="1">
      <c r="A52" s="324"/>
      <c r="B52" s="905" t="s">
        <v>219</v>
      </c>
      <c r="C52" s="906" t="s">
        <v>219</v>
      </c>
    </row>
    <row r="53" spans="1:3" ht="11.25" customHeight="1">
      <c r="A53" s="324"/>
      <c r="B53" s="905" t="s">
        <v>307</v>
      </c>
      <c r="C53" s="906" t="s">
        <v>220</v>
      </c>
    </row>
    <row r="54" spans="1:3" ht="11.25" customHeight="1" thickBot="1">
      <c r="A54" s="900" t="s">
        <v>261</v>
      </c>
      <c r="B54" s="901"/>
      <c r="C54" s="902"/>
    </row>
    <row r="55" spans="1:3" ht="12.6" thickTop="1">
      <c r="A55" s="122"/>
      <c r="B55" s="903" t="s">
        <v>215</v>
      </c>
      <c r="C55" s="904" t="s">
        <v>215</v>
      </c>
    </row>
    <row r="56" spans="1:3">
      <c r="A56" s="324"/>
      <c r="B56" s="905" t="s">
        <v>221</v>
      </c>
      <c r="C56" s="906" t="s">
        <v>221</v>
      </c>
    </row>
    <row r="57" spans="1:3">
      <c r="A57" s="324"/>
      <c r="B57" s="905" t="s">
        <v>264</v>
      </c>
      <c r="C57" s="906" t="s">
        <v>222</v>
      </c>
    </row>
    <row r="58" spans="1:3">
      <c r="A58" s="324"/>
      <c r="B58" s="905" t="s">
        <v>223</v>
      </c>
      <c r="C58" s="906" t="s">
        <v>223</v>
      </c>
    </row>
    <row r="59" spans="1:3">
      <c r="A59" s="324"/>
      <c r="B59" s="905" t="s">
        <v>224</v>
      </c>
      <c r="C59" s="906" t="s">
        <v>224</v>
      </c>
    </row>
    <row r="60" spans="1:3">
      <c r="A60" s="324"/>
      <c r="B60" s="905" t="s">
        <v>225</v>
      </c>
      <c r="C60" s="906" t="s">
        <v>225</v>
      </c>
    </row>
    <row r="61" spans="1:3">
      <c r="A61" s="324"/>
      <c r="B61" s="905" t="s">
        <v>265</v>
      </c>
      <c r="C61" s="906" t="s">
        <v>226</v>
      </c>
    </row>
    <row r="62" spans="1:3" ht="12" customHeight="1">
      <c r="A62" s="324"/>
      <c r="B62" s="930" t="s">
        <v>997</v>
      </c>
      <c r="C62" s="931" t="s">
        <v>227</v>
      </c>
    </row>
    <row r="63" spans="1:3" ht="22.5" customHeight="1" thickBot="1">
      <c r="A63" s="123"/>
      <c r="B63" s="924" t="s">
        <v>228</v>
      </c>
      <c r="C63" s="925" t="s">
        <v>228</v>
      </c>
    </row>
    <row r="64" spans="1:3" ht="11.25" customHeight="1" thickTop="1">
      <c r="A64" s="932" t="s">
        <v>262</v>
      </c>
      <c r="B64" s="933"/>
      <c r="C64" s="934"/>
    </row>
    <row r="65" spans="1:3" ht="12.6" thickBot="1">
      <c r="A65" s="123"/>
      <c r="B65" s="924" t="s">
        <v>229</v>
      </c>
      <c r="C65" s="925" t="s">
        <v>229</v>
      </c>
    </row>
    <row r="66" spans="1:3" ht="11.25" customHeight="1" thickTop="1">
      <c r="A66" s="932" t="s">
        <v>950</v>
      </c>
      <c r="B66" s="933"/>
      <c r="C66" s="934"/>
    </row>
    <row r="67" spans="1:3" ht="12.6" thickBot="1">
      <c r="A67" s="123"/>
      <c r="B67" s="924" t="s">
        <v>949</v>
      </c>
      <c r="C67" s="925"/>
    </row>
    <row r="68" spans="1:3" ht="11.25" customHeight="1" thickTop="1" thickBot="1">
      <c r="A68" s="900" t="s">
        <v>263</v>
      </c>
      <c r="B68" s="901"/>
      <c r="C68" s="902"/>
    </row>
    <row r="69" spans="1:3" ht="12.6" thickTop="1">
      <c r="A69" s="122"/>
      <c r="B69" s="903" t="s">
        <v>230</v>
      </c>
      <c r="C69" s="904" t="s">
        <v>230</v>
      </c>
    </row>
    <row r="70" spans="1:3">
      <c r="A70" s="324"/>
      <c r="B70" s="905" t="s">
        <v>827</v>
      </c>
      <c r="C70" s="906" t="s">
        <v>231</v>
      </c>
    </row>
    <row r="71" spans="1:3">
      <c r="A71" s="324"/>
      <c r="B71" s="905" t="s">
        <v>232</v>
      </c>
      <c r="C71" s="906" t="s">
        <v>232</v>
      </c>
    </row>
    <row r="72" spans="1:3" ht="55.05" customHeight="1">
      <c r="A72" s="324"/>
      <c r="B72" s="926" t="s">
        <v>961</v>
      </c>
      <c r="C72" s="927" t="s">
        <v>233</v>
      </c>
    </row>
    <row r="73" spans="1:3" ht="33.75" customHeight="1">
      <c r="A73" s="324"/>
      <c r="B73" s="928" t="s">
        <v>266</v>
      </c>
      <c r="C73" s="929" t="s">
        <v>234</v>
      </c>
    </row>
    <row r="74" spans="1:3" ht="15.75" customHeight="1">
      <c r="A74" s="324"/>
      <c r="B74" s="928" t="s">
        <v>828</v>
      </c>
      <c r="C74" s="929" t="s">
        <v>235</v>
      </c>
    </row>
    <row r="75" spans="1:3">
      <c r="A75" s="324"/>
      <c r="B75" s="905" t="s">
        <v>236</v>
      </c>
      <c r="C75" s="906" t="s">
        <v>236</v>
      </c>
    </row>
    <row r="76" spans="1:3" ht="12.6" thickBot="1">
      <c r="A76" s="123"/>
      <c r="B76" s="924" t="s">
        <v>237</v>
      </c>
      <c r="C76" s="925" t="s">
        <v>237</v>
      </c>
    </row>
    <row r="77" spans="1:3" ht="12.6" thickTop="1">
      <c r="A77" s="932" t="s">
        <v>290</v>
      </c>
      <c r="B77" s="933"/>
      <c r="C77" s="934"/>
    </row>
    <row r="78" spans="1:3">
      <c r="A78" s="324"/>
      <c r="B78" s="905" t="s">
        <v>229</v>
      </c>
      <c r="C78" s="906"/>
    </row>
    <row r="79" spans="1:3">
      <c r="A79" s="324"/>
      <c r="B79" s="905" t="s">
        <v>288</v>
      </c>
      <c r="C79" s="906"/>
    </row>
    <row r="80" spans="1:3">
      <c r="A80" s="324"/>
      <c r="B80" s="905" t="s">
        <v>289</v>
      </c>
      <c r="C80" s="906"/>
    </row>
    <row r="81" spans="1:3">
      <c r="A81" s="932" t="s">
        <v>291</v>
      </c>
      <c r="B81" s="933"/>
      <c r="C81" s="934"/>
    </row>
    <row r="82" spans="1:3">
      <c r="A82" s="324"/>
      <c r="B82" s="905" t="s">
        <v>229</v>
      </c>
      <c r="C82" s="906"/>
    </row>
    <row r="83" spans="1:3">
      <c r="A83" s="324"/>
      <c r="B83" s="905" t="s">
        <v>292</v>
      </c>
      <c r="C83" s="906"/>
    </row>
    <row r="84" spans="1:3" ht="79.5" customHeight="1">
      <c r="A84" s="324"/>
      <c r="B84" s="905" t="s">
        <v>306</v>
      </c>
      <c r="C84" s="906"/>
    </row>
    <row r="85" spans="1:3" ht="53.25" customHeight="1">
      <c r="A85" s="324"/>
      <c r="B85" s="905" t="s">
        <v>305</v>
      </c>
      <c r="C85" s="906"/>
    </row>
    <row r="86" spans="1:3">
      <c r="A86" s="324"/>
      <c r="B86" s="905" t="s">
        <v>293</v>
      </c>
      <c r="C86" s="906"/>
    </row>
    <row r="87" spans="1:3">
      <c r="A87" s="324"/>
      <c r="B87" s="905" t="s">
        <v>294</v>
      </c>
      <c r="C87" s="906"/>
    </row>
    <row r="88" spans="1:3">
      <c r="A88" s="324"/>
      <c r="B88" s="905" t="s">
        <v>295</v>
      </c>
      <c r="C88" s="906"/>
    </row>
    <row r="89" spans="1:3">
      <c r="A89" s="932" t="s">
        <v>296</v>
      </c>
      <c r="B89" s="933"/>
      <c r="C89" s="934"/>
    </row>
    <row r="90" spans="1:3">
      <c r="A90" s="324"/>
      <c r="B90" s="905" t="s">
        <v>229</v>
      </c>
      <c r="C90" s="906"/>
    </row>
    <row r="91" spans="1:3">
      <c r="A91" s="324"/>
      <c r="B91" s="905" t="s">
        <v>298</v>
      </c>
      <c r="C91" s="906"/>
    </row>
    <row r="92" spans="1:3" ht="12" customHeight="1">
      <c r="A92" s="324"/>
      <c r="B92" s="905" t="s">
        <v>299</v>
      </c>
      <c r="C92" s="906"/>
    </row>
    <row r="93" spans="1:3">
      <c r="A93" s="324"/>
      <c r="B93" s="905" t="s">
        <v>300</v>
      </c>
      <c r="C93" s="906"/>
    </row>
    <row r="94" spans="1:3" ht="24.75" customHeight="1">
      <c r="A94" s="324"/>
      <c r="B94" s="913" t="s">
        <v>336</v>
      </c>
      <c r="C94" s="914"/>
    </row>
    <row r="95" spans="1:3" ht="24" customHeight="1">
      <c r="A95" s="324"/>
      <c r="B95" s="913" t="s">
        <v>337</v>
      </c>
      <c r="C95" s="914"/>
    </row>
    <row r="96" spans="1:3" ht="13.5" customHeight="1">
      <c r="A96" s="324"/>
      <c r="B96" s="913" t="s">
        <v>301</v>
      </c>
      <c r="C96" s="914"/>
    </row>
    <row r="97" spans="1:3" ht="11.25" customHeight="1" thickBot="1">
      <c r="A97" s="935" t="s">
        <v>332</v>
      </c>
      <c r="B97" s="936"/>
      <c r="C97" s="937"/>
    </row>
    <row r="98" spans="1:3" ht="13.2" thickTop="1" thickBot="1">
      <c r="A98" s="944" t="s">
        <v>238</v>
      </c>
      <c r="B98" s="944"/>
      <c r="C98" s="944"/>
    </row>
    <row r="99" spans="1:3">
      <c r="A99" s="192">
        <v>2</v>
      </c>
      <c r="B99" s="312" t="s">
        <v>312</v>
      </c>
      <c r="C99" s="312" t="s">
        <v>333</v>
      </c>
    </row>
    <row r="100" spans="1:3">
      <c r="A100" s="127">
        <v>3</v>
      </c>
      <c r="B100" s="313" t="s">
        <v>313</v>
      </c>
      <c r="C100" s="314" t="s">
        <v>334</v>
      </c>
    </row>
    <row r="101" spans="1:3">
      <c r="A101" s="127">
        <v>4</v>
      </c>
      <c r="B101" s="313" t="s">
        <v>314</v>
      </c>
      <c r="C101" s="314" t="s">
        <v>338</v>
      </c>
    </row>
    <row r="102" spans="1:3" ht="11.25" customHeight="1">
      <c r="A102" s="127">
        <v>5</v>
      </c>
      <c r="B102" s="313" t="s">
        <v>315</v>
      </c>
      <c r="C102" s="314" t="s">
        <v>335</v>
      </c>
    </row>
    <row r="103" spans="1:3" ht="12" customHeight="1">
      <c r="A103" s="127">
        <v>6</v>
      </c>
      <c r="B103" s="313" t="s">
        <v>330</v>
      </c>
      <c r="C103" s="314" t="s">
        <v>316</v>
      </c>
    </row>
    <row r="104" spans="1:3" ht="12" customHeight="1">
      <c r="A104" s="127">
        <v>7</v>
      </c>
      <c r="B104" s="313" t="s">
        <v>317</v>
      </c>
      <c r="C104" s="314" t="s">
        <v>331</v>
      </c>
    </row>
    <row r="105" spans="1:3">
      <c r="A105" s="127">
        <v>8</v>
      </c>
      <c r="B105" s="313" t="s">
        <v>322</v>
      </c>
      <c r="C105" s="314" t="s">
        <v>342</v>
      </c>
    </row>
    <row r="106" spans="1:3" ht="11.25" customHeight="1">
      <c r="A106" s="932" t="s">
        <v>302</v>
      </c>
      <c r="B106" s="933"/>
      <c r="C106" s="934"/>
    </row>
    <row r="107" spans="1:3" ht="12" customHeight="1">
      <c r="A107" s="324"/>
      <c r="B107" s="930" t="s">
        <v>998</v>
      </c>
      <c r="C107" s="931"/>
    </row>
    <row r="108" spans="1:3">
      <c r="A108" s="932" t="s">
        <v>458</v>
      </c>
      <c r="B108" s="933"/>
      <c r="C108" s="934"/>
    </row>
    <row r="109" spans="1:3" ht="12" customHeight="1">
      <c r="A109" s="324"/>
      <c r="B109" s="905" t="s">
        <v>460</v>
      </c>
      <c r="C109" s="906"/>
    </row>
    <row r="110" spans="1:3">
      <c r="A110" s="324"/>
      <c r="B110" s="905" t="s">
        <v>461</v>
      </c>
      <c r="C110" s="906"/>
    </row>
    <row r="111" spans="1:3">
      <c r="A111" s="324"/>
      <c r="B111" s="905" t="s">
        <v>459</v>
      </c>
      <c r="C111" s="906"/>
    </row>
    <row r="112" spans="1:3">
      <c r="A112" s="938" t="s">
        <v>692</v>
      </c>
      <c r="B112" s="938"/>
      <c r="C112" s="938"/>
    </row>
    <row r="113" spans="1:3">
      <c r="A113" s="939" t="s">
        <v>176</v>
      </c>
      <c r="B113" s="939"/>
      <c r="C113" s="939"/>
    </row>
    <row r="114" spans="1:3">
      <c r="A114" s="526">
        <v>1</v>
      </c>
      <c r="B114" s="940" t="s">
        <v>576</v>
      </c>
      <c r="C114" s="941"/>
    </row>
    <row r="115" spans="1:3">
      <c r="A115" s="526">
        <v>2</v>
      </c>
      <c r="B115" s="942" t="s">
        <v>577</v>
      </c>
      <c r="C115" s="943"/>
    </row>
    <row r="116" spans="1:3">
      <c r="A116" s="526">
        <v>3</v>
      </c>
      <c r="B116" s="940" t="s">
        <v>902</v>
      </c>
      <c r="C116" s="941"/>
    </row>
    <row r="117" spans="1:3">
      <c r="A117" s="526">
        <v>4</v>
      </c>
      <c r="B117" s="940" t="s">
        <v>901</v>
      </c>
      <c r="C117" s="941"/>
    </row>
    <row r="118" spans="1:3">
      <c r="A118" s="526">
        <v>5</v>
      </c>
      <c r="B118" s="530" t="s">
        <v>900</v>
      </c>
      <c r="C118" s="529"/>
    </row>
    <row r="119" spans="1:3">
      <c r="A119" s="526">
        <v>6</v>
      </c>
      <c r="B119" s="952" t="s">
        <v>967</v>
      </c>
      <c r="C119" s="953"/>
    </row>
    <row r="120" spans="1:3" ht="48.45" customHeight="1">
      <c r="A120" s="526">
        <v>7</v>
      </c>
      <c r="B120" s="952" t="s">
        <v>968</v>
      </c>
      <c r="C120" s="953"/>
    </row>
    <row r="121" spans="1:3">
      <c r="A121" s="504">
        <v>8</v>
      </c>
      <c r="B121" s="499" t="s">
        <v>603</v>
      </c>
      <c r="C121" s="523" t="s">
        <v>899</v>
      </c>
    </row>
    <row r="122" spans="1:3" ht="24">
      <c r="A122" s="526">
        <v>9.01</v>
      </c>
      <c r="B122" s="499" t="s">
        <v>487</v>
      </c>
      <c r="C122" s="500" t="s">
        <v>652</v>
      </c>
    </row>
    <row r="123" spans="1:3" ht="36">
      <c r="A123" s="526">
        <v>9.02</v>
      </c>
      <c r="B123" s="499" t="s">
        <v>488</v>
      </c>
      <c r="C123" s="500" t="s">
        <v>655</v>
      </c>
    </row>
    <row r="124" spans="1:3">
      <c r="A124" s="526">
        <v>9.0299999999999994</v>
      </c>
      <c r="B124" s="500" t="s">
        <v>836</v>
      </c>
      <c r="C124" s="500" t="s">
        <v>578</v>
      </c>
    </row>
    <row r="125" spans="1:3">
      <c r="A125" s="526">
        <v>9.0399999999999991</v>
      </c>
      <c r="B125" s="499" t="s">
        <v>489</v>
      </c>
      <c r="C125" s="500" t="s">
        <v>579</v>
      </c>
    </row>
    <row r="126" spans="1:3">
      <c r="A126" s="526">
        <v>9.0500000000000007</v>
      </c>
      <c r="B126" s="499" t="s">
        <v>490</v>
      </c>
      <c r="C126" s="500" t="s">
        <v>580</v>
      </c>
    </row>
    <row r="127" spans="1:3" ht="24">
      <c r="A127" s="526">
        <v>9.06</v>
      </c>
      <c r="B127" s="499" t="s">
        <v>491</v>
      </c>
      <c r="C127" s="500" t="s">
        <v>581</v>
      </c>
    </row>
    <row r="128" spans="1:3">
      <c r="A128" s="526">
        <v>9.07</v>
      </c>
      <c r="B128" s="528" t="s">
        <v>492</v>
      </c>
      <c r="C128" s="500" t="s">
        <v>582</v>
      </c>
    </row>
    <row r="129" spans="1:3" ht="24">
      <c r="A129" s="526">
        <v>9.08</v>
      </c>
      <c r="B129" s="499" t="s">
        <v>493</v>
      </c>
      <c r="C129" s="500" t="s">
        <v>583</v>
      </c>
    </row>
    <row r="130" spans="1:3" ht="24">
      <c r="A130" s="526">
        <v>9.09</v>
      </c>
      <c r="B130" s="499" t="s">
        <v>494</v>
      </c>
      <c r="C130" s="500" t="s">
        <v>584</v>
      </c>
    </row>
    <row r="131" spans="1:3">
      <c r="A131" s="527">
        <v>9.1</v>
      </c>
      <c r="B131" s="499" t="s">
        <v>495</v>
      </c>
      <c r="C131" s="500" t="s">
        <v>585</v>
      </c>
    </row>
    <row r="132" spans="1:3">
      <c r="A132" s="526">
        <v>9.11</v>
      </c>
      <c r="B132" s="499" t="s">
        <v>496</v>
      </c>
      <c r="C132" s="500" t="s">
        <v>586</v>
      </c>
    </row>
    <row r="133" spans="1:3">
      <c r="A133" s="526">
        <v>9.1199999999999992</v>
      </c>
      <c r="B133" s="499" t="s">
        <v>497</v>
      </c>
      <c r="C133" s="500" t="s">
        <v>587</v>
      </c>
    </row>
    <row r="134" spans="1:3">
      <c r="A134" s="526">
        <v>9.1300000000000008</v>
      </c>
      <c r="B134" s="499" t="s">
        <v>498</v>
      </c>
      <c r="C134" s="500" t="s">
        <v>588</v>
      </c>
    </row>
    <row r="135" spans="1:3">
      <c r="A135" s="526">
        <v>9.14</v>
      </c>
      <c r="B135" s="499" t="s">
        <v>499</v>
      </c>
      <c r="C135" s="500" t="s">
        <v>589</v>
      </c>
    </row>
    <row r="136" spans="1:3">
      <c r="A136" s="526">
        <v>9.15</v>
      </c>
      <c r="B136" s="499" t="s">
        <v>500</v>
      </c>
      <c r="C136" s="500" t="s">
        <v>590</v>
      </c>
    </row>
    <row r="137" spans="1:3">
      <c r="A137" s="526">
        <v>9.16</v>
      </c>
      <c r="B137" s="499" t="s">
        <v>501</v>
      </c>
      <c r="C137" s="500" t="s">
        <v>591</v>
      </c>
    </row>
    <row r="138" spans="1:3">
      <c r="A138" s="526">
        <v>9.17</v>
      </c>
      <c r="B138" s="500" t="s">
        <v>502</v>
      </c>
      <c r="C138" s="500" t="s">
        <v>592</v>
      </c>
    </row>
    <row r="139" spans="1:3" ht="24">
      <c r="A139" s="526">
        <v>9.18</v>
      </c>
      <c r="B139" s="499" t="s">
        <v>503</v>
      </c>
      <c r="C139" s="500" t="s">
        <v>593</v>
      </c>
    </row>
    <row r="140" spans="1:3">
      <c r="A140" s="526">
        <v>9.19</v>
      </c>
      <c r="B140" s="499" t="s">
        <v>504</v>
      </c>
      <c r="C140" s="500" t="s">
        <v>594</v>
      </c>
    </row>
    <row r="141" spans="1:3">
      <c r="A141" s="527">
        <v>9.1999999999999993</v>
      </c>
      <c r="B141" s="499" t="s">
        <v>505</v>
      </c>
      <c r="C141" s="500" t="s">
        <v>595</v>
      </c>
    </row>
    <row r="142" spans="1:3">
      <c r="A142" s="526">
        <v>9.2100000000000009</v>
      </c>
      <c r="B142" s="499" t="s">
        <v>506</v>
      </c>
      <c r="C142" s="500" t="s">
        <v>596</v>
      </c>
    </row>
    <row r="143" spans="1:3">
      <c r="A143" s="526">
        <v>9.2200000000000006</v>
      </c>
      <c r="B143" s="499" t="s">
        <v>507</v>
      </c>
      <c r="C143" s="500" t="s">
        <v>597</v>
      </c>
    </row>
    <row r="144" spans="1:3" ht="24">
      <c r="A144" s="526">
        <v>9.23</v>
      </c>
      <c r="B144" s="499" t="s">
        <v>508</v>
      </c>
      <c r="C144" s="500" t="s">
        <v>598</v>
      </c>
    </row>
    <row r="145" spans="1:3" ht="24">
      <c r="A145" s="526">
        <v>9.24</v>
      </c>
      <c r="B145" s="499" t="s">
        <v>509</v>
      </c>
      <c r="C145" s="500" t="s">
        <v>599</v>
      </c>
    </row>
    <row r="146" spans="1:3">
      <c r="A146" s="526">
        <v>9.2500000000000107</v>
      </c>
      <c r="B146" s="499" t="s">
        <v>510</v>
      </c>
      <c r="C146" s="500" t="s">
        <v>600</v>
      </c>
    </row>
    <row r="147" spans="1:3" ht="24">
      <c r="A147" s="526">
        <v>9.2600000000000193</v>
      </c>
      <c r="B147" s="499" t="s">
        <v>601</v>
      </c>
      <c r="C147" s="525" t="s">
        <v>602</v>
      </c>
    </row>
    <row r="148" spans="1:3" s="325" customFormat="1" ht="24">
      <c r="A148" s="526">
        <v>9.2700000000000298</v>
      </c>
      <c r="B148" s="499" t="s">
        <v>88</v>
      </c>
      <c r="C148" s="525" t="s">
        <v>653</v>
      </c>
    </row>
    <row r="149" spans="1:3" s="325" customFormat="1">
      <c r="A149" s="505"/>
      <c r="B149" s="946" t="s">
        <v>604</v>
      </c>
      <c r="C149" s="947"/>
    </row>
    <row r="150" spans="1:3" s="325" customFormat="1">
      <c r="A150" s="504">
        <v>1</v>
      </c>
      <c r="B150" s="930" t="s">
        <v>898</v>
      </c>
      <c r="C150" s="931"/>
    </row>
    <row r="151" spans="1:3" s="325" customFormat="1">
      <c r="A151" s="504">
        <v>2</v>
      </c>
      <c r="B151" s="930" t="s">
        <v>654</v>
      </c>
      <c r="C151" s="931"/>
    </row>
    <row r="152" spans="1:3" s="325" customFormat="1">
      <c r="A152" s="504">
        <v>3</v>
      </c>
      <c r="B152" s="930" t="s">
        <v>651</v>
      </c>
      <c r="C152" s="931"/>
    </row>
    <row r="153" spans="1:3" s="325" customFormat="1">
      <c r="A153" s="505"/>
      <c r="B153" s="946" t="s">
        <v>605</v>
      </c>
      <c r="C153" s="947"/>
    </row>
    <row r="154" spans="1:3" s="325" customFormat="1">
      <c r="A154" s="504">
        <v>1</v>
      </c>
      <c r="B154" s="949" t="s">
        <v>897</v>
      </c>
      <c r="C154" s="954"/>
    </row>
    <row r="155" spans="1:3" s="325" customFormat="1">
      <c r="A155" s="504">
        <v>2</v>
      </c>
      <c r="B155" s="499" t="s">
        <v>834</v>
      </c>
      <c r="C155" s="580" t="s">
        <v>962</v>
      </c>
    </row>
    <row r="156" spans="1:3" ht="24">
      <c r="A156" s="504">
        <v>3</v>
      </c>
      <c r="B156" s="499" t="s">
        <v>833</v>
      </c>
      <c r="C156" s="523" t="s">
        <v>896</v>
      </c>
    </row>
    <row r="157" spans="1:3">
      <c r="A157" s="504">
        <v>4</v>
      </c>
      <c r="B157" s="499" t="s">
        <v>480</v>
      </c>
      <c r="C157" s="499" t="s">
        <v>913</v>
      </c>
    </row>
    <row r="158" spans="1:3" ht="25.05" customHeight="1">
      <c r="A158" s="505"/>
      <c r="B158" s="946" t="s">
        <v>606</v>
      </c>
      <c r="C158" s="947"/>
    </row>
    <row r="159" spans="1:3" ht="36">
      <c r="A159" s="504"/>
      <c r="B159" s="499" t="s">
        <v>885</v>
      </c>
      <c r="C159" s="581" t="s">
        <v>963</v>
      </c>
    </row>
    <row r="160" spans="1:3">
      <c r="A160" s="505"/>
      <c r="B160" s="946" t="s">
        <v>607</v>
      </c>
      <c r="C160" s="947"/>
    </row>
    <row r="161" spans="1:3" ht="39" customHeight="1">
      <c r="A161" s="505"/>
      <c r="B161" s="930" t="s">
        <v>895</v>
      </c>
      <c r="C161" s="931"/>
    </row>
    <row r="162" spans="1:3">
      <c r="A162" s="505" t="s">
        <v>608</v>
      </c>
      <c r="B162" s="524" t="s">
        <v>518</v>
      </c>
      <c r="C162" s="516" t="s">
        <v>609</v>
      </c>
    </row>
    <row r="163" spans="1:3">
      <c r="A163" s="505" t="s">
        <v>357</v>
      </c>
      <c r="B163" s="521" t="s">
        <v>519</v>
      </c>
      <c r="C163" s="523" t="s">
        <v>894</v>
      </c>
    </row>
    <row r="164" spans="1:3" ht="24">
      <c r="A164" s="505" t="s">
        <v>364</v>
      </c>
      <c r="B164" s="516" t="s">
        <v>520</v>
      </c>
      <c r="C164" s="523" t="s">
        <v>610</v>
      </c>
    </row>
    <row r="165" spans="1:3">
      <c r="A165" s="505" t="s">
        <v>611</v>
      </c>
      <c r="B165" s="521" t="s">
        <v>521</v>
      </c>
      <c r="C165" s="522" t="s">
        <v>612</v>
      </c>
    </row>
    <row r="166" spans="1:3" ht="24">
      <c r="A166" s="505" t="s">
        <v>613</v>
      </c>
      <c r="B166" s="521" t="s">
        <v>849</v>
      </c>
      <c r="C166" s="515" t="s">
        <v>893</v>
      </c>
    </row>
    <row r="167" spans="1:3" ht="24">
      <c r="A167" s="505" t="s">
        <v>365</v>
      </c>
      <c r="B167" s="521" t="s">
        <v>522</v>
      </c>
      <c r="C167" s="515" t="s">
        <v>615</v>
      </c>
    </row>
    <row r="168" spans="1:3" ht="24">
      <c r="A168" s="505" t="s">
        <v>614</v>
      </c>
      <c r="B168" s="519" t="s">
        <v>525</v>
      </c>
      <c r="C168" s="520" t="s">
        <v>622</v>
      </c>
    </row>
    <row r="169" spans="1:3" ht="24">
      <c r="A169" s="505" t="s">
        <v>616</v>
      </c>
      <c r="B169" s="519" t="s">
        <v>523</v>
      </c>
      <c r="C169" s="515" t="s">
        <v>618</v>
      </c>
    </row>
    <row r="170" spans="1:3" ht="26.55" customHeight="1">
      <c r="A170" s="505" t="s">
        <v>617</v>
      </c>
      <c r="B170" s="519" t="s">
        <v>524</v>
      </c>
      <c r="C170" s="520" t="s">
        <v>620</v>
      </c>
    </row>
    <row r="171" spans="1:3" ht="24">
      <c r="A171" s="505" t="s">
        <v>619</v>
      </c>
      <c r="B171" s="500" t="s">
        <v>526</v>
      </c>
      <c r="C171" s="520" t="s">
        <v>624</v>
      </c>
    </row>
    <row r="172" spans="1:3" ht="24">
      <c r="A172" s="505" t="s">
        <v>621</v>
      </c>
      <c r="B172" s="519" t="s">
        <v>527</v>
      </c>
      <c r="C172" s="518" t="s">
        <v>625</v>
      </c>
    </row>
    <row r="173" spans="1:3">
      <c r="A173" s="505" t="s">
        <v>623</v>
      </c>
      <c r="B173" s="517" t="s">
        <v>528</v>
      </c>
      <c r="C173" s="516" t="s">
        <v>626</v>
      </c>
    </row>
    <row r="174" spans="1:3" ht="24">
      <c r="A174" s="505"/>
      <c r="B174" s="515" t="s">
        <v>892</v>
      </c>
      <c r="C174" s="500" t="s">
        <v>627</v>
      </c>
    </row>
    <row r="175" spans="1:3" ht="24">
      <c r="A175" s="505"/>
      <c r="B175" s="515" t="s">
        <v>891</v>
      </c>
      <c r="C175" s="500" t="s">
        <v>628</v>
      </c>
    </row>
    <row r="176" spans="1:3" ht="24">
      <c r="A176" s="505"/>
      <c r="B176" s="515" t="s">
        <v>890</v>
      </c>
      <c r="C176" s="500" t="s">
        <v>629</v>
      </c>
    </row>
    <row r="177" spans="1:3">
      <c r="A177" s="505"/>
      <c r="B177" s="946" t="s">
        <v>630</v>
      </c>
      <c r="C177" s="947"/>
    </row>
    <row r="178" spans="1:3">
      <c r="A178" s="505"/>
      <c r="B178" s="930" t="s">
        <v>889</v>
      </c>
      <c r="C178" s="931"/>
    </row>
    <row r="179" spans="1:3">
      <c r="A179" s="504">
        <v>1</v>
      </c>
      <c r="B179" s="500" t="s">
        <v>532</v>
      </c>
      <c r="C179" s="500" t="s">
        <v>532</v>
      </c>
    </row>
    <row r="180" spans="1:3" ht="24">
      <c r="A180" s="504">
        <v>2</v>
      </c>
      <c r="B180" s="500" t="s">
        <v>631</v>
      </c>
      <c r="C180" s="500" t="s">
        <v>632</v>
      </c>
    </row>
    <row r="181" spans="1:3">
      <c r="A181" s="504">
        <v>3</v>
      </c>
      <c r="B181" s="500" t="s">
        <v>534</v>
      </c>
      <c r="C181" s="500" t="s">
        <v>633</v>
      </c>
    </row>
    <row r="182" spans="1:3" ht="24">
      <c r="A182" s="504">
        <v>4</v>
      </c>
      <c r="B182" s="500" t="s">
        <v>535</v>
      </c>
      <c r="C182" s="500" t="s">
        <v>634</v>
      </c>
    </row>
    <row r="183" spans="1:3" ht="24">
      <c r="A183" s="504">
        <v>5</v>
      </c>
      <c r="B183" s="500" t="s">
        <v>536</v>
      </c>
      <c r="C183" s="500" t="s">
        <v>656</v>
      </c>
    </row>
    <row r="184" spans="1:3" ht="48">
      <c r="A184" s="504">
        <v>6</v>
      </c>
      <c r="B184" s="500" t="s">
        <v>537</v>
      </c>
      <c r="C184" s="500" t="s">
        <v>635</v>
      </c>
    </row>
    <row r="185" spans="1:3">
      <c r="A185" s="505"/>
      <c r="B185" s="946" t="s">
        <v>636</v>
      </c>
      <c r="C185" s="947"/>
    </row>
    <row r="186" spans="1:3">
      <c r="A186" s="505"/>
      <c r="B186" s="948" t="s">
        <v>888</v>
      </c>
      <c r="C186" s="949"/>
    </row>
    <row r="187" spans="1:3" ht="24">
      <c r="A187" s="505">
        <v>1.1000000000000001</v>
      </c>
      <c r="B187" s="514" t="s">
        <v>542</v>
      </c>
      <c r="C187" s="500" t="s">
        <v>637</v>
      </c>
    </row>
    <row r="188" spans="1:3" ht="49.95" customHeight="1">
      <c r="A188" s="505" t="s">
        <v>146</v>
      </c>
      <c r="B188" s="501" t="s">
        <v>543</v>
      </c>
      <c r="C188" s="500" t="s">
        <v>638</v>
      </c>
    </row>
    <row r="189" spans="1:3">
      <c r="A189" s="505" t="s">
        <v>544</v>
      </c>
      <c r="B189" s="513" t="s">
        <v>545</v>
      </c>
      <c r="C189" s="950" t="s">
        <v>887</v>
      </c>
    </row>
    <row r="190" spans="1:3">
      <c r="A190" s="505" t="s">
        <v>546</v>
      </c>
      <c r="B190" s="513" t="s">
        <v>547</v>
      </c>
      <c r="C190" s="950"/>
    </row>
    <row r="191" spans="1:3">
      <c r="A191" s="505" t="s">
        <v>548</v>
      </c>
      <c r="B191" s="513" t="s">
        <v>549</v>
      </c>
      <c r="C191" s="950"/>
    </row>
    <row r="192" spans="1:3">
      <c r="A192" s="505" t="s">
        <v>550</v>
      </c>
      <c r="B192" s="513" t="s">
        <v>551</v>
      </c>
      <c r="C192" s="950"/>
    </row>
    <row r="193" spans="1:4" ht="25.5" customHeight="1">
      <c r="A193" s="505">
        <v>1.2</v>
      </c>
      <c r="B193" s="512" t="s">
        <v>863</v>
      </c>
      <c r="C193" s="582" t="s">
        <v>964</v>
      </c>
    </row>
    <row r="194" spans="1:4" ht="24">
      <c r="A194" s="505" t="s">
        <v>553</v>
      </c>
      <c r="B194" s="507" t="s">
        <v>554</v>
      </c>
      <c r="C194" s="510" t="s">
        <v>639</v>
      </c>
    </row>
    <row r="195" spans="1:4" ht="24">
      <c r="A195" s="505" t="s">
        <v>555</v>
      </c>
      <c r="B195" s="511" t="s">
        <v>556</v>
      </c>
      <c r="C195" s="510" t="s">
        <v>640</v>
      </c>
    </row>
    <row r="196" spans="1:4" ht="25.95" customHeight="1">
      <c r="A196" s="505" t="s">
        <v>557</v>
      </c>
      <c r="B196" s="509" t="s">
        <v>558</v>
      </c>
      <c r="C196" s="499" t="s">
        <v>641</v>
      </c>
    </row>
    <row r="197" spans="1:4" ht="24">
      <c r="A197" s="505" t="s">
        <v>559</v>
      </c>
      <c r="B197" s="508" t="s">
        <v>560</v>
      </c>
      <c r="C197" s="499" t="s">
        <v>642</v>
      </c>
      <c r="D197" s="326"/>
    </row>
    <row r="198" spans="1:4" ht="12.6">
      <c r="A198" s="505">
        <v>1.4</v>
      </c>
      <c r="B198" s="507" t="s">
        <v>649</v>
      </c>
      <c r="C198" s="506" t="s">
        <v>643</v>
      </c>
      <c r="D198" s="327"/>
    </row>
    <row r="199" spans="1:4" ht="12.6">
      <c r="A199" s="505">
        <v>1.5</v>
      </c>
      <c r="B199" s="507" t="s">
        <v>650</v>
      </c>
      <c r="C199" s="506" t="s">
        <v>643</v>
      </c>
      <c r="D199" s="328"/>
    </row>
    <row r="200" spans="1:4" ht="12.6">
      <c r="A200" s="505"/>
      <c r="B200" s="938" t="s">
        <v>644</v>
      </c>
      <c r="C200" s="938"/>
      <c r="D200" s="328"/>
    </row>
    <row r="201" spans="1:4" ht="12.6">
      <c r="A201" s="505"/>
      <c r="B201" s="948" t="s">
        <v>886</v>
      </c>
      <c r="C201" s="948"/>
      <c r="D201" s="328"/>
    </row>
    <row r="202" spans="1:4" ht="12.6">
      <c r="A202" s="504"/>
      <c r="B202" s="499" t="s">
        <v>885</v>
      </c>
      <c r="C202" s="581" t="s">
        <v>962</v>
      </c>
      <c r="D202" s="328"/>
    </row>
    <row r="203" spans="1:4" ht="12.6">
      <c r="A203" s="505"/>
      <c r="B203" s="938" t="s">
        <v>645</v>
      </c>
      <c r="C203" s="938"/>
      <c r="D203" s="329"/>
    </row>
    <row r="204" spans="1:4" ht="12.6">
      <c r="A204" s="504"/>
      <c r="B204" s="948" t="s">
        <v>884</v>
      </c>
      <c r="C204" s="948"/>
      <c r="D204" s="330"/>
    </row>
    <row r="205" spans="1:4" ht="12.6">
      <c r="B205" s="938" t="s">
        <v>682</v>
      </c>
      <c r="C205" s="938"/>
      <c r="D205" s="331"/>
    </row>
    <row r="206" spans="1:4" ht="24">
      <c r="A206" s="501">
        <v>1</v>
      </c>
      <c r="B206" s="499" t="s">
        <v>658</v>
      </c>
      <c r="C206" s="499" t="s">
        <v>670</v>
      </c>
      <c r="D206" s="330"/>
    </row>
    <row r="207" spans="1:4" ht="18" customHeight="1">
      <c r="A207" s="501">
        <v>2</v>
      </c>
      <c r="B207" s="499" t="s">
        <v>659</v>
      </c>
      <c r="C207" s="499" t="s">
        <v>671</v>
      </c>
      <c r="D207" s="331"/>
    </row>
    <row r="208" spans="1:4" ht="24">
      <c r="A208" s="501">
        <v>3</v>
      </c>
      <c r="B208" s="499" t="s">
        <v>660</v>
      </c>
      <c r="C208" s="499" t="s">
        <v>672</v>
      </c>
      <c r="D208" s="332"/>
    </row>
    <row r="209" spans="1:4" ht="12.6">
      <c r="A209" s="501">
        <v>4</v>
      </c>
      <c r="B209" s="499" t="s">
        <v>661</v>
      </c>
      <c r="C209" s="499" t="s">
        <v>673</v>
      </c>
      <c r="D209" s="332"/>
    </row>
    <row r="210" spans="1:4" ht="24">
      <c r="A210" s="501">
        <v>5</v>
      </c>
      <c r="B210" s="499" t="s">
        <v>662</v>
      </c>
      <c r="C210" s="499" t="s">
        <v>674</v>
      </c>
    </row>
    <row r="211" spans="1:4" ht="24.45" customHeight="1">
      <c r="A211" s="501">
        <v>6</v>
      </c>
      <c r="B211" s="499" t="s">
        <v>663</v>
      </c>
      <c r="C211" s="499" t="s">
        <v>675</v>
      </c>
    </row>
    <row r="212" spans="1:4" ht="24">
      <c r="A212" s="501">
        <v>7</v>
      </c>
      <c r="B212" s="499" t="s">
        <v>664</v>
      </c>
      <c r="C212" s="499" t="s">
        <v>676</v>
      </c>
    </row>
    <row r="213" spans="1:4">
      <c r="A213" s="501">
        <v>7.1</v>
      </c>
      <c r="B213" s="503" t="s">
        <v>665</v>
      </c>
      <c r="C213" s="499" t="s">
        <v>677</v>
      </c>
    </row>
    <row r="214" spans="1:4">
      <c r="A214" s="501">
        <v>7.2</v>
      </c>
      <c r="B214" s="503" t="s">
        <v>666</v>
      </c>
      <c r="C214" s="499" t="s">
        <v>678</v>
      </c>
    </row>
    <row r="215" spans="1:4">
      <c r="A215" s="501">
        <v>7.3</v>
      </c>
      <c r="B215" s="502" t="s">
        <v>667</v>
      </c>
      <c r="C215" s="499" t="s">
        <v>679</v>
      </c>
    </row>
    <row r="216" spans="1:4" ht="39.450000000000003" customHeight="1">
      <c r="A216" s="501">
        <v>8</v>
      </c>
      <c r="B216" s="499" t="s">
        <v>668</v>
      </c>
      <c r="C216" s="499" t="s">
        <v>680</v>
      </c>
    </row>
    <row r="217" spans="1:4">
      <c r="A217" s="501">
        <v>9</v>
      </c>
      <c r="B217" s="499" t="s">
        <v>669</v>
      </c>
      <c r="C217" s="499" t="s">
        <v>681</v>
      </c>
    </row>
    <row r="218" spans="1:4" ht="24">
      <c r="A218" s="538">
        <v>10.1</v>
      </c>
      <c r="B218" s="539" t="s">
        <v>689</v>
      </c>
      <c r="C218" s="531" t="s">
        <v>690</v>
      </c>
    </row>
    <row r="219" spans="1:4">
      <c r="A219" s="951"/>
      <c r="B219" s="540" t="s">
        <v>876</v>
      </c>
      <c r="C219" s="499" t="s">
        <v>883</v>
      </c>
    </row>
    <row r="220" spans="1:4">
      <c r="A220" s="951"/>
      <c r="B220" s="500" t="s">
        <v>541</v>
      </c>
      <c r="C220" s="499" t="s">
        <v>882</v>
      </c>
    </row>
    <row r="221" spans="1:4">
      <c r="A221" s="951"/>
      <c r="B221" s="500" t="s">
        <v>875</v>
      </c>
      <c r="C221" s="582" t="s">
        <v>965</v>
      </c>
    </row>
    <row r="222" spans="1:4">
      <c r="A222" s="951"/>
      <c r="B222" s="500" t="s">
        <v>683</v>
      </c>
      <c r="C222" s="499" t="s">
        <v>881</v>
      </c>
    </row>
    <row r="223" spans="1:4" ht="24">
      <c r="A223" s="951"/>
      <c r="B223" s="500" t="s">
        <v>687</v>
      </c>
      <c r="C223" s="500" t="s">
        <v>880</v>
      </c>
    </row>
    <row r="224" spans="1:4" ht="36">
      <c r="A224" s="951"/>
      <c r="B224" s="500" t="s">
        <v>686</v>
      </c>
      <c r="C224" s="499" t="s">
        <v>879</v>
      </c>
    </row>
    <row r="225" spans="1:3">
      <c r="A225" s="951"/>
      <c r="B225" s="500" t="s">
        <v>914</v>
      </c>
      <c r="C225" s="499" t="s">
        <v>878</v>
      </c>
    </row>
    <row r="226" spans="1:3" ht="24">
      <c r="A226" s="951"/>
      <c r="B226" s="500" t="s">
        <v>915</v>
      </c>
      <c r="C226" s="499" t="s">
        <v>877</v>
      </c>
    </row>
    <row r="227" spans="1:3" ht="12.6">
      <c r="A227" s="532"/>
      <c r="B227" s="533"/>
      <c r="C227" s="534"/>
    </row>
    <row r="228" spans="1:3" ht="12.6">
      <c r="A228" s="532"/>
      <c r="B228" s="534"/>
      <c r="C228" s="534"/>
    </row>
    <row r="229" spans="1:3" ht="12.6">
      <c r="A229" s="532"/>
      <c r="B229" s="534"/>
      <c r="C229" s="534"/>
    </row>
    <row r="230" spans="1:3" ht="12.6">
      <c r="A230" s="532"/>
      <c r="B230" s="535"/>
      <c r="C230" s="534"/>
    </row>
    <row r="231" spans="1:3">
      <c r="A231" s="945"/>
      <c r="B231" s="536"/>
      <c r="C231" s="534"/>
    </row>
    <row r="232" spans="1:3">
      <c r="A232" s="945"/>
      <c r="B232" s="536"/>
      <c r="C232" s="534"/>
    </row>
    <row r="233" spans="1:3">
      <c r="A233" s="945"/>
      <c r="B233" s="536"/>
      <c r="C233" s="534"/>
    </row>
    <row r="234" spans="1:3">
      <c r="A234" s="945"/>
      <c r="B234" s="536"/>
      <c r="C234" s="537"/>
    </row>
    <row r="235" spans="1:3" ht="40.5" customHeight="1">
      <c r="A235" s="945"/>
      <c r="B235" s="536"/>
      <c r="C235" s="534"/>
    </row>
    <row r="236" spans="1:3" ht="24" customHeight="1">
      <c r="A236" s="945"/>
      <c r="B236" s="536"/>
      <c r="C236" s="534"/>
    </row>
    <row r="237" spans="1:3">
      <c r="A237" s="945"/>
      <c r="B237" s="536"/>
      <c r="C237" s="534"/>
    </row>
  </sheetData>
  <mergeCells count="133">
    <mergeCell ref="B158:C158"/>
    <mergeCell ref="B160:C160"/>
    <mergeCell ref="B161:C161"/>
    <mergeCell ref="B117:C117"/>
    <mergeCell ref="B119:C119"/>
    <mergeCell ref="B120:C120"/>
    <mergeCell ref="B149:C149"/>
    <mergeCell ref="B150:C150"/>
    <mergeCell ref="B151:C151"/>
    <mergeCell ref="B152:C152"/>
    <mergeCell ref="B153:C153"/>
    <mergeCell ref="B154:C154"/>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11:C111"/>
    <mergeCell ref="A112:C112"/>
    <mergeCell ref="A113:C113"/>
    <mergeCell ref="B114:C114"/>
    <mergeCell ref="B115:C115"/>
    <mergeCell ref="B116:C116"/>
    <mergeCell ref="A98:C98"/>
    <mergeCell ref="A106:C106"/>
    <mergeCell ref="B107:C107"/>
    <mergeCell ref="A108:C108"/>
    <mergeCell ref="B109:C109"/>
    <mergeCell ref="B110:C110"/>
    <mergeCell ref="B92:C92"/>
    <mergeCell ref="B93:C93"/>
    <mergeCell ref="B94:C94"/>
    <mergeCell ref="B95:C95"/>
    <mergeCell ref="B96:C96"/>
    <mergeCell ref="A97:C97"/>
    <mergeCell ref="B86:C86"/>
    <mergeCell ref="B87:C87"/>
    <mergeCell ref="B88:C88"/>
    <mergeCell ref="A89:C89"/>
    <mergeCell ref="B90:C90"/>
    <mergeCell ref="B91:C91"/>
    <mergeCell ref="B80:C80"/>
    <mergeCell ref="A81:C81"/>
    <mergeCell ref="B82:C82"/>
    <mergeCell ref="B83:C83"/>
    <mergeCell ref="B84:C84"/>
    <mergeCell ref="B85:C85"/>
    <mergeCell ref="B74:C74"/>
    <mergeCell ref="B75:C75"/>
    <mergeCell ref="B76:C76"/>
    <mergeCell ref="A77:C77"/>
    <mergeCell ref="B78:C78"/>
    <mergeCell ref="B79:C79"/>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A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A45:C45"/>
    <mergeCell ref="B46:C46"/>
    <mergeCell ref="A47:C47"/>
    <mergeCell ref="B37:C37"/>
    <mergeCell ref="B38:C38"/>
    <mergeCell ref="B40:C40"/>
    <mergeCell ref="A41:C41"/>
    <mergeCell ref="B35:C35"/>
    <mergeCell ref="B33:C33"/>
    <mergeCell ref="B36:C36"/>
    <mergeCell ref="B39:C39"/>
    <mergeCell ref="B25:C25"/>
    <mergeCell ref="A26:C26"/>
    <mergeCell ref="B27:C27"/>
    <mergeCell ref="A28:C28"/>
    <mergeCell ref="B29:C29"/>
    <mergeCell ref="B30:C30"/>
    <mergeCell ref="B22:C22"/>
    <mergeCell ref="B23:C23"/>
    <mergeCell ref="B24:C24"/>
    <mergeCell ref="B16:C16"/>
    <mergeCell ref="B17:C17"/>
    <mergeCell ref="B18:C18"/>
    <mergeCell ref="B31:C31"/>
    <mergeCell ref="B32:C32"/>
    <mergeCell ref="B34:C34"/>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A1:H45"/>
  <sheetViews>
    <sheetView topLeftCell="A25" zoomScale="80" zoomScaleNormal="80" workbookViewId="0">
      <selection activeCell="F43" sqref="F43:G44"/>
    </sheetView>
  </sheetViews>
  <sheetFormatPr defaultRowHeight="14.4"/>
  <cols>
    <col min="2" max="2" width="66.6640625" customWidth="1"/>
    <col min="3" max="8" width="17.77734375" customWidth="1"/>
  </cols>
  <sheetData>
    <row r="1" spans="1:8">
      <c r="A1" s="13" t="s">
        <v>97</v>
      </c>
      <c r="B1" s="244" t="str">
        <f>Info!C2</f>
        <v>სს "კრედო ბანკი"</v>
      </c>
      <c r="C1" s="12"/>
      <c r="D1" s="1"/>
      <c r="E1" s="1"/>
      <c r="F1" s="1"/>
      <c r="G1" s="1"/>
    </row>
    <row r="2" spans="1:8">
      <c r="A2" s="13" t="s">
        <v>98</v>
      </c>
      <c r="B2" s="272">
        <f>'1. key ratios'!B2</f>
        <v>46203</v>
      </c>
      <c r="C2" s="12"/>
      <c r="D2" s="1"/>
      <c r="E2" s="1"/>
      <c r="F2" s="1"/>
      <c r="G2" s="1"/>
    </row>
    <row r="3" spans="1:8">
      <c r="A3" s="13"/>
      <c r="B3" s="12"/>
      <c r="C3" s="12"/>
      <c r="D3" s="1"/>
      <c r="E3" s="1"/>
      <c r="F3" s="1"/>
      <c r="G3" s="1"/>
    </row>
    <row r="4" spans="1:8">
      <c r="A4" s="792" t="s">
        <v>25</v>
      </c>
      <c r="B4" s="790" t="s">
        <v>155</v>
      </c>
      <c r="C4" s="788" t="s">
        <v>103</v>
      </c>
      <c r="D4" s="788"/>
      <c r="E4" s="788"/>
      <c r="F4" s="788" t="s">
        <v>104</v>
      </c>
      <c r="G4" s="788"/>
      <c r="H4" s="789"/>
    </row>
    <row r="5" spans="1:8" ht="15.45" customHeight="1">
      <c r="A5" s="793"/>
      <c r="B5" s="791"/>
      <c r="C5" s="364" t="s">
        <v>26</v>
      </c>
      <c r="D5" s="364" t="s">
        <v>77</v>
      </c>
      <c r="E5" s="364" t="s">
        <v>66</v>
      </c>
      <c r="F5" s="364" t="s">
        <v>26</v>
      </c>
      <c r="G5" s="364" t="s">
        <v>77</v>
      </c>
      <c r="H5" s="364" t="s">
        <v>66</v>
      </c>
    </row>
    <row r="6" spans="1:8">
      <c r="A6" s="392">
        <v>1</v>
      </c>
      <c r="B6" s="365" t="s">
        <v>744</v>
      </c>
      <c r="C6" s="662">
        <f>SUM(C7:C12)</f>
        <v>337979914.06004554</v>
      </c>
      <c r="D6" s="662">
        <f>SUM(D7:D12)</f>
        <v>18077142.03999998</v>
      </c>
      <c r="E6" s="658">
        <f>C6+D6</f>
        <v>356057056.1000455</v>
      </c>
      <c r="F6" s="661">
        <f>SUM(F7:F12)</f>
        <v>295044668.15999341</v>
      </c>
      <c r="G6" s="661">
        <f>SUM(G7:G12)</f>
        <v>13800429.680000007</v>
      </c>
      <c r="H6" s="658">
        <f>F6+G6</f>
        <v>308845097.83999342</v>
      </c>
    </row>
    <row r="7" spans="1:8">
      <c r="A7" s="392">
        <v>1.1000000000000001</v>
      </c>
      <c r="B7" s="366" t="s">
        <v>698</v>
      </c>
      <c r="C7" s="660"/>
      <c r="D7" s="660"/>
      <c r="E7" s="658">
        <f t="shared" ref="E7:E45" si="0">C7+D7</f>
        <v>0</v>
      </c>
      <c r="F7" s="653"/>
      <c r="G7" s="653"/>
      <c r="H7" s="658">
        <f t="shared" ref="H7:H44" si="1">F7+G7</f>
        <v>0</v>
      </c>
    </row>
    <row r="8" spans="1:8" ht="20.399999999999999">
      <c r="A8" s="392">
        <v>1.2</v>
      </c>
      <c r="B8" s="366" t="s">
        <v>745</v>
      </c>
      <c r="C8" s="660"/>
      <c r="D8" s="660"/>
      <c r="E8" s="658">
        <f t="shared" si="0"/>
        <v>0</v>
      </c>
      <c r="F8" s="653"/>
      <c r="G8" s="653"/>
      <c r="H8" s="658">
        <f t="shared" si="1"/>
        <v>0</v>
      </c>
    </row>
    <row r="9" spans="1:8" ht="21.45" customHeight="1">
      <c r="A9" s="392">
        <v>1.3</v>
      </c>
      <c r="B9" s="356" t="s">
        <v>746</v>
      </c>
      <c r="C9" s="660"/>
      <c r="D9" s="660"/>
      <c r="E9" s="658">
        <f t="shared" si="0"/>
        <v>0</v>
      </c>
      <c r="F9" s="653"/>
      <c r="G9" s="653"/>
      <c r="H9" s="658">
        <f t="shared" si="1"/>
        <v>0</v>
      </c>
    </row>
    <row r="10" spans="1:8" ht="20.399999999999999">
      <c r="A10" s="392">
        <v>1.4</v>
      </c>
      <c r="B10" s="356" t="s">
        <v>702</v>
      </c>
      <c r="C10" s="660"/>
      <c r="D10" s="660"/>
      <c r="E10" s="658">
        <f t="shared" si="0"/>
        <v>0</v>
      </c>
      <c r="F10" s="653"/>
      <c r="G10" s="653"/>
      <c r="H10" s="658">
        <f t="shared" si="1"/>
        <v>0</v>
      </c>
    </row>
    <row r="11" spans="1:8">
      <c r="A11" s="392">
        <v>1.5</v>
      </c>
      <c r="B11" s="356" t="s">
        <v>705</v>
      </c>
      <c r="C11" s="660">
        <v>337979914.06004554</v>
      </c>
      <c r="D11" s="660">
        <v>18077142.03999998</v>
      </c>
      <c r="E11" s="658">
        <f t="shared" si="0"/>
        <v>356057056.1000455</v>
      </c>
      <c r="F11" s="653">
        <v>295044668.15999341</v>
      </c>
      <c r="G11" s="653">
        <v>13800429.680000007</v>
      </c>
      <c r="H11" s="658">
        <f t="shared" si="1"/>
        <v>308845097.83999342</v>
      </c>
    </row>
    <row r="12" spans="1:8">
      <c r="A12" s="392">
        <v>1.6</v>
      </c>
      <c r="B12" s="357" t="s">
        <v>88</v>
      </c>
      <c r="C12" s="660"/>
      <c r="D12" s="660"/>
      <c r="E12" s="658">
        <f t="shared" si="0"/>
        <v>0</v>
      </c>
      <c r="F12" s="352"/>
      <c r="G12" s="352"/>
      <c r="H12" s="658">
        <f t="shared" si="1"/>
        <v>0</v>
      </c>
    </row>
    <row r="13" spans="1:8">
      <c r="A13" s="392">
        <v>2</v>
      </c>
      <c r="B13" s="367" t="s">
        <v>747</v>
      </c>
      <c r="C13" s="662">
        <f>SUM(C14:C17)</f>
        <v>-131910120.64</v>
      </c>
      <c r="D13" s="662">
        <f>SUM(D14:D17)</f>
        <v>-20216675.310000002</v>
      </c>
      <c r="E13" s="658">
        <f t="shared" si="0"/>
        <v>-152126795.94999999</v>
      </c>
      <c r="F13" s="661">
        <f>SUM(F14:F17)</f>
        <v>-108218794.48999999</v>
      </c>
      <c r="G13" s="661">
        <f>SUM(G14:G17)</f>
        <v>-14795788.439999998</v>
      </c>
      <c r="H13" s="658">
        <f t="shared" si="1"/>
        <v>-123014582.92999999</v>
      </c>
    </row>
    <row r="14" spans="1:8">
      <c r="A14" s="392">
        <v>2.1</v>
      </c>
      <c r="B14" s="356" t="s">
        <v>748</v>
      </c>
      <c r="C14" s="660"/>
      <c r="D14" s="660"/>
      <c r="E14" s="658">
        <f t="shared" si="0"/>
        <v>0</v>
      </c>
      <c r="F14" s="653"/>
      <c r="G14" s="653"/>
      <c r="H14" s="658">
        <f t="shared" si="1"/>
        <v>0</v>
      </c>
    </row>
    <row r="15" spans="1:8" ht="24.45" customHeight="1">
      <c r="A15" s="392">
        <v>2.2000000000000002</v>
      </c>
      <c r="B15" s="356" t="s">
        <v>749</v>
      </c>
      <c r="C15" s="660"/>
      <c r="D15" s="660"/>
      <c r="E15" s="658">
        <f t="shared" si="0"/>
        <v>0</v>
      </c>
      <c r="F15" s="653"/>
      <c r="G15" s="653"/>
      <c r="H15" s="658">
        <f t="shared" si="1"/>
        <v>0</v>
      </c>
    </row>
    <row r="16" spans="1:8" ht="20.55" customHeight="1">
      <c r="A16" s="392">
        <v>2.2999999999999998</v>
      </c>
      <c r="B16" s="356" t="s">
        <v>750</v>
      </c>
      <c r="C16" s="660">
        <v>-131910120.64</v>
      </c>
      <c r="D16" s="660">
        <v>-20216675.310000002</v>
      </c>
      <c r="E16" s="658">
        <f t="shared" si="0"/>
        <v>-152126795.94999999</v>
      </c>
      <c r="F16" s="653">
        <v>-108218794.48999999</v>
      </c>
      <c r="G16" s="653">
        <v>-14795788.439999998</v>
      </c>
      <c r="H16" s="658">
        <f t="shared" si="1"/>
        <v>-123014582.92999999</v>
      </c>
    </row>
    <row r="17" spans="1:8">
      <c r="A17" s="392">
        <v>2.4</v>
      </c>
      <c r="B17" s="356" t="s">
        <v>751</v>
      </c>
      <c r="C17" s="660"/>
      <c r="D17" s="660"/>
      <c r="E17" s="658">
        <f t="shared" si="0"/>
        <v>0</v>
      </c>
      <c r="F17" s="352"/>
      <c r="G17" s="352"/>
      <c r="H17" s="658">
        <f t="shared" si="1"/>
        <v>0</v>
      </c>
    </row>
    <row r="18" spans="1:8">
      <c r="A18" s="392">
        <v>3</v>
      </c>
      <c r="B18" s="367" t="s">
        <v>752</v>
      </c>
      <c r="C18" s="660"/>
      <c r="D18" s="660"/>
      <c r="E18" s="658">
        <f t="shared" si="0"/>
        <v>0</v>
      </c>
      <c r="F18" s="352"/>
      <c r="G18" s="352"/>
      <c r="H18" s="658">
        <f t="shared" si="1"/>
        <v>0</v>
      </c>
    </row>
    <row r="19" spans="1:8">
      <c r="A19" s="392">
        <v>4</v>
      </c>
      <c r="B19" s="367" t="s">
        <v>753</v>
      </c>
      <c r="C19" s="660">
        <v>38149284.779999994</v>
      </c>
      <c r="D19" s="660">
        <v>6667378.0500000007</v>
      </c>
      <c r="E19" s="658">
        <f t="shared" si="0"/>
        <v>44816662.829999998</v>
      </c>
      <c r="F19" s="653">
        <v>30490832.460000008</v>
      </c>
      <c r="G19" s="653">
        <v>5412996.6100000069</v>
      </c>
      <c r="H19" s="658">
        <f t="shared" si="1"/>
        <v>35903829.070000015</v>
      </c>
    </row>
    <row r="20" spans="1:8">
      <c r="A20" s="392">
        <v>5</v>
      </c>
      <c r="B20" s="367" t="s">
        <v>754</v>
      </c>
      <c r="C20" s="660">
        <v>-12754828.159999998</v>
      </c>
      <c r="D20" s="660">
        <v>-8950860.2699999977</v>
      </c>
      <c r="E20" s="658">
        <f t="shared" si="0"/>
        <v>-21705688.429999996</v>
      </c>
      <c r="F20" s="653">
        <v>-10742842.739999998</v>
      </c>
      <c r="G20" s="653">
        <v>-6156663.1499999985</v>
      </c>
      <c r="H20" s="658">
        <f t="shared" si="1"/>
        <v>-16899505.889999997</v>
      </c>
    </row>
    <row r="21" spans="1:8" ht="38.549999999999997" customHeight="1">
      <c r="A21" s="392">
        <v>6</v>
      </c>
      <c r="B21" s="367" t="s">
        <v>755</v>
      </c>
      <c r="C21" s="660"/>
      <c r="D21" s="660"/>
      <c r="E21" s="658">
        <f t="shared" si="0"/>
        <v>0</v>
      </c>
      <c r="F21" s="653"/>
      <c r="G21" s="653"/>
      <c r="H21" s="658">
        <f t="shared" si="1"/>
        <v>0</v>
      </c>
    </row>
    <row r="22" spans="1:8" ht="27.45" customHeight="1">
      <c r="A22" s="392">
        <v>7</v>
      </c>
      <c r="B22" s="367" t="s">
        <v>756</v>
      </c>
      <c r="C22" s="660">
        <v>-26282916.48</v>
      </c>
      <c r="D22" s="660"/>
      <c r="E22" s="658">
        <f t="shared" si="0"/>
        <v>-26282916.48</v>
      </c>
      <c r="F22" s="653">
        <v>-10365235</v>
      </c>
      <c r="G22" s="653"/>
      <c r="H22" s="658">
        <f t="shared" si="1"/>
        <v>-10365235</v>
      </c>
    </row>
    <row r="23" spans="1:8" ht="37.049999999999997" customHeight="1">
      <c r="A23" s="392">
        <v>8</v>
      </c>
      <c r="B23" s="368" t="s">
        <v>757</v>
      </c>
      <c r="C23" s="660"/>
      <c r="D23" s="660"/>
      <c r="E23" s="658">
        <f t="shared" si="0"/>
        <v>0</v>
      </c>
      <c r="F23" s="653"/>
      <c r="G23" s="653"/>
      <c r="H23" s="658">
        <f t="shared" si="1"/>
        <v>0</v>
      </c>
    </row>
    <row r="24" spans="1:8" ht="34.5" customHeight="1">
      <c r="A24" s="392">
        <v>9</v>
      </c>
      <c r="B24" s="368" t="s">
        <v>758</v>
      </c>
      <c r="C24" s="660"/>
      <c r="D24" s="660"/>
      <c r="E24" s="658">
        <f t="shared" si="0"/>
        <v>0</v>
      </c>
      <c r="F24" s="653"/>
      <c r="G24" s="653">
        <v>0</v>
      </c>
      <c r="H24" s="658">
        <f t="shared" si="1"/>
        <v>0</v>
      </c>
    </row>
    <row r="25" spans="1:8">
      <c r="A25" s="392">
        <v>10</v>
      </c>
      <c r="B25" s="367" t="s">
        <v>759</v>
      </c>
      <c r="C25" s="660">
        <v>21048681.489999924</v>
      </c>
      <c r="D25" s="660"/>
      <c r="E25" s="658">
        <f t="shared" si="0"/>
        <v>21048681.489999924</v>
      </c>
      <c r="F25" s="653">
        <v>4846539.1399999997</v>
      </c>
      <c r="G25" s="653"/>
      <c r="H25" s="658">
        <f t="shared" si="1"/>
        <v>4846539.1399999997</v>
      </c>
    </row>
    <row r="26" spans="1:8" ht="27" customHeight="1">
      <c r="A26" s="392">
        <v>11</v>
      </c>
      <c r="B26" s="369" t="s">
        <v>760</v>
      </c>
      <c r="C26" s="660">
        <v>130552.38999999996</v>
      </c>
      <c r="D26" s="660">
        <v>0</v>
      </c>
      <c r="E26" s="658">
        <f t="shared" si="0"/>
        <v>130552.38999999996</v>
      </c>
      <c r="F26" s="653">
        <v>15544.129999999997</v>
      </c>
      <c r="G26" s="653"/>
      <c r="H26" s="658">
        <f t="shared" si="1"/>
        <v>15544.129999999997</v>
      </c>
    </row>
    <row r="27" spans="1:8">
      <c r="A27" s="392">
        <v>12</v>
      </c>
      <c r="B27" s="367" t="s">
        <v>761</v>
      </c>
      <c r="C27" s="660">
        <v>1077708.8999999997</v>
      </c>
      <c r="D27" s="660">
        <v>311.21000000000004</v>
      </c>
      <c r="E27" s="658">
        <f t="shared" si="0"/>
        <v>1078020.1099999996</v>
      </c>
      <c r="F27" s="653">
        <v>713885.54999999993</v>
      </c>
      <c r="G27" s="653">
        <v>15023.479999999981</v>
      </c>
      <c r="H27" s="658">
        <f t="shared" si="1"/>
        <v>728909.02999999991</v>
      </c>
    </row>
    <row r="28" spans="1:8">
      <c r="A28" s="392">
        <v>13</v>
      </c>
      <c r="B28" s="370" t="s">
        <v>762</v>
      </c>
      <c r="C28" s="660">
        <v>-14993300.5</v>
      </c>
      <c r="D28" s="660">
        <v>-663022.45000000007</v>
      </c>
      <c r="E28" s="658">
        <f t="shared" si="0"/>
        <v>-15656322.949999999</v>
      </c>
      <c r="F28" s="653">
        <v>-13673322.449999997</v>
      </c>
      <c r="G28" s="653">
        <v>-497535.35000000149</v>
      </c>
      <c r="H28" s="658">
        <f t="shared" si="1"/>
        <v>-14170857.799999999</v>
      </c>
    </row>
    <row r="29" spans="1:8">
      <c r="A29" s="392">
        <v>14</v>
      </c>
      <c r="B29" s="371" t="s">
        <v>763</v>
      </c>
      <c r="C29" s="662">
        <f>SUM(C30:C31)</f>
        <v>-93994835.879999995</v>
      </c>
      <c r="D29" s="662">
        <f>SUM(D30:D31)</f>
        <v>-760139.30999999994</v>
      </c>
      <c r="E29" s="658">
        <f t="shared" si="0"/>
        <v>-94754975.189999998</v>
      </c>
      <c r="F29" s="661">
        <f>SUM(F30:F31)</f>
        <v>-77861672.080000028</v>
      </c>
      <c r="G29" s="661">
        <f>SUM(G30:G31)</f>
        <v>-650914.78999999992</v>
      </c>
      <c r="H29" s="658">
        <f t="shared" si="1"/>
        <v>-78512586.870000035</v>
      </c>
    </row>
    <row r="30" spans="1:8">
      <c r="A30" s="392">
        <v>14.1</v>
      </c>
      <c r="B30" s="347" t="s">
        <v>764</v>
      </c>
      <c r="C30" s="660">
        <v>-89397601.269999996</v>
      </c>
      <c r="D30" s="660">
        <v>-80590.73</v>
      </c>
      <c r="E30" s="658">
        <f t="shared" si="0"/>
        <v>-89478192</v>
      </c>
      <c r="F30" s="653">
        <v>-73971656.880000025</v>
      </c>
      <c r="G30" s="653">
        <v>-95056.85</v>
      </c>
      <c r="H30" s="658">
        <f t="shared" si="1"/>
        <v>-74066713.730000019</v>
      </c>
    </row>
    <row r="31" spans="1:8">
      <c r="A31" s="392">
        <v>14.2</v>
      </c>
      <c r="B31" s="347" t="s">
        <v>765</v>
      </c>
      <c r="C31" s="660">
        <v>-4597234.6099999994</v>
      </c>
      <c r="D31" s="660">
        <v>-679548.58</v>
      </c>
      <c r="E31" s="658">
        <f t="shared" si="0"/>
        <v>-5276783.1899999995</v>
      </c>
      <c r="F31" s="653">
        <v>-3890015.2</v>
      </c>
      <c r="G31" s="653">
        <v>-555857.93999999994</v>
      </c>
      <c r="H31" s="658">
        <f t="shared" si="1"/>
        <v>-4445873.1400000006</v>
      </c>
    </row>
    <row r="32" spans="1:8">
      <c r="A32" s="392">
        <v>15</v>
      </c>
      <c r="B32" s="372" t="s">
        <v>766</v>
      </c>
      <c r="C32" s="660">
        <v>-13043500.049999997</v>
      </c>
      <c r="D32" s="660">
        <v>0</v>
      </c>
      <c r="E32" s="658">
        <f t="shared" si="0"/>
        <v>-13043500.049999997</v>
      </c>
      <c r="F32" s="653">
        <v>-11068145.91</v>
      </c>
      <c r="G32" s="653"/>
      <c r="H32" s="658">
        <f t="shared" si="1"/>
        <v>-11068145.91</v>
      </c>
    </row>
    <row r="33" spans="1:8" ht="22.5" customHeight="1">
      <c r="A33" s="392">
        <v>16</v>
      </c>
      <c r="B33" s="343" t="s">
        <v>767</v>
      </c>
      <c r="C33" s="660"/>
      <c r="D33" s="660"/>
      <c r="E33" s="658">
        <f t="shared" si="0"/>
        <v>0</v>
      </c>
      <c r="F33" s="352"/>
      <c r="G33" s="352"/>
      <c r="H33" s="658">
        <f t="shared" si="1"/>
        <v>0</v>
      </c>
    </row>
    <row r="34" spans="1:8">
      <c r="A34" s="392">
        <v>17</v>
      </c>
      <c r="B34" s="367" t="s">
        <v>768</v>
      </c>
      <c r="C34" s="660">
        <f>SUM(C35:C36)</f>
        <v>-415486.04000000004</v>
      </c>
      <c r="D34" s="660">
        <f>SUM(D35:D36)</f>
        <v>0</v>
      </c>
      <c r="E34" s="658">
        <f t="shared" si="0"/>
        <v>-415486.04000000004</v>
      </c>
      <c r="F34" s="660">
        <f>SUM(F35:F36)</f>
        <v>-991120.42</v>
      </c>
      <c r="G34" s="352">
        <f>SUM(G35:G36)</f>
        <v>0</v>
      </c>
      <c r="H34" s="658">
        <f t="shared" si="1"/>
        <v>-991120.42</v>
      </c>
    </row>
    <row r="35" spans="1:8">
      <c r="A35" s="392">
        <v>17.100000000000001</v>
      </c>
      <c r="B35" s="373" t="s">
        <v>769</v>
      </c>
      <c r="C35" s="660">
        <v>-415486.04000000004</v>
      </c>
      <c r="D35" s="660"/>
      <c r="E35" s="658">
        <f t="shared" si="0"/>
        <v>-415486.04000000004</v>
      </c>
      <c r="F35" s="660">
        <v>-991120.42</v>
      </c>
      <c r="G35" s="352"/>
      <c r="H35" s="658">
        <f>F35+G35</f>
        <v>-991120.42</v>
      </c>
    </row>
    <row r="36" spans="1:8">
      <c r="A36" s="392">
        <v>17.2</v>
      </c>
      <c r="B36" s="347" t="s">
        <v>770</v>
      </c>
      <c r="C36" s="660"/>
      <c r="D36" s="660"/>
      <c r="E36" s="658">
        <f t="shared" si="0"/>
        <v>0</v>
      </c>
      <c r="F36" s="660"/>
      <c r="G36" s="352"/>
      <c r="H36" s="658">
        <f>F36+G36</f>
        <v>0</v>
      </c>
    </row>
    <row r="37" spans="1:8" ht="41.55" customHeight="1">
      <c r="A37" s="392">
        <v>18</v>
      </c>
      <c r="B37" s="374" t="s">
        <v>771</v>
      </c>
      <c r="C37" s="662">
        <f>SUM(C38:C39)</f>
        <v>-42078999.19000183</v>
      </c>
      <c r="D37" s="662">
        <f>SUM(D38:D39)</f>
        <v>-2909226.0114605194</v>
      </c>
      <c r="E37" s="658">
        <f t="shared" si="0"/>
        <v>-44988225.201462351</v>
      </c>
      <c r="F37" s="661">
        <f>SUM(F38:F39)</f>
        <v>-43784512.930001862</v>
      </c>
      <c r="G37" s="661">
        <f>SUM(G38:G39)</f>
        <v>-300746.30999999499</v>
      </c>
      <c r="H37" s="658">
        <f t="shared" si="1"/>
        <v>-44085259.240001857</v>
      </c>
    </row>
    <row r="38" spans="1:8" ht="20.399999999999999">
      <c r="A38" s="392">
        <v>18.100000000000001</v>
      </c>
      <c r="B38" s="356" t="s">
        <v>772</v>
      </c>
      <c r="C38" s="660"/>
      <c r="D38" s="660"/>
      <c r="E38" s="658">
        <f t="shared" si="0"/>
        <v>0</v>
      </c>
      <c r="F38" s="653"/>
      <c r="G38" s="653"/>
      <c r="H38" s="658">
        <f t="shared" si="1"/>
        <v>0</v>
      </c>
    </row>
    <row r="39" spans="1:8">
      <c r="A39" s="392">
        <v>18.2</v>
      </c>
      <c r="B39" s="356" t="s">
        <v>773</v>
      </c>
      <c r="C39" s="660">
        <v>-42078999.19000183</v>
      </c>
      <c r="D39" s="660">
        <v>-2909226.0114605194</v>
      </c>
      <c r="E39" s="658">
        <f t="shared" si="0"/>
        <v>-44988225.201462351</v>
      </c>
      <c r="F39" s="653">
        <v>-43784512.930001862</v>
      </c>
      <c r="G39" s="653">
        <v>-300746.30999999499</v>
      </c>
      <c r="H39" s="658">
        <f t="shared" si="1"/>
        <v>-44085259.240001857</v>
      </c>
    </row>
    <row r="40" spans="1:8" ht="24.45" customHeight="1">
      <c r="A40" s="392">
        <v>19</v>
      </c>
      <c r="B40" s="374" t="s">
        <v>774</v>
      </c>
      <c r="C40" s="660"/>
      <c r="D40" s="660"/>
      <c r="E40" s="658">
        <f t="shared" si="0"/>
        <v>0</v>
      </c>
      <c r="F40" s="653"/>
      <c r="G40" s="653"/>
      <c r="H40" s="658">
        <f t="shared" si="1"/>
        <v>0</v>
      </c>
    </row>
    <row r="41" spans="1:8" ht="25.05" customHeight="1">
      <c r="A41" s="392">
        <v>20</v>
      </c>
      <c r="B41" s="374" t="s">
        <v>775</v>
      </c>
      <c r="C41" s="660">
        <v>-567809.23</v>
      </c>
      <c r="D41" s="660"/>
      <c r="E41" s="658">
        <f t="shared" si="0"/>
        <v>-567809.23</v>
      </c>
      <c r="F41" s="653">
        <v>-32508</v>
      </c>
      <c r="G41" s="653"/>
      <c r="H41" s="658">
        <f t="shared" si="1"/>
        <v>-32508</v>
      </c>
    </row>
    <row r="42" spans="1:8" ht="33" customHeight="1">
      <c r="A42" s="392">
        <v>21</v>
      </c>
      <c r="B42" s="375" t="s">
        <v>776</v>
      </c>
      <c r="C42" s="660"/>
      <c r="D42" s="660"/>
      <c r="E42" s="658">
        <f t="shared" si="0"/>
        <v>0</v>
      </c>
      <c r="F42" s="352"/>
      <c r="G42" s="352"/>
      <c r="H42" s="658">
        <f t="shared" si="1"/>
        <v>0</v>
      </c>
    </row>
    <row r="43" spans="1:8">
      <c r="A43" s="392">
        <v>22</v>
      </c>
      <c r="B43" s="376" t="s">
        <v>777</v>
      </c>
      <c r="C43" s="660">
        <f>SUM(C6,C13,C18,C19,C20,C21,C22,C23,C24,C25,C26,C27,C28,C29,C32,C33,C34,C37,C40,C41,C42)</f>
        <v>62344345.450043656</v>
      </c>
      <c r="D43" s="660">
        <f>SUM(D6,D13,D18,D19,D20,D21,D22,D23,D24,D25,D26,D27,D28,D29,D32,D33,D34,D37,D40,D41,D42)</f>
        <v>-8755092.0514605381</v>
      </c>
      <c r="E43" s="658">
        <f t="shared" si="0"/>
        <v>53589253.398583114</v>
      </c>
      <c r="F43" s="661">
        <f>SUM(F6,F13,F18,F19,F20,F21,F22,F23,F24,F25,F26,F27,F28,F29,F32,F33,F34,F37,F40,F41,F42)</f>
        <v>54373315.419991516</v>
      </c>
      <c r="G43" s="661">
        <f>SUM(G6,G13,G18,G19,G20,G21,G22,G23,G24,G25,G26,G27,G28,G29,G32,G33,G34,G37,G40,G41,G42)</f>
        <v>-3173198.2699999786</v>
      </c>
      <c r="H43" s="658">
        <f t="shared" si="1"/>
        <v>51200117.149991535</v>
      </c>
    </row>
    <row r="44" spans="1:8">
      <c r="A44" s="392">
        <v>23</v>
      </c>
      <c r="B44" s="376" t="s">
        <v>778</v>
      </c>
      <c r="C44" s="660">
        <v>9722508.0300000012</v>
      </c>
      <c r="D44" s="660"/>
      <c r="E44" s="658">
        <f t="shared" si="0"/>
        <v>9722508.0300000012</v>
      </c>
      <c r="F44" s="653">
        <v>10240023.43</v>
      </c>
      <c r="G44" s="352"/>
      <c r="H44" s="658">
        <f t="shared" si="1"/>
        <v>10240023.43</v>
      </c>
    </row>
    <row r="45" spans="1:8">
      <c r="A45" s="392">
        <v>24</v>
      </c>
      <c r="B45" s="376" t="s">
        <v>779</v>
      </c>
      <c r="C45" s="653">
        <f>C43-C44</f>
        <v>52621837.420043655</v>
      </c>
      <c r="D45" s="653">
        <f>D43-D44</f>
        <v>-8755092.0514605381</v>
      </c>
      <c r="E45" s="658">
        <f t="shared" si="0"/>
        <v>43866745.368583113</v>
      </c>
      <c r="F45" s="653">
        <f>F43-F44</f>
        <v>44133291.989991516</v>
      </c>
      <c r="G45" s="653">
        <f>G43-G44</f>
        <v>-3173198.2699999786</v>
      </c>
      <c r="H45" s="658">
        <f>F45+G45</f>
        <v>40960093.719991535</v>
      </c>
    </row>
  </sheetData>
  <mergeCells count="4">
    <mergeCell ref="B4:B5"/>
    <mergeCell ref="C4:E4"/>
    <mergeCell ref="F4:H4"/>
    <mergeCell ref="A4:A5"/>
  </mergeCells>
  <pageMargins left="0.7" right="0.7" top="0.75" bottom="0.75" header="0.3" footer="0.3"/>
  <ignoredErrors>
    <ignoredError sqref="C29:D2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H47"/>
  <sheetViews>
    <sheetView topLeftCell="A25" zoomScale="80" zoomScaleNormal="80" workbookViewId="0">
      <selection activeCell="F39" sqref="F39:G42"/>
    </sheetView>
  </sheetViews>
  <sheetFormatPr defaultRowHeight="14.4"/>
  <cols>
    <col min="1" max="1" width="8.77734375" style="389"/>
    <col min="2" max="2" width="87.6640625" bestFit="1" customWidth="1"/>
    <col min="3" max="3" width="14.44140625" bestFit="1" customWidth="1"/>
    <col min="4" max="5" width="12.77734375" customWidth="1"/>
    <col min="6" max="6" width="14.44140625" bestFit="1" customWidth="1"/>
    <col min="7" max="8" width="12.77734375" customWidth="1"/>
  </cols>
  <sheetData>
    <row r="1" spans="1:8">
      <c r="A1" s="13" t="s">
        <v>97</v>
      </c>
      <c r="B1" s="244" t="str">
        <f>Info!C2</f>
        <v>სს "კრედო ბანკი"</v>
      </c>
      <c r="C1" s="12"/>
      <c r="D1" s="1"/>
      <c r="E1" s="1"/>
      <c r="F1" s="1"/>
      <c r="G1" s="1"/>
    </row>
    <row r="2" spans="1:8">
      <c r="A2" s="13" t="s">
        <v>98</v>
      </c>
      <c r="B2" s="272">
        <f>'1. key ratios'!B2</f>
        <v>46203</v>
      </c>
      <c r="C2" s="12"/>
      <c r="D2" s="1"/>
      <c r="E2" s="1"/>
      <c r="F2" s="1"/>
      <c r="G2" s="1"/>
    </row>
    <row r="3" spans="1:8">
      <c r="A3" s="13"/>
      <c r="B3" s="12"/>
      <c r="C3" s="12"/>
      <c r="D3" s="1"/>
      <c r="E3" s="1"/>
      <c r="F3" s="1"/>
      <c r="G3" s="1"/>
    </row>
    <row r="4" spans="1:8">
      <c r="A4" s="785" t="s">
        <v>25</v>
      </c>
      <c r="B4" s="794" t="s">
        <v>140</v>
      </c>
      <c r="C4" s="795" t="s">
        <v>103</v>
      </c>
      <c r="D4" s="795"/>
      <c r="E4" s="795"/>
      <c r="F4" s="795" t="s">
        <v>104</v>
      </c>
      <c r="G4" s="795"/>
      <c r="H4" s="796"/>
    </row>
    <row r="5" spans="1:8">
      <c r="A5" s="785"/>
      <c r="B5" s="794"/>
      <c r="C5" s="364" t="s">
        <v>26</v>
      </c>
      <c r="D5" s="364" t="s">
        <v>77</v>
      </c>
      <c r="E5" s="364" t="s">
        <v>66</v>
      </c>
      <c r="F5" s="364" t="s">
        <v>26</v>
      </c>
      <c r="G5" s="364" t="s">
        <v>77</v>
      </c>
      <c r="H5" s="377" t="s">
        <v>66</v>
      </c>
    </row>
    <row r="6" spans="1:8">
      <c r="A6" s="378">
        <v>1</v>
      </c>
      <c r="B6" s="382" t="s">
        <v>780</v>
      </c>
      <c r="C6" s="379"/>
      <c r="D6" s="379"/>
      <c r="E6" s="380">
        <f t="shared" ref="E6:E43" si="0">C6+D6</f>
        <v>0</v>
      </c>
      <c r="F6" s="379"/>
      <c r="G6" s="379"/>
      <c r="H6" s="381">
        <f t="shared" ref="H6:H43" si="1">F6+G6</f>
        <v>0</v>
      </c>
    </row>
    <row r="7" spans="1:8">
      <c r="A7" s="378">
        <v>2</v>
      </c>
      <c r="B7" s="382" t="s">
        <v>166</v>
      </c>
      <c r="C7" s="379"/>
      <c r="D7" s="379"/>
      <c r="E7" s="380">
        <f t="shared" si="0"/>
        <v>0</v>
      </c>
      <c r="F7" s="379"/>
      <c r="G7" s="379"/>
      <c r="H7" s="381">
        <f t="shared" si="1"/>
        <v>0</v>
      </c>
    </row>
    <row r="8" spans="1:8">
      <c r="A8" s="378">
        <v>3</v>
      </c>
      <c r="B8" s="382" t="s">
        <v>168</v>
      </c>
      <c r="C8" s="674">
        <f>C9+C10</f>
        <v>1902286261.28</v>
      </c>
      <c r="D8" s="379">
        <f>D9+D10</f>
        <v>0</v>
      </c>
      <c r="E8" s="380">
        <f t="shared" si="0"/>
        <v>1902286261.28</v>
      </c>
      <c r="F8" s="664">
        <f>F9+F10</f>
        <v>1582565738.9199998</v>
      </c>
      <c r="G8" s="664">
        <f>G9+G10</f>
        <v>0</v>
      </c>
      <c r="H8" s="381">
        <f t="shared" si="1"/>
        <v>1582565738.9199998</v>
      </c>
    </row>
    <row r="9" spans="1:8">
      <c r="A9" s="378">
        <v>3.1</v>
      </c>
      <c r="B9" s="383" t="s">
        <v>781</v>
      </c>
      <c r="C9" s="379">
        <v>1902286261.28</v>
      </c>
      <c r="D9" s="379"/>
      <c r="E9" s="380">
        <f t="shared" si="0"/>
        <v>1902286261.28</v>
      </c>
      <c r="F9" s="585">
        <v>1582504946.8</v>
      </c>
      <c r="G9" s="585"/>
      <c r="H9" s="381">
        <f t="shared" si="1"/>
        <v>1582504946.8</v>
      </c>
    </row>
    <row r="10" spans="1:8">
      <c r="A10" s="378">
        <v>3.2</v>
      </c>
      <c r="B10" s="383" t="s">
        <v>782</v>
      </c>
      <c r="C10" s="379"/>
      <c r="D10" s="379"/>
      <c r="E10" s="380">
        <f t="shared" si="0"/>
        <v>0</v>
      </c>
      <c r="F10" s="585">
        <v>60792.12</v>
      </c>
      <c r="G10" s="585"/>
      <c r="H10" s="381">
        <f t="shared" si="1"/>
        <v>60792.12</v>
      </c>
    </row>
    <row r="11" spans="1:8">
      <c r="A11" s="378">
        <v>4</v>
      </c>
      <c r="B11" s="382" t="s">
        <v>167</v>
      </c>
      <c r="C11" s="379"/>
      <c r="D11" s="379"/>
      <c r="E11" s="380">
        <f t="shared" si="0"/>
        <v>0</v>
      </c>
      <c r="F11" s="585">
        <v>0</v>
      </c>
      <c r="G11" s="585">
        <v>0</v>
      </c>
      <c r="H11" s="381">
        <f t="shared" si="1"/>
        <v>0</v>
      </c>
    </row>
    <row r="12" spans="1:8">
      <c r="A12" s="378">
        <v>4.0999999999999996</v>
      </c>
      <c r="B12" s="383" t="s">
        <v>783</v>
      </c>
      <c r="C12" s="379"/>
      <c r="D12" s="379"/>
      <c r="E12" s="380">
        <f t="shared" si="0"/>
        <v>0</v>
      </c>
      <c r="F12" s="585"/>
      <c r="G12" s="585"/>
      <c r="H12" s="381">
        <f t="shared" si="1"/>
        <v>0</v>
      </c>
    </row>
    <row r="13" spans="1:8">
      <c r="A13" s="378">
        <v>4.2</v>
      </c>
      <c r="B13" s="383" t="s">
        <v>784</v>
      </c>
      <c r="C13" s="379"/>
      <c r="D13" s="379"/>
      <c r="E13" s="380">
        <f t="shared" si="0"/>
        <v>0</v>
      </c>
      <c r="F13" s="585"/>
      <c r="G13" s="585"/>
      <c r="H13" s="381">
        <f t="shared" si="1"/>
        <v>0</v>
      </c>
    </row>
    <row r="14" spans="1:8">
      <c r="A14" s="378">
        <v>5</v>
      </c>
      <c r="B14" s="384" t="s">
        <v>785</v>
      </c>
      <c r="C14" s="674">
        <f>C15+C16+C17+C23+C24+C25+C26</f>
        <v>3034931999.6999993</v>
      </c>
      <c r="D14" s="674">
        <f>D15+D16+D17+D23+D24+D25+D26</f>
        <v>1851710</v>
      </c>
      <c r="E14" s="380">
        <f t="shared" si="0"/>
        <v>3036783709.6999993</v>
      </c>
      <c r="F14" s="664">
        <f>F15+F16+F17+F23+F24+F25+F26</f>
        <v>2282252809.4699998</v>
      </c>
      <c r="G14" s="664">
        <f>G15+G16+G17+G23+G24+G25+G26</f>
        <v>1906520</v>
      </c>
      <c r="H14" s="381">
        <f t="shared" si="1"/>
        <v>2284159329.4699998</v>
      </c>
    </row>
    <row r="15" spans="1:8">
      <c r="A15" s="378">
        <v>5.0999999999999996</v>
      </c>
      <c r="B15" s="385" t="s">
        <v>786</v>
      </c>
      <c r="C15" s="379">
        <v>2910636.35</v>
      </c>
      <c r="D15" s="379">
        <v>1851710</v>
      </c>
      <c r="E15" s="380">
        <f t="shared" si="0"/>
        <v>4762346.3499999996</v>
      </c>
      <c r="F15" s="585">
        <v>21781952.879999999</v>
      </c>
      <c r="G15" s="585">
        <v>1906520</v>
      </c>
      <c r="H15" s="381">
        <f t="shared" si="1"/>
        <v>23688472.879999999</v>
      </c>
    </row>
    <row r="16" spans="1:8">
      <c r="A16" s="378">
        <v>5.2</v>
      </c>
      <c r="B16" s="385" t="s">
        <v>787</v>
      </c>
      <c r="C16" s="379">
        <v>2027.79</v>
      </c>
      <c r="D16" s="379">
        <v>0</v>
      </c>
      <c r="E16" s="380">
        <f t="shared" si="0"/>
        <v>2027.79</v>
      </c>
      <c r="F16" s="585">
        <v>2028</v>
      </c>
      <c r="G16" s="585"/>
      <c r="H16" s="381">
        <f t="shared" si="1"/>
        <v>2028</v>
      </c>
    </row>
    <row r="17" spans="1:8">
      <c r="A17" s="378">
        <v>5.3</v>
      </c>
      <c r="B17" s="385" t="s">
        <v>788</v>
      </c>
      <c r="C17" s="674">
        <f>C18+C19+C20+C21+C22</f>
        <v>2622477723.5799994</v>
      </c>
      <c r="D17" s="674">
        <f>D18+D19+D20+D21+D22</f>
        <v>0</v>
      </c>
      <c r="E17" s="380">
        <f t="shared" si="0"/>
        <v>2622477723.5799994</v>
      </c>
      <c r="F17" s="664">
        <f>F18+F19+F20+F21+F22</f>
        <v>1992726309.1799998</v>
      </c>
      <c r="G17" s="664">
        <v>0</v>
      </c>
      <c r="H17" s="381">
        <f t="shared" si="1"/>
        <v>1992726309.1799998</v>
      </c>
    </row>
    <row r="18" spans="1:8">
      <c r="A18" s="378" t="s">
        <v>169</v>
      </c>
      <c r="B18" s="386" t="s">
        <v>789</v>
      </c>
      <c r="C18" s="379">
        <v>1833401475.0799999</v>
      </c>
      <c r="D18" s="379"/>
      <c r="E18" s="380">
        <f t="shared" si="0"/>
        <v>1833401475.0799999</v>
      </c>
      <c r="F18" s="585">
        <v>1432137045.8</v>
      </c>
      <c r="G18" s="585"/>
      <c r="H18" s="381">
        <f t="shared" si="1"/>
        <v>1432137045.8</v>
      </c>
    </row>
    <row r="19" spans="1:8">
      <c r="A19" s="378" t="s">
        <v>170</v>
      </c>
      <c r="B19" s="387" t="s">
        <v>790</v>
      </c>
      <c r="C19" s="379">
        <v>341726159.85000002</v>
      </c>
      <c r="D19" s="379"/>
      <c r="E19" s="380">
        <f t="shared" si="0"/>
        <v>341726159.85000002</v>
      </c>
      <c r="F19" s="585">
        <v>240567750.27000001</v>
      </c>
      <c r="G19" s="585"/>
      <c r="H19" s="381">
        <f t="shared" si="1"/>
        <v>240567750.27000001</v>
      </c>
    </row>
    <row r="20" spans="1:8">
      <c r="A20" s="378" t="s">
        <v>171</v>
      </c>
      <c r="B20" s="387" t="s">
        <v>791</v>
      </c>
      <c r="C20" s="379">
        <v>0</v>
      </c>
      <c r="D20" s="379"/>
      <c r="E20" s="380">
        <f t="shared" si="0"/>
        <v>0</v>
      </c>
      <c r="F20" s="585"/>
      <c r="G20" s="585"/>
      <c r="H20" s="381">
        <f t="shared" si="1"/>
        <v>0</v>
      </c>
    </row>
    <row r="21" spans="1:8">
      <c r="A21" s="378" t="s">
        <v>172</v>
      </c>
      <c r="B21" s="387" t="s">
        <v>792</v>
      </c>
      <c r="C21" s="379">
        <v>444398164.66000003</v>
      </c>
      <c r="D21" s="379"/>
      <c r="E21" s="380">
        <f t="shared" si="0"/>
        <v>444398164.66000003</v>
      </c>
      <c r="F21" s="585">
        <v>316136079</v>
      </c>
      <c r="G21" s="585"/>
      <c r="H21" s="381">
        <f t="shared" si="1"/>
        <v>316136079</v>
      </c>
    </row>
    <row r="22" spans="1:8">
      <c r="A22" s="378" t="s">
        <v>173</v>
      </c>
      <c r="B22" s="387" t="s">
        <v>510</v>
      </c>
      <c r="C22" s="379">
        <v>2951923.99</v>
      </c>
      <c r="D22" s="379"/>
      <c r="E22" s="380">
        <f t="shared" si="0"/>
        <v>2951923.99</v>
      </c>
      <c r="F22" s="585">
        <v>3885434.11</v>
      </c>
      <c r="G22" s="585"/>
      <c r="H22" s="381">
        <f t="shared" si="1"/>
        <v>3885434.11</v>
      </c>
    </row>
    <row r="23" spans="1:8">
      <c r="A23" s="378">
        <v>5.4</v>
      </c>
      <c r="B23" s="385" t="s">
        <v>793</v>
      </c>
      <c r="C23" s="379">
        <v>409541611.98000002</v>
      </c>
      <c r="D23" s="379"/>
      <c r="E23" s="380">
        <f t="shared" si="0"/>
        <v>409541611.98000002</v>
      </c>
      <c r="F23" s="585">
        <v>267742519.41</v>
      </c>
      <c r="G23" s="585"/>
      <c r="H23" s="381">
        <f t="shared" si="1"/>
        <v>267742519.41</v>
      </c>
    </row>
    <row r="24" spans="1:8">
      <c r="A24" s="378">
        <v>5.5</v>
      </c>
      <c r="B24" s="385" t="s">
        <v>794</v>
      </c>
      <c r="C24" s="379"/>
      <c r="D24" s="379"/>
      <c r="E24" s="380">
        <f t="shared" si="0"/>
        <v>0</v>
      </c>
      <c r="F24" s="585"/>
      <c r="G24" s="585"/>
      <c r="H24" s="381">
        <f t="shared" si="1"/>
        <v>0</v>
      </c>
    </row>
    <row r="25" spans="1:8">
      <c r="A25" s="378">
        <v>5.6</v>
      </c>
      <c r="B25" s="385" t="s">
        <v>795</v>
      </c>
      <c r="C25" s="379"/>
      <c r="D25" s="379"/>
      <c r="E25" s="380">
        <f t="shared" si="0"/>
        <v>0</v>
      </c>
      <c r="F25" s="585"/>
      <c r="G25" s="585"/>
      <c r="H25" s="381">
        <f t="shared" si="1"/>
        <v>0</v>
      </c>
    </row>
    <row r="26" spans="1:8">
      <c r="A26" s="378">
        <v>5.7</v>
      </c>
      <c r="B26" s="385" t="s">
        <v>510</v>
      </c>
      <c r="C26" s="379"/>
      <c r="D26" s="379"/>
      <c r="E26" s="380">
        <f t="shared" si="0"/>
        <v>0</v>
      </c>
      <c r="F26" s="585"/>
      <c r="G26" s="585"/>
      <c r="H26" s="381">
        <f t="shared" si="1"/>
        <v>0</v>
      </c>
    </row>
    <row r="27" spans="1:8">
      <c r="A27" s="378">
        <v>6</v>
      </c>
      <c r="B27" s="384" t="s">
        <v>796</v>
      </c>
      <c r="C27" s="379">
        <v>477948140.21999997</v>
      </c>
      <c r="D27" s="379">
        <v>32057690.539999999</v>
      </c>
      <c r="E27" s="380">
        <f t="shared" si="0"/>
        <v>510005830.75999999</v>
      </c>
      <c r="F27" s="585">
        <v>347959268</v>
      </c>
      <c r="G27" s="585">
        <v>33248909</v>
      </c>
      <c r="H27" s="381">
        <f t="shared" si="1"/>
        <v>381208177</v>
      </c>
    </row>
    <row r="28" spans="1:8">
      <c r="A28" s="378">
        <v>7</v>
      </c>
      <c r="B28" s="384" t="s">
        <v>797</v>
      </c>
      <c r="C28" s="379">
        <v>2842013.15</v>
      </c>
      <c r="D28" s="379">
        <v>0</v>
      </c>
      <c r="E28" s="380">
        <f t="shared" si="0"/>
        <v>2842013.15</v>
      </c>
      <c r="F28" s="585">
        <v>2298081</v>
      </c>
      <c r="G28" s="585"/>
      <c r="H28" s="381">
        <f t="shared" si="1"/>
        <v>2298081</v>
      </c>
    </row>
    <row r="29" spans="1:8">
      <c r="A29" s="378">
        <v>8</v>
      </c>
      <c r="B29" s="384" t="s">
        <v>798</v>
      </c>
      <c r="C29" s="379"/>
      <c r="D29" s="379"/>
      <c r="E29" s="380">
        <f t="shared" si="0"/>
        <v>0</v>
      </c>
      <c r="F29" s="585"/>
      <c r="G29" s="585"/>
      <c r="H29" s="381">
        <f t="shared" si="1"/>
        <v>0</v>
      </c>
    </row>
    <row r="30" spans="1:8">
      <c r="A30" s="378">
        <v>9</v>
      </c>
      <c r="B30" s="382" t="s">
        <v>174</v>
      </c>
      <c r="C30" s="674">
        <f>C31+C32+C33+C34+C35+C36+C37</f>
        <v>407832483.5</v>
      </c>
      <c r="D30" s="674">
        <f>D31+D32+D33+D34+D35+D36+D37</f>
        <v>5899079.2000000002</v>
      </c>
      <c r="E30" s="380">
        <f t="shared" si="0"/>
        <v>413731562.69999999</v>
      </c>
      <c r="F30" s="585">
        <f>F31+F32+F33+F34+F35+F36+F37</f>
        <v>405062133.5</v>
      </c>
      <c r="G30" s="585">
        <f>G31+G32+G33+G34+G35+G36+G37</f>
        <v>5659470</v>
      </c>
      <c r="H30" s="381">
        <f t="shared" si="1"/>
        <v>410721603.5</v>
      </c>
    </row>
    <row r="31" spans="1:8" ht="27.6">
      <c r="A31" s="378">
        <v>9.1</v>
      </c>
      <c r="B31" s="383" t="s">
        <v>799</v>
      </c>
      <c r="C31" s="379"/>
      <c r="D31" s="675"/>
      <c r="E31" s="380">
        <f t="shared" si="0"/>
        <v>0</v>
      </c>
      <c r="F31" s="585"/>
      <c r="G31" s="585"/>
      <c r="H31" s="665">
        <f t="shared" si="1"/>
        <v>0</v>
      </c>
    </row>
    <row r="32" spans="1:8" ht="27.6">
      <c r="A32" s="378">
        <v>9.1999999999999993</v>
      </c>
      <c r="B32" s="383" t="s">
        <v>800</v>
      </c>
      <c r="C32" s="379">
        <v>407832483.5</v>
      </c>
      <c r="D32" s="379">
        <v>5899079.2000000002</v>
      </c>
      <c r="E32" s="380">
        <f t="shared" si="0"/>
        <v>413731562.69999999</v>
      </c>
      <c r="F32" s="585">
        <v>405062133.5</v>
      </c>
      <c r="G32" s="585">
        <v>5659470</v>
      </c>
      <c r="H32" s="665">
        <f t="shared" si="1"/>
        <v>410721603.5</v>
      </c>
    </row>
    <row r="33" spans="1:8" ht="27.6">
      <c r="A33" s="378">
        <v>9.3000000000000007</v>
      </c>
      <c r="B33" s="383" t="s">
        <v>801</v>
      </c>
      <c r="C33" s="379"/>
      <c r="D33" s="379"/>
      <c r="E33" s="380">
        <f t="shared" si="0"/>
        <v>0</v>
      </c>
      <c r="F33" s="585"/>
      <c r="G33" s="585"/>
      <c r="H33" s="665">
        <f t="shared" si="1"/>
        <v>0</v>
      </c>
    </row>
    <row r="34" spans="1:8">
      <c r="A34" s="378">
        <v>9.4</v>
      </c>
      <c r="B34" s="383" t="s">
        <v>802</v>
      </c>
      <c r="C34" s="379"/>
      <c r="D34" s="379"/>
      <c r="E34" s="380">
        <f t="shared" si="0"/>
        <v>0</v>
      </c>
      <c r="F34" s="585"/>
      <c r="G34" s="585"/>
      <c r="H34" s="665">
        <f t="shared" si="1"/>
        <v>0</v>
      </c>
    </row>
    <row r="35" spans="1:8">
      <c r="A35" s="378">
        <v>9.5</v>
      </c>
      <c r="B35" s="383" t="s">
        <v>803</v>
      </c>
      <c r="C35" s="379"/>
      <c r="D35" s="379"/>
      <c r="E35" s="380">
        <f t="shared" si="0"/>
        <v>0</v>
      </c>
      <c r="F35" s="585"/>
      <c r="G35" s="585"/>
      <c r="H35" s="665">
        <f t="shared" si="1"/>
        <v>0</v>
      </c>
    </row>
    <row r="36" spans="1:8" ht="27.6">
      <c r="A36" s="378">
        <v>9.6</v>
      </c>
      <c r="B36" s="383" t="s">
        <v>804</v>
      </c>
      <c r="C36" s="379"/>
      <c r="D36" s="379"/>
      <c r="E36" s="380">
        <f t="shared" si="0"/>
        <v>0</v>
      </c>
      <c r="F36" s="585"/>
      <c r="G36" s="585"/>
      <c r="H36" s="665">
        <f t="shared" si="1"/>
        <v>0</v>
      </c>
    </row>
    <row r="37" spans="1:8" ht="27.6">
      <c r="A37" s="378">
        <v>9.6999999999999993</v>
      </c>
      <c r="B37" s="383" t="s">
        <v>805</v>
      </c>
      <c r="C37" s="379"/>
      <c r="D37" s="379"/>
      <c r="E37" s="380">
        <f t="shared" si="0"/>
        <v>0</v>
      </c>
      <c r="F37" s="585"/>
      <c r="G37" s="585"/>
      <c r="H37" s="665">
        <f t="shared" si="1"/>
        <v>0</v>
      </c>
    </row>
    <row r="38" spans="1:8">
      <c r="A38" s="378">
        <v>10</v>
      </c>
      <c r="B38" s="384" t="s">
        <v>806</v>
      </c>
      <c r="C38" s="664">
        <f>C41+C42</f>
        <v>348297305.59999985</v>
      </c>
      <c r="D38" s="664">
        <f>D41+D42</f>
        <v>7711625.7931949999</v>
      </c>
      <c r="E38" s="380">
        <f t="shared" si="0"/>
        <v>356008931.39319485</v>
      </c>
      <c r="F38" s="664">
        <f>F41+F42</f>
        <v>299022017.65999997</v>
      </c>
      <c r="G38" s="664">
        <f>G41+G42</f>
        <v>4794699.4303619992</v>
      </c>
      <c r="H38" s="665">
        <f t="shared" si="1"/>
        <v>303816717.09036195</v>
      </c>
    </row>
    <row r="39" spans="1:8">
      <c r="A39" s="378">
        <v>10.1</v>
      </c>
      <c r="B39" s="383" t="s">
        <v>807</v>
      </c>
      <c r="C39" s="379">
        <v>11359021.2899999</v>
      </c>
      <c r="D39" s="379">
        <v>0</v>
      </c>
      <c r="E39" s="380">
        <f t="shared" si="0"/>
        <v>11359021.2899999</v>
      </c>
      <c r="F39" s="585">
        <v>11902338.150000002</v>
      </c>
      <c r="G39" s="585">
        <v>76894.472775999995</v>
      </c>
      <c r="H39" s="665">
        <f t="shared" si="1"/>
        <v>11979232.622776002</v>
      </c>
    </row>
    <row r="40" spans="1:8" ht="27.6">
      <c r="A40" s="378">
        <v>10.199999999999999</v>
      </c>
      <c r="B40" s="383" t="s">
        <v>808</v>
      </c>
      <c r="C40" s="379">
        <v>7186455.8899999801</v>
      </c>
      <c r="D40" s="379">
        <v>24211</v>
      </c>
      <c r="E40" s="380">
        <f t="shared" si="0"/>
        <v>7210666.8899999801</v>
      </c>
      <c r="F40" s="585">
        <v>7546418</v>
      </c>
      <c r="G40" s="585">
        <v>70814</v>
      </c>
      <c r="H40" s="665">
        <f t="shared" si="1"/>
        <v>7617232</v>
      </c>
    </row>
    <row r="41" spans="1:8" ht="27.6">
      <c r="A41" s="378">
        <v>10.3</v>
      </c>
      <c r="B41" s="383" t="s">
        <v>809</v>
      </c>
      <c r="C41" s="379">
        <v>214500395.43999991</v>
      </c>
      <c r="D41" s="379">
        <v>5594186.3596369997</v>
      </c>
      <c r="E41" s="380">
        <f t="shared" si="0"/>
        <v>220094581.7996369</v>
      </c>
      <c r="F41" s="585">
        <v>183118705.97</v>
      </c>
      <c r="G41" s="585">
        <v>3179188.4640949997</v>
      </c>
      <c r="H41" s="665">
        <f t="shared" si="1"/>
        <v>186297894.434095</v>
      </c>
    </row>
    <row r="42" spans="1:8" ht="27.6">
      <c r="A42" s="378">
        <v>10.4</v>
      </c>
      <c r="B42" s="383" t="s">
        <v>810</v>
      </c>
      <c r="C42" s="379">
        <v>133796910.15999995</v>
      </c>
      <c r="D42" s="379">
        <v>2117439.4335579998</v>
      </c>
      <c r="E42" s="380">
        <f t="shared" si="0"/>
        <v>135914349.59355795</v>
      </c>
      <c r="F42" s="585">
        <v>115903311.68999994</v>
      </c>
      <c r="G42" s="585">
        <v>1615510.966267</v>
      </c>
      <c r="H42" s="665">
        <f t="shared" si="1"/>
        <v>117518822.65626694</v>
      </c>
    </row>
    <row r="43" spans="1:8">
      <c r="A43" s="378">
        <v>11</v>
      </c>
      <c r="B43" s="388" t="s">
        <v>175</v>
      </c>
      <c r="C43" s="379"/>
      <c r="D43" s="379"/>
      <c r="E43" s="380">
        <f t="shared" si="0"/>
        <v>0</v>
      </c>
      <c r="F43" s="585"/>
      <c r="G43" s="585"/>
      <c r="H43" s="381">
        <f t="shared" si="1"/>
        <v>0</v>
      </c>
    </row>
    <row r="44" spans="1:8">
      <c r="C44" s="390"/>
      <c r="D44" s="390"/>
      <c r="E44" s="390"/>
      <c r="F44" s="390"/>
      <c r="G44" s="390"/>
      <c r="H44" s="390"/>
    </row>
    <row r="45" spans="1:8">
      <c r="C45" s="390"/>
      <c r="D45" s="390"/>
      <c r="E45" s="390"/>
      <c r="F45" s="390"/>
      <c r="G45" s="390"/>
      <c r="H45" s="390"/>
    </row>
    <row r="46" spans="1:8">
      <c r="C46" s="390"/>
      <c r="D46" s="390"/>
      <c r="E46" s="390"/>
      <c r="F46" s="390"/>
      <c r="G46" s="390"/>
      <c r="H46" s="390"/>
    </row>
    <row r="47" spans="1:8">
      <c r="C47" s="390"/>
      <c r="D47" s="390"/>
      <c r="E47" s="390"/>
      <c r="F47" s="390"/>
      <c r="G47" s="390"/>
      <c r="H47" s="390"/>
    </row>
  </sheetData>
  <mergeCells count="4">
    <mergeCell ref="A4:A5"/>
    <mergeCell ref="B4:B5"/>
    <mergeCell ref="C4:E4"/>
    <mergeCell ref="F4:H4"/>
  </mergeCells>
  <pageMargins left="0.7" right="0.7" top="0.75" bottom="0.75" header="0.3" footer="0.3"/>
  <pageSetup orientation="portrait" horizontalDpi="30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G18"/>
  <sheetViews>
    <sheetView zoomScale="80" zoomScaleNormal="80" workbookViewId="0">
      <pane xSplit="1" ySplit="4" topLeftCell="B5" activePane="bottomRight" state="frozen"/>
      <selection activeCell="L18" sqref="L18"/>
      <selection pane="topRight" activeCell="L18" sqref="L18"/>
      <selection pane="bottomLeft" activeCell="L18" sqref="L18"/>
      <selection pane="bottomRight" activeCell="C7" sqref="C7:C12"/>
    </sheetView>
  </sheetViews>
  <sheetFormatPr defaultColWidth="9.21875" defaultRowHeight="13.8"/>
  <cols>
    <col min="1" max="1" width="9.5546875" style="1" bestFit="1" customWidth="1"/>
    <col min="2" max="2" width="93.5546875" style="1" customWidth="1"/>
    <col min="3" max="4" width="12.77734375" style="1" customWidth="1"/>
    <col min="5" max="7" width="12.33203125" style="8" bestFit="1" customWidth="1"/>
    <col min="8" max="11" width="9.77734375" style="8" customWidth="1"/>
    <col min="12" max="16384" width="9.21875" style="8"/>
  </cols>
  <sheetData>
    <row r="1" spans="1:7">
      <c r="A1" s="13" t="s">
        <v>97</v>
      </c>
      <c r="B1" s="12" t="str">
        <f>Info!C2</f>
        <v>სს "კრედო ბანკი"</v>
      </c>
      <c r="C1" s="12"/>
    </row>
    <row r="2" spans="1:7">
      <c r="A2" s="13" t="s">
        <v>98</v>
      </c>
      <c r="B2" s="272">
        <f>'1. key ratios'!B2</f>
        <v>46203</v>
      </c>
      <c r="C2" s="12"/>
    </row>
    <row r="3" spans="1:7">
      <c r="A3" s="13"/>
      <c r="B3" s="12"/>
      <c r="C3" s="12"/>
    </row>
    <row r="4" spans="1:7" ht="15" customHeight="1" thickBot="1">
      <c r="A4" s="117" t="s">
        <v>242</v>
      </c>
      <c r="B4" s="118" t="s">
        <v>96</v>
      </c>
      <c r="C4" s="119" t="s">
        <v>76</v>
      </c>
    </row>
    <row r="5" spans="1:7" ht="15" customHeight="1">
      <c r="A5" s="115" t="s">
        <v>25</v>
      </c>
      <c r="B5" s="116"/>
      <c r="C5" s="261" t="str">
        <f>INT((MONTH($B$2))/3)&amp;"Q"&amp;"-"&amp;YEAR($B$2)</f>
        <v>2Q-2026</v>
      </c>
      <c r="D5" s="261" t="str">
        <f>IF(INT(MONTH($B$2))=3, "4"&amp;"Q"&amp;"-"&amp;YEAR($B$2)-1, IF(INT(MONTH($B$2))=6, "1"&amp;"Q"&amp;"-"&amp;YEAR($B$2), IF(INT(MONTH($B$2))=9, "2"&amp;"Q"&amp;"-"&amp;YEAR($B$2),IF(INT(MONTH($B$2))=12, "3"&amp;"Q"&amp;"-"&amp;YEAR($B$2), 0))))</f>
        <v>1Q-2026</v>
      </c>
      <c r="E5" s="261" t="str">
        <f>IF(INT(MONTH($B$2))=3, "3"&amp;"Q"&amp;"-"&amp;YEAR($B$2)-1, IF(INT(MONTH($B$2))=6, "4"&amp;"Q"&amp;"-"&amp;YEAR($B$2)-1, IF(INT(MONTH($B$2))=9, "1"&amp;"Q"&amp;"-"&amp;YEAR($B$2),IF(INT(MONTH($B$2))=12, "2"&amp;"Q"&amp;"-"&amp;YEAR($B$2), 0))))</f>
        <v>4Q-2025</v>
      </c>
      <c r="F5" s="261" t="str">
        <f>IF(INT(MONTH($B$2))=3, "2"&amp;"Q"&amp;"-"&amp;YEAR($B$2)-1, IF(INT(MONTH($B$2))=6, "3"&amp;"Q"&amp;"-"&amp;YEAR($B$2)-1, IF(INT(MONTH($B$2))=9, "4"&amp;"Q"&amp;"-"&amp;YEAR($B$2)-1,IF(INT(MONTH($B$2))=12, "1"&amp;"Q"&amp;"-"&amp;YEAR($B$2), 0))))</f>
        <v>3Q-2025</v>
      </c>
      <c r="G5" s="261" t="str">
        <f>IF(INT(MONTH($B$2))=3, "1"&amp;"Q"&amp;"-"&amp;YEAR($B$2)-1, IF(INT(MONTH($B$2))=6, "2"&amp;"Q"&amp;"-"&amp;YEAR($B$2)-1, IF(INT(MONTH($B$2))=9, "3"&amp;"Q"&amp;"-"&amp;YEAR($B$2)-1,IF(INT(MONTH($B$2))=12, "4"&amp;"Q"&amp;"-"&amp;YEAR($B$2)-1, 0))))</f>
        <v>2Q-2025</v>
      </c>
    </row>
    <row r="6" spans="1:7" ht="15" customHeight="1">
      <c r="A6" s="223">
        <v>1</v>
      </c>
      <c r="B6" s="250" t="s">
        <v>101</v>
      </c>
      <c r="C6" s="224">
        <f>C7+C9+C10</f>
        <v>2838211053.5082822</v>
      </c>
      <c r="D6" s="252">
        <f>D7+D9+D10</f>
        <v>2693325146.8211217</v>
      </c>
      <c r="E6" s="225">
        <f t="shared" ref="E6:G6" si="0">E7+E9+E10</f>
        <v>2598315328.7061133</v>
      </c>
      <c r="F6" s="224">
        <f t="shared" si="0"/>
        <v>2425903959.9770231</v>
      </c>
      <c r="G6" s="253">
        <f t="shared" si="0"/>
        <v>2279557645.9717302</v>
      </c>
    </row>
    <row r="7" spans="1:7" ht="15" customHeight="1">
      <c r="A7" s="223">
        <v>1.1000000000000001</v>
      </c>
      <c r="B7" s="226" t="s">
        <v>994</v>
      </c>
      <c r="C7" s="227">
        <v>2732407123.3738456</v>
      </c>
      <c r="D7" s="666">
        <v>2594992179.0188866</v>
      </c>
      <c r="E7" s="667">
        <v>2501584077.4811134</v>
      </c>
      <c r="F7" s="666">
        <v>2336499078.746449</v>
      </c>
      <c r="G7" s="666">
        <v>2198265315.321897</v>
      </c>
    </row>
    <row r="8" spans="1:7" ht="27.6">
      <c r="A8" s="223" t="s">
        <v>146</v>
      </c>
      <c r="B8" s="228" t="s">
        <v>239</v>
      </c>
      <c r="C8" s="227">
        <v>3709467.2800000003</v>
      </c>
      <c r="D8" s="666">
        <v>3589432.99</v>
      </c>
      <c r="E8" s="667">
        <v>3721085.11</v>
      </c>
      <c r="F8" s="666">
        <v>1991498.97</v>
      </c>
      <c r="G8" s="666">
        <v>2202413.5</v>
      </c>
    </row>
    <row r="9" spans="1:7" ht="15" customHeight="1">
      <c r="A9" s="223">
        <v>1.2</v>
      </c>
      <c r="B9" s="226" t="s">
        <v>21</v>
      </c>
      <c r="C9" s="227">
        <v>105103318.13443646</v>
      </c>
      <c r="D9" s="666">
        <v>97106679.802235067</v>
      </c>
      <c r="E9" s="667">
        <v>94203247.224999994</v>
      </c>
      <c r="F9" s="666">
        <v>86362246.617500007</v>
      </c>
      <c r="G9" s="666">
        <v>77574328.375</v>
      </c>
    </row>
    <row r="10" spans="1:7" ht="15" customHeight="1">
      <c r="A10" s="223">
        <v>1.3</v>
      </c>
      <c r="B10" s="251" t="s">
        <v>73</v>
      </c>
      <c r="C10" s="227">
        <v>700612</v>
      </c>
      <c r="D10" s="666">
        <v>1226288</v>
      </c>
      <c r="E10" s="667">
        <v>2528004</v>
      </c>
      <c r="F10" s="666">
        <v>3042634.6130742901</v>
      </c>
      <c r="G10" s="666">
        <v>3718002.2748331837</v>
      </c>
    </row>
    <row r="11" spans="1:7" ht="15" customHeight="1">
      <c r="A11" s="223">
        <v>2</v>
      </c>
      <c r="B11" s="250" t="s">
        <v>102</v>
      </c>
      <c r="C11" s="227">
        <v>1667380</v>
      </c>
      <c r="D11" s="666">
        <v>1610437</v>
      </c>
      <c r="E11" s="667">
        <v>2126077</v>
      </c>
      <c r="F11" s="666">
        <v>3455625.7996334741</v>
      </c>
      <c r="G11" s="666">
        <v>2452100</v>
      </c>
    </row>
    <row r="12" spans="1:7" ht="15" customHeight="1">
      <c r="A12" s="223">
        <v>3</v>
      </c>
      <c r="B12" s="250" t="s">
        <v>100</v>
      </c>
      <c r="C12" s="227">
        <v>656665234.50636363</v>
      </c>
      <c r="D12" s="666">
        <v>656876651</v>
      </c>
      <c r="E12" s="667">
        <v>656876651.11259413</v>
      </c>
      <c r="F12" s="666">
        <v>559691583.66043723</v>
      </c>
      <c r="G12" s="666">
        <v>559691583.66043723</v>
      </c>
    </row>
    <row r="13" spans="1:7" ht="15" customHeight="1" thickBot="1">
      <c r="A13" s="62">
        <v>4</v>
      </c>
      <c r="B13" s="256" t="s">
        <v>147</v>
      </c>
      <c r="C13" s="137">
        <f>C6+C11+C12</f>
        <v>3496543668.0146456</v>
      </c>
      <c r="D13" s="254">
        <f>D6+D11+D12</f>
        <v>3351812234.8211217</v>
      </c>
      <c r="E13" s="138">
        <f t="shared" ref="E13:G13" si="1">E6+E11+E12</f>
        <v>3257318056.8187075</v>
      </c>
      <c r="F13" s="137">
        <f t="shared" si="1"/>
        <v>2989051169.4370937</v>
      </c>
      <c r="G13" s="255">
        <f t="shared" si="1"/>
        <v>2841701329.6321673</v>
      </c>
    </row>
    <row r="14" spans="1:7">
      <c r="B14" s="17"/>
    </row>
    <row r="15" spans="1:7">
      <c r="B15" s="17"/>
    </row>
    <row r="16" spans="1:7">
      <c r="B16" s="17"/>
    </row>
    <row r="17" spans="2:2">
      <c r="B17" s="17"/>
    </row>
    <row r="18" spans="2:2">
      <c r="B18" s="1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34"/>
  <sheetViews>
    <sheetView showGridLines="0" zoomScale="80" zoomScaleNormal="80" workbookViewId="0">
      <pane xSplit="1" ySplit="4" topLeftCell="B20" activePane="bottomRight" state="frozen"/>
      <selection pane="topRight" activeCell="B1" sqref="B1"/>
      <selection pane="bottomLeft" activeCell="A4" sqref="A4"/>
      <selection pane="bottomRight" activeCell="E34" sqref="E34"/>
    </sheetView>
  </sheetViews>
  <sheetFormatPr defaultRowHeight="14.4"/>
  <cols>
    <col min="1" max="1" width="9.5546875" style="1" bestFit="1" customWidth="1"/>
    <col min="2" max="2" width="58.77734375" style="1" customWidth="1"/>
    <col min="3" max="3" width="40.21875" style="1" bestFit="1" customWidth="1"/>
  </cols>
  <sheetData>
    <row r="1" spans="1:3">
      <c r="A1" s="1" t="s">
        <v>97</v>
      </c>
      <c r="B1" s="1" t="str">
        <f>Info!C2</f>
        <v>სს "კრედო ბანკი"</v>
      </c>
    </row>
    <row r="2" spans="1:3">
      <c r="A2" s="1" t="s">
        <v>98</v>
      </c>
      <c r="B2" s="272">
        <f>'1. key ratios'!B2</f>
        <v>46203</v>
      </c>
    </row>
    <row r="4" spans="1:3" ht="25.5" customHeight="1" thickBot="1">
      <c r="A4" s="131" t="s">
        <v>243</v>
      </c>
      <c r="B4" s="23" t="s">
        <v>80</v>
      </c>
      <c r="C4" s="9"/>
    </row>
    <row r="5" spans="1:3">
      <c r="A5" s="7"/>
      <c r="B5" s="246" t="s">
        <v>81</v>
      </c>
      <c r="C5" s="259" t="s">
        <v>419</v>
      </c>
    </row>
    <row r="6" spans="1:3" ht="15">
      <c r="A6" s="10">
        <v>1</v>
      </c>
      <c r="B6" s="24" t="s">
        <v>1001</v>
      </c>
      <c r="C6" s="257" t="s">
        <v>1005</v>
      </c>
    </row>
    <row r="7" spans="1:3" ht="15">
      <c r="A7" s="10">
        <v>2</v>
      </c>
      <c r="B7" s="24" t="s">
        <v>1008</v>
      </c>
      <c r="C7" s="257" t="s">
        <v>1007</v>
      </c>
    </row>
    <row r="8" spans="1:3" ht="15">
      <c r="A8" s="10">
        <v>3</v>
      </c>
      <c r="B8" s="24" t="s">
        <v>1002</v>
      </c>
      <c r="C8" s="257" t="s">
        <v>1006</v>
      </c>
    </row>
    <row r="9" spans="1:3" ht="15">
      <c r="A9" s="10">
        <v>4</v>
      </c>
      <c r="B9" s="24" t="s">
        <v>1003</v>
      </c>
      <c r="C9" s="257" t="s">
        <v>1007</v>
      </c>
    </row>
    <row r="10" spans="1:3" ht="15">
      <c r="A10" s="10">
        <v>5</v>
      </c>
      <c r="B10" s="24" t="s">
        <v>1004</v>
      </c>
      <c r="C10" s="257" t="s">
        <v>1006</v>
      </c>
    </row>
    <row r="11" spans="1:3" ht="15">
      <c r="A11" s="10"/>
      <c r="B11" s="797"/>
      <c r="C11" s="798"/>
    </row>
    <row r="12" spans="1:3" ht="41.4">
      <c r="A12" s="10"/>
      <c r="B12" s="247" t="s">
        <v>82</v>
      </c>
      <c r="C12" s="260" t="s">
        <v>420</v>
      </c>
    </row>
    <row r="13" spans="1:3">
      <c r="A13" s="10">
        <v>1</v>
      </c>
      <c r="B13" s="20" t="s">
        <v>1009</v>
      </c>
      <c r="C13" s="258" t="s">
        <v>1010</v>
      </c>
    </row>
    <row r="14" spans="1:3">
      <c r="A14" s="10">
        <v>2</v>
      </c>
      <c r="B14" s="20" t="s">
        <v>1011</v>
      </c>
      <c r="C14" s="258" t="s">
        <v>1012</v>
      </c>
    </row>
    <row r="15" spans="1:3">
      <c r="A15" s="10">
        <v>3</v>
      </c>
      <c r="B15" s="20" t="s">
        <v>1013</v>
      </c>
      <c r="C15" s="258" t="s">
        <v>1040</v>
      </c>
    </row>
    <row r="16" spans="1:3">
      <c r="A16" s="10">
        <v>4</v>
      </c>
      <c r="B16" s="20" t="s">
        <v>1014</v>
      </c>
      <c r="C16" s="258" t="s">
        <v>1015</v>
      </c>
    </row>
    <row r="17" spans="1:3">
      <c r="A17" s="10">
        <v>5</v>
      </c>
      <c r="B17" s="20" t="s">
        <v>1016</v>
      </c>
      <c r="C17" s="258" t="s">
        <v>1017</v>
      </c>
    </row>
    <row r="18" spans="1:3">
      <c r="A18" s="10">
        <v>6</v>
      </c>
      <c r="B18" s="20" t="s">
        <v>1018</v>
      </c>
      <c r="C18" s="258" t="s">
        <v>1019</v>
      </c>
    </row>
    <row r="19" spans="1:3" ht="15.75" customHeight="1">
      <c r="A19" s="10"/>
      <c r="B19" s="20"/>
      <c r="C19" s="21"/>
    </row>
    <row r="20" spans="1:3" ht="30" customHeight="1">
      <c r="A20" s="10"/>
      <c r="B20" s="799" t="s">
        <v>83</v>
      </c>
      <c r="C20" s="800"/>
    </row>
    <row r="21" spans="1:3" ht="15">
      <c r="A21" s="10">
        <v>1</v>
      </c>
      <c r="B21" s="669" t="s">
        <v>1020</v>
      </c>
      <c r="C21" s="670">
        <v>0.50260000000000005</v>
      </c>
    </row>
    <row r="22" spans="1:3" ht="15">
      <c r="A22" s="668">
        <v>2</v>
      </c>
      <c r="B22" s="669" t="s">
        <v>1021</v>
      </c>
      <c r="C22" s="670">
        <v>0.3322</v>
      </c>
    </row>
    <row r="23" spans="1:3" ht="28.8">
      <c r="A23" s="10">
        <v>3</v>
      </c>
      <c r="B23" s="669" t="s">
        <v>1022</v>
      </c>
      <c r="C23" s="670">
        <v>0.1469</v>
      </c>
    </row>
    <row r="24" spans="1:3" ht="15.75" customHeight="1">
      <c r="A24" s="10"/>
      <c r="B24" s="24"/>
      <c r="C24" s="25"/>
    </row>
    <row r="25" spans="1:3" ht="29.25" customHeight="1">
      <c r="A25" s="10"/>
      <c r="B25" s="799" t="s">
        <v>163</v>
      </c>
      <c r="C25" s="800"/>
    </row>
    <row r="26" spans="1:3" ht="15">
      <c r="A26" s="10">
        <v>1</v>
      </c>
      <c r="B26" s="669" t="s">
        <v>1023</v>
      </c>
      <c r="C26" s="757">
        <v>5.9400000000000001E-2</v>
      </c>
    </row>
    <row r="27" spans="1:3" ht="15.6" thickBot="1">
      <c r="A27" s="11">
        <v>2</v>
      </c>
      <c r="B27" s="764" t="s">
        <v>1024</v>
      </c>
      <c r="C27" s="758">
        <v>5.9400000000000001E-2</v>
      </c>
    </row>
    <row r="28" spans="1:3" ht="15">
      <c r="A28" s="10">
        <v>3</v>
      </c>
      <c r="B28" s="764" t="s">
        <v>1025</v>
      </c>
      <c r="C28" s="758">
        <v>7.4800000000000005E-2</v>
      </c>
    </row>
    <row r="29" spans="1:3" ht="15.6" thickBot="1">
      <c r="A29" s="11">
        <v>4</v>
      </c>
      <c r="B29" s="764" t="s">
        <v>1026</v>
      </c>
      <c r="C29" s="758">
        <v>6.3899999999999998E-2</v>
      </c>
    </row>
    <row r="30" spans="1:3" ht="15">
      <c r="A30" s="10">
        <v>5</v>
      </c>
      <c r="B30" s="764" t="s">
        <v>1027</v>
      </c>
      <c r="C30" s="758">
        <v>0.1195</v>
      </c>
    </row>
    <row r="31" spans="1:3" ht="15.6" thickBot="1">
      <c r="A31" s="11">
        <v>6</v>
      </c>
      <c r="B31" s="764" t="s">
        <v>1028</v>
      </c>
      <c r="C31" s="758">
        <v>5.6300000000000003E-2</v>
      </c>
    </row>
    <row r="32" spans="1:3" ht="15">
      <c r="A32" s="760">
        <v>7</v>
      </c>
      <c r="B32" s="764" t="s">
        <v>1029</v>
      </c>
      <c r="C32" s="758">
        <v>0.12520000000000001</v>
      </c>
    </row>
    <row r="33" spans="1:3" ht="15">
      <c r="A33" s="760">
        <v>8</v>
      </c>
      <c r="B33" s="764" t="s">
        <v>1039</v>
      </c>
      <c r="C33" s="758">
        <v>7.17E-2</v>
      </c>
    </row>
    <row r="34" spans="1:3" ht="15.6" thickBot="1">
      <c r="A34" s="10">
        <v>9</v>
      </c>
      <c r="B34" s="765" t="s">
        <v>1038</v>
      </c>
      <c r="C34" s="759">
        <v>6.0699999999999997E-2</v>
      </c>
    </row>
  </sheetData>
  <mergeCells count="3">
    <mergeCell ref="B11:C11"/>
    <mergeCell ref="B25:C25"/>
    <mergeCell ref="B20:C20"/>
  </mergeCells>
  <dataValidations disablePrompts="1" count="1">
    <dataValidation type="list" allowBlank="1" showInputMessage="1" showErrorMessage="1" sqref="C6:C10"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G53"/>
  <sheetViews>
    <sheetView zoomScale="80" zoomScaleNormal="80" workbookViewId="0">
      <pane xSplit="1" ySplit="5" topLeftCell="B22" activePane="bottomRight" state="frozen"/>
      <selection activeCell="H6" sqref="H6"/>
      <selection pane="topRight" activeCell="H6" sqref="H6"/>
      <selection pane="bottomLeft" activeCell="H6" sqref="H6"/>
      <selection pane="bottomRight" activeCell="C34" sqref="C34:C35"/>
    </sheetView>
  </sheetViews>
  <sheetFormatPr defaultRowHeight="14.4"/>
  <cols>
    <col min="1" max="1" width="9.5546875" style="1" bestFit="1" customWidth="1"/>
    <col min="2" max="2" width="47.5546875" style="1" customWidth="1"/>
    <col min="3" max="3" width="28" style="1" customWidth="1"/>
    <col min="4" max="4" width="25.6640625" style="1" customWidth="1"/>
    <col min="5" max="5" width="18.77734375" style="1" customWidth="1"/>
    <col min="6" max="6" width="12" bestFit="1" customWidth="1"/>
    <col min="7" max="7" width="12.5546875" bestFit="1" customWidth="1"/>
  </cols>
  <sheetData>
    <row r="1" spans="1:5">
      <c r="A1" s="13" t="s">
        <v>97</v>
      </c>
      <c r="B1" s="12" t="str">
        <f>Info!C2</f>
        <v>სს "კრედო ბანკი"</v>
      </c>
    </row>
    <row r="2" spans="1:5" s="13" customFormat="1" ht="15.75" customHeight="1">
      <c r="A2" s="13" t="s">
        <v>98</v>
      </c>
      <c r="B2" s="272">
        <f>'1. key ratios'!B2</f>
        <v>46203</v>
      </c>
    </row>
    <row r="3" spans="1:5" s="13" customFormat="1" ht="15.75" customHeight="1"/>
    <row r="4" spans="1:5" s="13" customFormat="1" ht="15.75" customHeight="1" thickBot="1">
      <c r="A4" s="132" t="s">
        <v>244</v>
      </c>
      <c r="B4" s="133" t="s">
        <v>157</v>
      </c>
      <c r="C4" s="97"/>
      <c r="D4" s="97"/>
      <c r="E4" s="98" t="s">
        <v>76</v>
      </c>
    </row>
    <row r="5" spans="1:5" s="58" customFormat="1" ht="17.55" customHeight="1">
      <c r="A5" s="201"/>
      <c r="B5" s="202"/>
      <c r="C5" s="96" t="s">
        <v>0</v>
      </c>
      <c r="D5" s="96" t="s">
        <v>1</v>
      </c>
      <c r="E5" s="203" t="s">
        <v>2</v>
      </c>
    </row>
    <row r="6" spans="1:5" ht="14.55" customHeight="1">
      <c r="A6" s="204"/>
      <c r="B6" s="801" t="s">
        <v>133</v>
      </c>
      <c r="C6" s="801" t="s">
        <v>824</v>
      </c>
      <c r="D6" s="802" t="s">
        <v>132</v>
      </c>
      <c r="E6" s="803"/>
    </row>
    <row r="7" spans="1:5" ht="99.6" customHeight="1">
      <c r="A7" s="204"/>
      <c r="B7" s="801"/>
      <c r="C7" s="801"/>
      <c r="D7" s="199" t="s">
        <v>131</v>
      </c>
      <c r="E7" s="200" t="s">
        <v>341</v>
      </c>
    </row>
    <row r="8" spans="1:5" ht="22.5" customHeight="1">
      <c r="A8" s="392">
        <v>1</v>
      </c>
      <c r="B8" s="337" t="s">
        <v>811</v>
      </c>
      <c r="C8" s="678">
        <f>SUM(C9:C11)</f>
        <v>583926070.83000004</v>
      </c>
      <c r="D8" s="678">
        <f t="shared" ref="D8:E8" si="0">SUM(D9:D11)</f>
        <v>0</v>
      </c>
      <c r="E8" s="678">
        <f t="shared" si="0"/>
        <v>583926070.83000004</v>
      </c>
    </row>
    <row r="9" spans="1:5">
      <c r="A9" s="392">
        <v>1.1000000000000001</v>
      </c>
      <c r="B9" s="339" t="s">
        <v>85</v>
      </c>
      <c r="C9" s="676">
        <v>99245123.319999993</v>
      </c>
      <c r="D9" s="676"/>
      <c r="E9" s="676">
        <f>C9-D9</f>
        <v>99245123.319999993</v>
      </c>
    </row>
    <row r="10" spans="1:5">
      <c r="A10" s="392">
        <v>1.2</v>
      </c>
      <c r="B10" s="339" t="s">
        <v>86</v>
      </c>
      <c r="C10" s="676">
        <v>331766895.59000003</v>
      </c>
      <c r="D10" s="676"/>
      <c r="E10" s="676">
        <f t="shared" ref="E10:E13" si="1">C10-D10</f>
        <v>331766895.59000003</v>
      </c>
    </row>
    <row r="11" spans="1:5">
      <c r="A11" s="392">
        <v>1.3</v>
      </c>
      <c r="B11" s="339" t="s">
        <v>87</v>
      </c>
      <c r="C11" s="676">
        <v>152914051.91999999</v>
      </c>
      <c r="D11" s="676"/>
      <c r="E11" s="676">
        <f t="shared" si="1"/>
        <v>152914051.91999999</v>
      </c>
    </row>
    <row r="12" spans="1:5">
      <c r="A12" s="392">
        <v>2</v>
      </c>
      <c r="B12" s="340" t="s">
        <v>698</v>
      </c>
      <c r="C12" s="676">
        <v>126021.62</v>
      </c>
      <c r="D12" s="676"/>
      <c r="E12" s="676">
        <f>C12-D12</f>
        <v>126021.62</v>
      </c>
    </row>
    <row r="13" spans="1:5">
      <c r="A13" s="392">
        <v>2.1</v>
      </c>
      <c r="B13" s="341" t="s">
        <v>699</v>
      </c>
      <c r="C13" s="676">
        <v>126021.62</v>
      </c>
      <c r="D13" s="676"/>
      <c r="E13" s="676">
        <f t="shared" si="1"/>
        <v>126021.62</v>
      </c>
    </row>
    <row r="14" spans="1:5" ht="34.049999999999997" customHeight="1">
      <c r="A14" s="392">
        <v>3</v>
      </c>
      <c r="B14" s="342" t="s">
        <v>700</v>
      </c>
      <c r="C14" s="676"/>
      <c r="D14" s="676"/>
      <c r="E14" s="676"/>
    </row>
    <row r="15" spans="1:5" ht="32.549999999999997" customHeight="1">
      <c r="A15" s="392">
        <v>4</v>
      </c>
      <c r="B15" s="343" t="s">
        <v>701</v>
      </c>
      <c r="C15" s="676"/>
      <c r="D15" s="676"/>
      <c r="E15" s="676"/>
    </row>
    <row r="16" spans="1:5" ht="22.95" customHeight="1">
      <c r="A16" s="392">
        <v>5</v>
      </c>
      <c r="B16" s="343" t="s">
        <v>702</v>
      </c>
      <c r="C16" s="678">
        <f>SUM(C17:C19)</f>
        <v>0</v>
      </c>
      <c r="D16" s="678">
        <f t="shared" ref="D16:E16" si="2">SUM(D17:D19)</f>
        <v>0</v>
      </c>
      <c r="E16" s="678">
        <f t="shared" si="2"/>
        <v>0</v>
      </c>
    </row>
    <row r="17" spans="1:5">
      <c r="A17" s="392">
        <v>5.0999999999999996</v>
      </c>
      <c r="B17" s="344" t="s">
        <v>703</v>
      </c>
      <c r="C17" s="676"/>
      <c r="D17" s="676"/>
      <c r="E17" s="676"/>
    </row>
    <row r="18" spans="1:5">
      <c r="A18" s="392">
        <v>5.2</v>
      </c>
      <c r="B18" s="344" t="s">
        <v>538</v>
      </c>
      <c r="C18" s="676"/>
      <c r="D18" s="676"/>
      <c r="E18" s="676"/>
    </row>
    <row r="19" spans="1:5">
      <c r="A19" s="392">
        <v>5.3</v>
      </c>
      <c r="B19" s="344" t="s">
        <v>704</v>
      </c>
      <c r="C19" s="676"/>
      <c r="D19" s="676"/>
      <c r="E19" s="676"/>
    </row>
    <row r="20" spans="1:5" ht="20.399999999999999">
      <c r="A20" s="392">
        <v>6</v>
      </c>
      <c r="B20" s="342" t="s">
        <v>705</v>
      </c>
      <c r="C20" s="678">
        <f>SUM(C21:C22)</f>
        <v>3398814340.400043</v>
      </c>
      <c r="D20" s="678">
        <f t="shared" ref="D20:E20" si="3">SUM(D21:D22)</f>
        <v>0</v>
      </c>
      <c r="E20" s="678">
        <f t="shared" si="3"/>
        <v>3398814340.400043</v>
      </c>
    </row>
    <row r="21" spans="1:5">
      <c r="A21" s="392">
        <v>6.1</v>
      </c>
      <c r="B21" s="344" t="s">
        <v>538</v>
      </c>
      <c r="C21" s="289">
        <v>54464579.82</v>
      </c>
      <c r="D21" s="289"/>
      <c r="E21" s="289">
        <f>C21-D21</f>
        <v>54464579.82</v>
      </c>
    </row>
    <row r="22" spans="1:5">
      <c r="A22" s="392">
        <v>6.2</v>
      </c>
      <c r="B22" s="344" t="s">
        <v>704</v>
      </c>
      <c r="C22" s="289">
        <v>3344349760.5800428</v>
      </c>
      <c r="D22" s="289"/>
      <c r="E22" s="289">
        <f t="shared" ref="E22:E23" si="4">C22-D22</f>
        <v>3344349760.5800428</v>
      </c>
    </row>
    <row r="23" spans="1:5" ht="20.399999999999999">
      <c r="A23" s="392">
        <v>7</v>
      </c>
      <c r="B23" s="345" t="s">
        <v>706</v>
      </c>
      <c r="C23" s="677">
        <v>3709467.2800000003</v>
      </c>
      <c r="D23" s="677"/>
      <c r="E23" s="289">
        <f t="shared" si="4"/>
        <v>3709467.2800000003</v>
      </c>
    </row>
    <row r="24" spans="1:5" ht="20.399999999999999">
      <c r="A24" s="392">
        <v>8</v>
      </c>
      <c r="B24" s="346" t="s">
        <v>707</v>
      </c>
      <c r="C24" s="677"/>
      <c r="D24" s="677"/>
      <c r="E24" s="677"/>
    </row>
    <row r="25" spans="1:5">
      <c r="A25" s="392">
        <v>9</v>
      </c>
      <c r="B25" s="343" t="s">
        <v>708</v>
      </c>
      <c r="C25" s="679">
        <f>SUM(C26:C27)</f>
        <v>55160443.689999968</v>
      </c>
      <c r="D25" s="679">
        <f t="shared" ref="D25:E25" si="5">SUM(D26:D27)</f>
        <v>0</v>
      </c>
      <c r="E25" s="679">
        <f t="shared" si="5"/>
        <v>55160443.689999968</v>
      </c>
    </row>
    <row r="26" spans="1:5">
      <c r="A26" s="392">
        <v>9.1</v>
      </c>
      <c r="B26" s="347" t="s">
        <v>709</v>
      </c>
      <c r="C26" s="677">
        <v>55160443.689999968</v>
      </c>
      <c r="D26" s="677"/>
      <c r="E26" s="677">
        <f>C26-D26</f>
        <v>55160443.689999968</v>
      </c>
    </row>
    <row r="27" spans="1:5">
      <c r="A27" s="392">
        <v>9.1999999999999993</v>
      </c>
      <c r="B27" s="347" t="s">
        <v>710</v>
      </c>
      <c r="C27" s="677"/>
      <c r="D27" s="677"/>
      <c r="E27" s="677"/>
    </row>
    <row r="28" spans="1:5">
      <c r="A28" s="392">
        <v>10</v>
      </c>
      <c r="B28" s="343" t="s">
        <v>36</v>
      </c>
      <c r="C28" s="679">
        <f>SUM(C29:C30)</f>
        <v>44289248.359999985</v>
      </c>
      <c r="D28" s="679">
        <f t="shared" ref="D28:E28" si="6">SUM(D29:D30)</f>
        <v>39058554.609999985</v>
      </c>
      <c r="E28" s="679">
        <f t="shared" si="6"/>
        <v>5230693.75</v>
      </c>
    </row>
    <row r="29" spans="1:5">
      <c r="A29" s="392">
        <v>10.1</v>
      </c>
      <c r="B29" s="347" t="s">
        <v>711</v>
      </c>
      <c r="C29" s="677"/>
      <c r="D29" s="677"/>
      <c r="E29" s="677"/>
    </row>
    <row r="30" spans="1:5">
      <c r="A30" s="392">
        <v>10.199999999999999</v>
      </c>
      <c r="B30" s="347" t="s">
        <v>712</v>
      </c>
      <c r="C30" s="677">
        <v>44289248.359999985</v>
      </c>
      <c r="D30" s="677">
        <v>39058554.609999985</v>
      </c>
      <c r="E30" s="677">
        <f>C30-D30</f>
        <v>5230693.75</v>
      </c>
    </row>
    <row r="31" spans="1:5">
      <c r="A31" s="392">
        <v>11</v>
      </c>
      <c r="B31" s="343" t="s">
        <v>713</v>
      </c>
      <c r="C31" s="679">
        <f>SUM(C32:C33)</f>
        <v>0</v>
      </c>
      <c r="D31" s="679">
        <f t="shared" ref="D31:E31" si="7">SUM(D32:D33)</f>
        <v>0</v>
      </c>
      <c r="E31" s="679">
        <f t="shared" si="7"/>
        <v>0</v>
      </c>
    </row>
    <row r="32" spans="1:5">
      <c r="A32" s="392">
        <v>11.1</v>
      </c>
      <c r="B32" s="347" t="s">
        <v>714</v>
      </c>
      <c r="C32" s="677"/>
      <c r="D32" s="677"/>
      <c r="E32" s="677">
        <f>C32-D32</f>
        <v>0</v>
      </c>
    </row>
    <row r="33" spans="1:7">
      <c r="A33" s="392">
        <v>11.2</v>
      </c>
      <c r="B33" s="347" t="s">
        <v>715</v>
      </c>
      <c r="C33" s="677"/>
      <c r="D33" s="677"/>
      <c r="E33" s="677"/>
    </row>
    <row r="34" spans="1:7">
      <c r="A34" s="392">
        <v>13</v>
      </c>
      <c r="B34" s="343" t="s">
        <v>88</v>
      </c>
      <c r="C34" s="680">
        <v>68908947.779999986</v>
      </c>
      <c r="D34" s="680"/>
      <c r="E34" s="680">
        <f>C34-D34</f>
        <v>68908947.779999986</v>
      </c>
    </row>
    <row r="35" spans="1:7">
      <c r="A35" s="392">
        <v>13.1</v>
      </c>
      <c r="B35" s="348" t="s">
        <v>716</v>
      </c>
      <c r="C35" s="289">
        <v>37551182.650000006</v>
      </c>
      <c r="D35" s="289"/>
      <c r="E35" s="289">
        <f>C35-D35</f>
        <v>37551182.650000006</v>
      </c>
    </row>
    <row r="36" spans="1:7">
      <c r="A36" s="392">
        <v>13.2</v>
      </c>
      <c r="B36" s="348" t="s">
        <v>717</v>
      </c>
      <c r="C36" s="393"/>
      <c r="D36" s="393"/>
      <c r="E36" s="393"/>
    </row>
    <row r="37" spans="1:7" ht="42" thickBot="1">
      <c r="A37" s="205"/>
      <c r="B37" s="206" t="s">
        <v>308</v>
      </c>
      <c r="C37" s="167">
        <f>SUM(C8,C12,C14,C15,C16,C20,C23,C24,C25,C28,C31,C34)</f>
        <v>4154934539.9600439</v>
      </c>
      <c r="D37" s="167">
        <f t="shared" ref="D37:E37" si="8">SUM(D8,D12,D14,D15,D16,D20,D23,D24,D25,D28,D31,D34)</f>
        <v>39058554.609999985</v>
      </c>
      <c r="E37" s="167">
        <f t="shared" si="8"/>
        <v>4115875985.3500438</v>
      </c>
    </row>
    <row r="38" spans="1:7">
      <c r="A38"/>
      <c r="B38"/>
      <c r="C38"/>
      <c r="D38"/>
      <c r="E38"/>
    </row>
    <row r="39" spans="1:7">
      <c r="A39"/>
      <c r="B39"/>
      <c r="C39"/>
      <c r="D39"/>
      <c r="E39"/>
    </row>
    <row r="41" spans="1:7" s="1" customFormat="1">
      <c r="B41" s="27"/>
      <c r="F41"/>
      <c r="G41"/>
    </row>
    <row r="42" spans="1:7" s="1" customFormat="1">
      <c r="B42" s="28"/>
      <c r="F42"/>
      <c r="G42"/>
    </row>
    <row r="43" spans="1:7" s="1" customFormat="1">
      <c r="B43" s="27"/>
      <c r="F43"/>
      <c r="G43"/>
    </row>
    <row r="44" spans="1:7" s="1" customFormat="1">
      <c r="B44" s="27"/>
      <c r="F44"/>
      <c r="G44"/>
    </row>
    <row r="45" spans="1:7" s="1" customFormat="1">
      <c r="B45" s="27"/>
      <c r="F45"/>
      <c r="G45"/>
    </row>
    <row r="46" spans="1:7" s="1" customFormat="1">
      <c r="B46" s="27"/>
      <c r="F46"/>
      <c r="G46"/>
    </row>
    <row r="47" spans="1:7" s="1" customFormat="1">
      <c r="B47" s="27"/>
      <c r="F47"/>
      <c r="G47"/>
    </row>
    <row r="48" spans="1:7" s="1" customFormat="1">
      <c r="B48" s="28"/>
      <c r="F48"/>
      <c r="G48"/>
    </row>
    <row r="49" spans="2:7" s="1" customFormat="1">
      <c r="B49" s="28"/>
      <c r="F49"/>
      <c r="G49"/>
    </row>
    <row r="50" spans="2:7" s="1" customFormat="1">
      <c r="B50" s="28"/>
      <c r="F50"/>
      <c r="G50"/>
    </row>
    <row r="51" spans="2:7" s="1" customFormat="1">
      <c r="B51" s="28"/>
      <c r="F51"/>
      <c r="G51"/>
    </row>
    <row r="52" spans="2:7" s="1" customFormat="1">
      <c r="B52" s="28"/>
      <c r="F52"/>
      <c r="G52"/>
    </row>
    <row r="53" spans="2:7" s="1" customFormat="1">
      <c r="B53" s="28"/>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I33"/>
  <sheetViews>
    <sheetView zoomScale="80" zoomScaleNormal="80" workbookViewId="0">
      <pane xSplit="1" ySplit="4" topLeftCell="B5" activePane="bottomRight" state="frozen"/>
      <selection activeCell="H6" sqref="H6"/>
      <selection pane="topRight" activeCell="H6" sqref="H6"/>
      <selection pane="bottomLeft" activeCell="H6" sqref="H6"/>
      <selection pane="bottomRight" activeCell="C10" sqref="C10:C11"/>
    </sheetView>
  </sheetViews>
  <sheetFormatPr defaultRowHeight="14.4" outlineLevelRow="1"/>
  <cols>
    <col min="1" max="1" width="9.5546875" style="1" bestFit="1" customWidth="1"/>
    <col min="2" max="2" width="114.21875" style="1" customWidth="1"/>
    <col min="3" max="3" width="18.77734375" customWidth="1"/>
    <col min="4" max="4" width="25.44140625" customWidth="1"/>
    <col min="5" max="5" width="24.21875" customWidth="1"/>
    <col min="6" max="6" width="24" customWidth="1"/>
    <col min="7" max="7" width="10" bestFit="1" customWidth="1"/>
    <col min="8" max="8" width="12" bestFit="1" customWidth="1"/>
    <col min="9" max="9" width="12.5546875" bestFit="1" customWidth="1"/>
  </cols>
  <sheetData>
    <row r="1" spans="1:6">
      <c r="A1" s="13" t="s">
        <v>97</v>
      </c>
      <c r="B1" s="12" t="str">
        <f>Info!C2</f>
        <v>სს "კრედო ბანკი"</v>
      </c>
    </row>
    <row r="2" spans="1:6" s="13" customFormat="1" ht="15.75" customHeight="1">
      <c r="A2" s="13" t="s">
        <v>98</v>
      </c>
      <c r="B2" s="272">
        <f>'1. key ratios'!B2</f>
        <v>46203</v>
      </c>
      <c r="C2"/>
      <c r="D2"/>
      <c r="E2"/>
      <c r="F2"/>
    </row>
    <row r="3" spans="1:6" s="13" customFormat="1" ht="15.75" customHeight="1">
      <c r="C3"/>
      <c r="D3"/>
      <c r="E3"/>
      <c r="F3"/>
    </row>
    <row r="4" spans="1:6" s="13" customFormat="1" ht="28.2" thickBot="1">
      <c r="A4" s="13" t="s">
        <v>245</v>
      </c>
      <c r="B4" s="104" t="s">
        <v>160</v>
      </c>
      <c r="C4" s="98" t="s">
        <v>76</v>
      </c>
      <c r="D4"/>
      <c r="E4"/>
      <c r="F4"/>
    </row>
    <row r="5" spans="1:6">
      <c r="A5" s="99">
        <v>1</v>
      </c>
      <c r="B5" s="100" t="s">
        <v>695</v>
      </c>
      <c r="C5" s="139">
        <f>'7. LI1'!E37</f>
        <v>4115875985.3500438</v>
      </c>
    </row>
    <row r="6" spans="1:6">
      <c r="A6" s="57">
        <v>2.1</v>
      </c>
      <c r="B6" s="106" t="s">
        <v>829</v>
      </c>
      <c r="C6" s="140">
        <v>512847843.90999997</v>
      </c>
    </row>
    <row r="7" spans="1:6" s="2" customFormat="1" ht="27.6" outlineLevel="1">
      <c r="A7" s="105">
        <v>2.2000000000000002</v>
      </c>
      <c r="B7" s="101" t="s">
        <v>830</v>
      </c>
      <c r="C7" s="141">
        <v>403166940</v>
      </c>
    </row>
    <row r="8" spans="1:6" s="2" customFormat="1" ht="27.6">
      <c r="A8" s="105">
        <v>3</v>
      </c>
      <c r="B8" s="102" t="s">
        <v>696</v>
      </c>
      <c r="C8" s="142">
        <f>SUM(C5:C7)</f>
        <v>5031890769.2600441</v>
      </c>
    </row>
    <row r="9" spans="1:6">
      <c r="A9" s="57">
        <v>4</v>
      </c>
      <c r="B9" s="109" t="s">
        <v>158</v>
      </c>
      <c r="C9" s="140"/>
    </row>
    <row r="10" spans="1:6" s="2" customFormat="1" ht="27.6" outlineLevel="1">
      <c r="A10" s="105">
        <v>5.0999999999999996</v>
      </c>
      <c r="B10" s="101" t="s">
        <v>164</v>
      </c>
      <c r="C10" s="141">
        <v>-375763780.73075134</v>
      </c>
    </row>
    <row r="11" spans="1:6" s="2" customFormat="1" ht="27.6" outlineLevel="1">
      <c r="A11" s="105">
        <v>5.2</v>
      </c>
      <c r="B11" s="101" t="s">
        <v>165</v>
      </c>
      <c r="C11" s="141">
        <v>-402466328.16591132</v>
      </c>
    </row>
    <row r="12" spans="1:6" s="2" customFormat="1">
      <c r="A12" s="105">
        <v>6</v>
      </c>
      <c r="B12" s="107" t="s">
        <v>995</v>
      </c>
      <c r="C12" s="141"/>
    </row>
    <row r="13" spans="1:6" s="2" customFormat="1" ht="15" thickBot="1">
      <c r="A13" s="108">
        <v>7</v>
      </c>
      <c r="B13" s="103" t="s">
        <v>159</v>
      </c>
      <c r="C13" s="143">
        <f>SUM(C8:C12)</f>
        <v>4253660660.3633819</v>
      </c>
    </row>
    <row r="15" spans="1:6">
      <c r="B15" s="17"/>
    </row>
    <row r="16" spans="1:6">
      <c r="C16" s="681"/>
    </row>
    <row r="17" spans="2:9" s="1" customFormat="1">
      <c r="B17" s="29"/>
      <c r="C17"/>
      <c r="D17"/>
      <c r="E17"/>
      <c r="F17"/>
      <c r="G17"/>
      <c r="H17"/>
      <c r="I17"/>
    </row>
    <row r="18" spans="2:9" s="1" customFormat="1">
      <c r="B18" s="26"/>
      <c r="C18"/>
      <c r="D18"/>
      <c r="E18"/>
      <c r="F18"/>
      <c r="G18"/>
      <c r="H18"/>
      <c r="I18"/>
    </row>
    <row r="19" spans="2:9" s="1" customFormat="1">
      <c r="B19" s="26"/>
      <c r="C19"/>
      <c r="D19"/>
      <c r="E19"/>
      <c r="F19"/>
      <c r="G19"/>
      <c r="H19"/>
      <c r="I19"/>
    </row>
    <row r="20" spans="2:9" s="1" customFormat="1">
      <c r="B20" s="28"/>
      <c r="C20"/>
      <c r="D20"/>
      <c r="E20"/>
      <c r="F20"/>
      <c r="G20"/>
      <c r="H20"/>
      <c r="I20"/>
    </row>
    <row r="21" spans="2:9" s="1" customFormat="1">
      <c r="B21" s="27"/>
      <c r="C21"/>
      <c r="D21"/>
      <c r="E21"/>
      <c r="F21"/>
      <c r="G21"/>
      <c r="H21"/>
      <c r="I21"/>
    </row>
    <row r="22" spans="2:9" s="1" customFormat="1">
      <c r="B22" s="28"/>
      <c r="C22"/>
      <c r="D22"/>
      <c r="E22"/>
      <c r="F22"/>
      <c r="G22"/>
      <c r="H22"/>
      <c r="I22"/>
    </row>
    <row r="23" spans="2:9" s="1" customFormat="1">
      <c r="B23" s="27"/>
      <c r="C23"/>
      <c r="D23"/>
      <c r="E23"/>
      <c r="F23"/>
      <c r="G23"/>
      <c r="H23"/>
      <c r="I23"/>
    </row>
    <row r="24" spans="2:9" s="1" customFormat="1">
      <c r="B24" s="27"/>
      <c r="C24"/>
      <c r="D24"/>
      <c r="E24"/>
      <c r="F24"/>
      <c r="G24"/>
      <c r="H24"/>
      <c r="I24"/>
    </row>
    <row r="25" spans="2:9" s="1" customFormat="1">
      <c r="B25" s="27"/>
      <c r="C25"/>
      <c r="D25"/>
      <c r="E25"/>
      <c r="F25"/>
      <c r="G25"/>
      <c r="H25"/>
      <c r="I25"/>
    </row>
    <row r="26" spans="2:9" s="1" customFormat="1">
      <c r="B26" s="27"/>
      <c r="C26"/>
      <c r="D26"/>
      <c r="E26"/>
      <c r="F26"/>
      <c r="G26"/>
      <c r="H26"/>
      <c r="I26"/>
    </row>
    <row r="27" spans="2:9" s="1" customFormat="1">
      <c r="B27" s="27"/>
      <c r="C27"/>
      <c r="D27"/>
      <c r="E27"/>
      <c r="F27"/>
      <c r="G27"/>
      <c r="H27"/>
      <c r="I27"/>
    </row>
    <row r="28" spans="2:9" s="1" customFormat="1">
      <c r="B28" s="28"/>
      <c r="C28"/>
      <c r="D28"/>
      <c r="E28"/>
      <c r="F28"/>
      <c r="G28"/>
      <c r="H28"/>
      <c r="I28"/>
    </row>
    <row r="29" spans="2:9" s="1" customFormat="1">
      <c r="B29" s="28"/>
      <c r="C29"/>
      <c r="D29"/>
      <c r="E29"/>
      <c r="F29"/>
      <c r="G29"/>
      <c r="H29"/>
      <c r="I29"/>
    </row>
    <row r="30" spans="2:9" s="1" customFormat="1">
      <c r="B30" s="28"/>
      <c r="C30"/>
      <c r="D30"/>
      <c r="E30"/>
      <c r="F30"/>
      <c r="G30"/>
      <c r="H30"/>
      <c r="I30"/>
    </row>
    <row r="31" spans="2:9" s="1" customFormat="1">
      <c r="B31" s="28"/>
      <c r="C31"/>
      <c r="D31"/>
      <c r="E31"/>
      <c r="F31"/>
      <c r="G31"/>
      <c r="H31"/>
      <c r="I31"/>
    </row>
    <row r="32" spans="2:9" s="1" customFormat="1">
      <c r="B32" s="28"/>
      <c r="C32"/>
      <c r="D32"/>
      <c r="E32"/>
      <c r="F32"/>
      <c r="G32"/>
      <c r="H32"/>
      <c r="I32"/>
    </row>
    <row r="33" spans="2:9" s="1" customFormat="1">
      <c r="B33" s="28"/>
      <c r="C33"/>
      <c r="D33"/>
      <c r="E33"/>
      <c r="F33"/>
      <c r="G33"/>
      <c r="H33"/>
      <c r="I33"/>
    </row>
  </sheetData>
  <pageMargins left="0.7" right="0.7" top="0.75" bottom="0.75" header="0.3" footer="0.3"/>
  <pageSetup paperSize="9" orientation="portrait" horizontalDpi="4294967295" verticalDpi="4294967295"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PRL2w89Z7SGKMMvLE9FLeXncNw2rAEw2HPT0MvtczW4=</DigestValue>
    </Reference>
    <Reference Type="http://www.w3.org/2000/09/xmldsig#Object" URI="#idOfficeObject">
      <DigestMethod Algorithm="http://www.w3.org/2001/04/xmlenc#sha256"/>
      <DigestValue>seeW4ubiCZerSV+o0Ni6S5z+NM+X6RH+OgrxX6LI42A=</DigestValue>
    </Reference>
    <Reference Type="http://uri.etsi.org/01903#SignedProperties" URI="#idSignedProperties">
      <Transforms>
        <Transform Algorithm="http://www.w3.org/TR/2001/REC-xml-c14n-20010315"/>
      </Transforms>
      <DigestMethod Algorithm="http://www.w3.org/2001/04/xmlenc#sha256"/>
      <DigestValue>tocNsdWaj4TDXCLm9ZkHT6Ss407B0N71cdTYyXlPU7Y=</DigestValue>
    </Reference>
  </SignedInfo>
  <SignatureValue>L7+nYPh3LCP6tnyQDAc7bKGigIoOr7TEwegpktBFDCpAzLqEutNrqkqcj9wcrsnQ5QY/XyxM8qEM
O9KrsMV5TRyV0bgDFjYOPM3gMp8S2fjL4m5RO2WRErPBdUxQ2BzO4zOrzKORI0vcwcCJLpIUmOwC
u6KWmdMe7Nk4dUiqBpMf5qt+wErzBOvrqihkV0gjBNFTbbmtD/212KgUkL9nhqImYIJqhB3x11q4
CWkBm98xr1QO5giSTYhRZVij3jr/o5czMOi8WZfWP77lr8x1OeZT5kSaghzK1mUyCUDKSZE3c7Vy
EJXdi3nPrKNpiTpTsu8EQHTU+5wjVzXBwJZjdQ==</SignatureValue>
  <KeyInfo>
    <X509Data>
      <X509Certificate>MIIGKzCCBROgAwIBAgIKJ40y3AAEAAKI8TANBgkqhkiG9w0BAQsFADBKMRIwEAYKCZImiZPyLGQBGRYCZ2UxEzARBgoJkiaJk/IsZAEZFgNuYmcxHzAdBgNVBAMTFk5CRyBDbGFzcyAyIElOVCBTdWIgQ0EwHhcNMjUwNjMwMDczNDQ4WhcNMjcwNjMwMDczNDQ4WjApMScwJQYDVQQDEx5CQ0QgLSBLb25zdGFudGluZSBHaGFtYmFzaGlkemUwggEiMA0GCSqGSIb3DQEBAQUAA4IBDwAwggEKAoIBAQDp+8svDO5/CWsNWcoY4JcK1WBL+1emG9Kjybiy/UFmdLQlZjNEIXZQuPQDB3l8lGifPu2MKhEVn4pSWM96ENL/s3ow4Kn0EcUaZg/Wib3Vv3Zrqsvqnc9sORLf6wAwjrJq6WdMsP73+KUQPB8dFoDzAzKTuxIjHd4wk/ehOqjmuDXkeZUWUO0SoOSSf+9zaiIKJfHk78fTo2PLVILR8LBcREHKMOkqfEvI2ZAzyU8ZbTfQCUuPuA+tP9Rg8qwbyHs3oB9PMOFyV6rcA+K3O73hOwig2phvHz5FsOBK8Um8U8pnj7FwdNVykTG9IuJ4k0abryk4O0DfiJKBwIgjVQMRAgMBAAGjggMyMIIDLjA8BgkrBgEEAYI3FQcELzAtBiUrBgEEAYI3FQjmsmCDjfVEhoGZCYO4oUqDvoRxBIPEkTOEg4hdAgFkAgEjMB0GA1UdJQQWMBQGCCsGAQUFBwMCBggrBgEFBQcDBDALBgNVHQ8EBAMCB4AwJwYJKwYBBAGCNxUKBBowGDAKBggrBgEFBQcDAjAKBggrBgEFBQcDBDAdBgNVHQ4EFgQUMdNFy5GzIzAwJEakNbOCs8N27HswHwYDVR0jBBgwFoAUwy7SL/BMLxnCJ4L89i6sarBJz8EwggElBgNVHR8EggEcMIIBGDCCARSgggEQoIIBDIaBx2xkYXA6Ly8vQ049TkJHJTIwQ2xhc3MlMjAyJTIwSU5UJTIwU3ViJTIwQ0EoMSksQ049bmJnLXN1YkNBLENOPUNEUCxDTj1QdWJsaWMlMjBLZXklMjBTZXJ2aWNlcyxDTj1TZXJ2aWNlcyxDTj1Db25maWd1cmF0aW9uLERDPW5iZyxEQz1nZT9jZXJ0aWZpY2F0ZVJldm9jYXRpb25MaXN0P2Jhc2U/b2JqZWN0Q2xhc3M9Y1JMRGlzdHJpYnV0aW9uUG9pbnSGQGh0dHA6Ly9jcmwubmJnLmdvdi5nZS9jYS9OQkclMjBDbGFzcyUyMDIlMjBJTlQlMjBTdWIlMjBDQSgxKS5jcmwwggEuBggrBgEFBQcBAQSCASAwggEcMIG6BggrBgEFBQcwAoaBrWxkYXA6Ly8vQ049TkJHJTIwQ2xhc3MlMjAyJTIwSU5UJTIwU3ViJTIwQ0EsQ049QUlBLENOPVB1YmxpYyUyMEtleSUyMFNlcnZpY2VzLENOPVNlcnZpY2VzLENOPUNvbmZpZ3VyYXRpb24sREM9bmJnLERDPWdlP2NBQ2VydGlmaWNhdGU/YmFzZT9vYmplY3RDbGFzcz1jZXJ0aWZpY2F0aW9uQXV0aG9yaXR5MF0GCCsGAQUFBzAChlFodHRwOi8vY3JsLm5iZy5nb3YuZ2UvY2EvbmJnLXN1YkNBLm5iZy5nZV9OQkclMjBDbGFzcyUyMDIlMjBJTlQlMjBTdWIlMjBDQSg0KS5jcnQwDQYJKoZIhvcNAQELBQADggEBAJ3ihD8LaacrVnsHjHrRYobo+5IAtEEzQzFEVXymIXShx9rOvpyiubjqjWnNFH8PRthCx4f7ygT9RAkjY5o3nLnjZVsapunkubFkpqGnrXzqwqroDAC7r90eMNsyZZbpWwUAFD5Y6e9Sx/++lfOp6FkHoX2cwS+fXDYT9ZOuFZc5eCAG18vr3mrn64cUob3He7gjGkGnx1vkjtzp+0V213dqtFVjGxQjZQz7Add8GCNFg3KnFW91Ihrd2rI4w32xavXu5cZU+FimHpvnBUBqDYy/vN/jn7BAu2CRdrjwCDvgun6l1dr89IojTity3ldh8BPlzQhjBCLULzK/lgMkif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9"/>
            <mdssi:RelationshipReference xmlns:mdssi="http://schemas.openxmlformats.org/package/2006/digital-signature" SourceId="rId1"/>
          </Transform>
          <Transform Algorithm="http://www.w3.org/TR/2001/REC-xml-c14n-20010315"/>
        </Transforms>
        <DigestMethod Algorithm="http://www.w3.org/2001/04/xmlenc#sha256"/>
        <DigestValue>ev4EeEW6fz+AlywGicixOM+XtoDnZGtcQmyDLd3LkFg=</DigestValue>
      </Reference>
      <Reference URI="/xl/calcChain.xml?ContentType=application/vnd.openxmlformats-officedocument.spreadsheetml.calcChain+xml">
        <DigestMethod Algorithm="http://www.w3.org/2001/04/xmlenc#sha256"/>
        <DigestValue>w+dy+2xa0P1YlTnz3Q8IjL7bxt4Kj4fOMLMi5o++C6U=</DigestValue>
      </Reference>
      <Reference URI="/xl/comments1.xml?ContentType=application/vnd.openxmlformats-officedocument.spreadsheetml.comments+xml">
        <DigestMethod Algorithm="http://www.w3.org/2001/04/xmlenc#sha256"/>
        <DigestValue>lDGi+e21pUNUERcQ10hcveeVtwtB5TBHBbQ5epVeWPM=</DigestValue>
      </Reference>
      <Reference URI="/xl/comments2.xml?ContentType=application/vnd.openxmlformats-officedocument.spreadsheetml.comments+xml">
        <DigestMethod Algorithm="http://www.w3.org/2001/04/xmlenc#sha256"/>
        <DigestValue>D1ZJOUA+rSHcom9m3ySIHuX7CboEvAibeubIv/6JwCs=</DigestValue>
      </Reference>
      <Reference URI="/xl/drawings/drawing1.xml?ContentType=application/vnd.openxmlformats-officedocument.drawing+xml">
        <DigestMethod Algorithm="http://www.w3.org/2001/04/xmlenc#sha256"/>
        <DigestValue>R1LJm+AhlNP5akpTq67x0rdMG+aWVkGYuvUF1YgTbNw=</DigestValue>
      </Reference>
      <Reference URI="/xl/drawings/vmlDrawing1.vml?ContentType=application/vnd.openxmlformats-officedocument.vmlDrawing">
        <DigestMethod Algorithm="http://www.w3.org/2001/04/xmlenc#sha256"/>
        <DigestValue>7agYMuQ/fp6OL/Mz28RRWXXRuUx4T3alu381Etm27ks=</DigestValue>
      </Reference>
      <Reference URI="/xl/drawings/vmlDrawing2.vml?ContentType=application/vnd.openxmlformats-officedocument.vmlDrawing">
        <DigestMethod Algorithm="http://www.w3.org/2001/04/xmlenc#sha256"/>
        <DigestValue>YeLyGFrTmqzQHUQPgxynTn9Z43LkZGu7npeFJV2FrEk=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yojLcXPL4SikwWYRWMHJ4GIyvAOKeWt5829V9D7CMOs=</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8h2R+DqXjUsH05eBB2ZeN4BsgA63w+UXgeDFU6K+Ww8=</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S9Shbx/WLxct+XdbJLoy+21QXq0uliQl+Jr339wPZe8=</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Cwn3J5enIcfcPZBy9SjKhd6rseEPfRAO8aGWdVH6MfY=</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kR5PAXPRa2lES4MIxNZFyedA4xj9cN8BCCjivo0voGY=</DigestValue>
      </Reference>
      <Reference URI="/xl/externalLinks/externalLink1.xml?ContentType=application/vnd.openxmlformats-officedocument.spreadsheetml.externalLink+xml">
        <DigestMethod Algorithm="http://www.w3.org/2001/04/xmlenc#sha256"/>
        <DigestValue>r5VMIs6AO4HL4uOLt5pJnqhP0sO7uDpzidH6gzgejBs=</DigestValue>
      </Reference>
      <Reference URI="/xl/externalLinks/externalLink2.xml?ContentType=application/vnd.openxmlformats-officedocument.spreadsheetml.externalLink+xml">
        <DigestMethod Algorithm="http://www.w3.org/2001/04/xmlenc#sha256"/>
        <DigestValue>MJIRMH6v0QbwIZ2crvLbVFsWHVPKbvRmYE6dtOyV+00=</DigestValue>
      </Reference>
      <Reference URI="/xl/externalLinks/externalLink3.xml?ContentType=application/vnd.openxmlformats-officedocument.spreadsheetml.externalLink+xml">
        <DigestMethod Algorithm="http://www.w3.org/2001/04/xmlenc#sha256"/>
        <DigestValue>gr+YulVqyxJmtCvVGqOr7TLdCaYWqpyNUVsu9jjGET8=</DigestValue>
      </Reference>
      <Reference URI="/xl/externalLinks/externalLink4.xml?ContentType=application/vnd.openxmlformats-officedocument.spreadsheetml.externalLink+xml">
        <DigestMethod Algorithm="http://www.w3.org/2001/04/xmlenc#sha256"/>
        <DigestValue>53YeaXFcHe3Q2aue/NluwglauvPXuBIS+ctAZfjkc54=</DigestValue>
      </Reference>
      <Reference URI="/xl/externalLinks/externalLink5.xml?ContentType=application/vnd.openxmlformats-officedocument.spreadsheetml.externalLink+xml">
        <DigestMethod Algorithm="http://www.w3.org/2001/04/xmlenc#sha256"/>
        <DigestValue>1Nr1IxEr6T1RXXysaETfk+2TFlZO07TpouaBU4+ti+4=</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ze+MZOtihPj9dKeV/Dz5QESpeY6Fdwmnkxhrh69STxA=</DigestValue>
      </Reference>
      <Reference URI="/xl/printerSettings/printerSettings10.bin?ContentType=application/vnd.openxmlformats-officedocument.spreadsheetml.printerSettings">
        <DigestMethod Algorithm="http://www.w3.org/2001/04/xmlenc#sha256"/>
        <DigestValue>nkR1lu9OLM1UMxWiPa7wm3YcnQOlFOICy95qYiodDz0=</DigestValue>
      </Reference>
      <Reference URI="/xl/printerSettings/printerSettings11.bin?ContentType=application/vnd.openxmlformats-officedocument.spreadsheetml.printerSettings">
        <DigestMethod Algorithm="http://www.w3.org/2001/04/xmlenc#sha256"/>
        <DigestValue>nkR1lu9OLM1UMxWiPa7wm3YcnQOlFOICy95qYiodDz0=</DigestValue>
      </Reference>
      <Reference URI="/xl/printerSettings/printerSettings12.bin?ContentType=application/vnd.openxmlformats-officedocument.spreadsheetml.printerSettings">
        <DigestMethod Algorithm="http://www.w3.org/2001/04/xmlenc#sha256"/>
        <DigestValue>yMi8stU5bqFShuh1MUNAff1/atoh6+i0/ROVy9FQsKk=</DigestValue>
      </Reference>
      <Reference URI="/xl/printerSettings/printerSettings13.bin?ContentType=application/vnd.openxmlformats-officedocument.spreadsheetml.printerSettings">
        <DigestMethod Algorithm="http://www.w3.org/2001/04/xmlenc#sha256"/>
        <DigestValue>16nRtTkTNfAdSTF0Lg1CT4t8t5VLf2B9wJs/PWFk54A=</DigestValue>
      </Reference>
      <Reference URI="/xl/printerSettings/printerSettings14.bin?ContentType=application/vnd.openxmlformats-officedocument.spreadsheetml.printerSettings">
        <DigestMethod Algorithm="http://www.w3.org/2001/04/xmlenc#sha256"/>
        <DigestValue>16nRtTkTNfAdSTF0Lg1CT4t8t5VLf2B9wJs/PWFk54A=</DigestValue>
      </Reference>
      <Reference URI="/xl/printerSettings/printerSettings15.bin?ContentType=application/vnd.openxmlformats-officedocument.spreadsheetml.printerSettings">
        <DigestMethod Algorithm="http://www.w3.org/2001/04/xmlenc#sha256"/>
        <DigestValue>16nRtTkTNfAdSTF0Lg1CT4t8t5VLf2B9wJs/PWFk54A=</DigestValue>
      </Reference>
      <Reference URI="/xl/printerSettings/printerSettings16.bin?ContentType=application/vnd.openxmlformats-officedocument.spreadsheetml.printerSettings">
        <DigestMethod Algorithm="http://www.w3.org/2001/04/xmlenc#sha256"/>
        <DigestValue>2m6CW85rBYKpJKifjkFVt0n58BwBksWMXfva2VqaA+I=</DigestValue>
      </Reference>
      <Reference URI="/xl/printerSettings/printerSettings17.bin?ContentType=application/vnd.openxmlformats-officedocument.spreadsheetml.printerSettings">
        <DigestMethod Algorithm="http://www.w3.org/2001/04/xmlenc#sha256"/>
        <DigestValue>ar6hk/aRBhJ3Q7h1Xd48HWTe7Gl3RUqECzD058YGBrM=</DigestValue>
      </Reference>
      <Reference URI="/xl/printerSettings/printerSettings18.bin?ContentType=application/vnd.openxmlformats-officedocument.spreadsheetml.printerSettings">
        <DigestMethod Algorithm="http://www.w3.org/2001/04/xmlenc#sha256"/>
        <DigestValue>ze+MZOtihPj9dKeV/Dz5QESpeY6Fdwmnkxhrh69STxA=</DigestValue>
      </Reference>
      <Reference URI="/xl/printerSettings/printerSettings19.bin?ContentType=application/vnd.openxmlformats-officedocument.spreadsheetml.printerSettings">
        <DigestMethod Algorithm="http://www.w3.org/2001/04/xmlenc#sha256"/>
        <DigestValue>zxLIGjiJ19gUsPtQr72salfkFKrVFBCr1X8320JEcsQ=</DigestValue>
      </Reference>
      <Reference URI="/xl/printerSettings/printerSettings2.bin?ContentType=application/vnd.openxmlformats-officedocument.spreadsheetml.printerSettings">
        <DigestMethod Algorithm="http://www.w3.org/2001/04/xmlenc#sha256"/>
        <DigestValue>16nRtTkTNfAdSTF0Lg1CT4t8t5VLf2B9wJs/PWFk54A=</DigestValue>
      </Reference>
      <Reference URI="/xl/printerSettings/printerSettings20.bin?ContentType=application/vnd.openxmlformats-officedocument.spreadsheetml.printerSettings">
        <DigestMethod Algorithm="http://www.w3.org/2001/04/xmlenc#sha256"/>
        <DigestValue>iE26OokMEnQMYiWgMfFhVXzSbn0Dmk333xx6Y+G1iUw=</DigestValue>
      </Reference>
      <Reference URI="/xl/printerSettings/printerSettings21.bin?ContentType=application/vnd.openxmlformats-officedocument.spreadsheetml.printerSettings">
        <DigestMethod Algorithm="http://www.w3.org/2001/04/xmlenc#sha256"/>
        <DigestValue>nkR1lu9OLM1UMxWiPa7wm3YcnQOlFOICy95qYiodDz0=</DigestValue>
      </Reference>
      <Reference URI="/xl/printerSettings/printerSettings22.bin?ContentType=application/vnd.openxmlformats-officedocument.spreadsheetml.printerSettings">
        <DigestMethod Algorithm="http://www.w3.org/2001/04/xmlenc#sha256"/>
        <DigestValue>2bvX94YA3UVSaKlpfCjo157kRTaGD9ZFW7t96/Nk1uk=</DigestValue>
      </Reference>
      <Reference URI="/xl/printerSettings/printerSettings23.bin?ContentType=application/vnd.openxmlformats-officedocument.spreadsheetml.printerSettings">
        <DigestMethod Algorithm="http://www.w3.org/2001/04/xmlenc#sha256"/>
        <DigestValue>SWiohiWSuPjjcblZxueyphOzVidWJvXmdfCiNQW6SiY=</DigestValue>
      </Reference>
      <Reference URI="/xl/printerSettings/printerSettings24.bin?ContentType=application/vnd.openxmlformats-officedocument.spreadsheetml.printerSettings">
        <DigestMethod Algorithm="http://www.w3.org/2001/04/xmlenc#sha256"/>
        <DigestValue>iE26OokMEnQMYiWgMfFhVXzSbn0Dmk333xx6Y+G1iUw=</DigestValue>
      </Reference>
      <Reference URI="/xl/printerSettings/printerSettings25.bin?ContentType=application/vnd.openxmlformats-officedocument.spreadsheetml.printerSettings">
        <DigestMethod Algorithm="http://www.w3.org/2001/04/xmlenc#sha256"/>
        <DigestValue>qqKz7UtelGHdfiWdqNc1EvL8LqlQ7O4MTpeoyQcgyv0=</DigestValue>
      </Reference>
      <Reference URI="/xl/printerSettings/printerSettings26.bin?ContentType=application/vnd.openxmlformats-officedocument.spreadsheetml.printerSettings">
        <DigestMethod Algorithm="http://www.w3.org/2001/04/xmlenc#sha256"/>
        <DigestValue>qqKz7UtelGHdfiWdqNc1EvL8LqlQ7O4MTpeoyQcgyv0=</DigestValue>
      </Reference>
      <Reference URI="/xl/printerSettings/printerSettings27.bin?ContentType=application/vnd.openxmlformats-officedocument.spreadsheetml.printerSettings">
        <DigestMethod Algorithm="http://www.w3.org/2001/04/xmlenc#sha256"/>
        <DigestValue>ze+MZOtihPj9dKeV/Dz5QESpeY6Fdwmnkxhrh69STxA=</DigestValue>
      </Reference>
      <Reference URI="/xl/printerSettings/printerSettings28.bin?ContentType=application/vnd.openxmlformats-officedocument.spreadsheetml.printerSettings">
        <DigestMethod Algorithm="http://www.w3.org/2001/04/xmlenc#sha256"/>
        <DigestValue>sV7nAd1qbnTrL1lTf5fthYyueRsK0y0H/dNk1XOHVVo=</DigestValue>
      </Reference>
      <Reference URI="/xl/printerSettings/printerSettings3.bin?ContentType=application/vnd.openxmlformats-officedocument.spreadsheetml.printerSettings">
        <DigestMethod Algorithm="http://www.w3.org/2001/04/xmlenc#sha256"/>
        <DigestValue>EKGprfHc+H/gyzRZZBHrFfPlu2WlrJ3b9VoWeQJrTNM=</DigestValue>
      </Reference>
      <Reference URI="/xl/printerSettings/printerSettings4.bin?ContentType=application/vnd.openxmlformats-officedocument.spreadsheetml.printerSettings">
        <DigestMethod Algorithm="http://www.w3.org/2001/04/xmlenc#sha256"/>
        <DigestValue>ZZHgBK3ClE4NLQ/d1wTpBivMuCT8wZjjdiWSGfkAHbk=</DigestValue>
      </Reference>
      <Reference URI="/xl/printerSettings/printerSettings5.bin?ContentType=application/vnd.openxmlformats-officedocument.spreadsheetml.printerSettings">
        <DigestMethod Algorithm="http://www.w3.org/2001/04/xmlenc#sha256"/>
        <DigestValue>L+CxbXS3yzcVLTJTz50kMb6T4gEHhM4qLfUzzpiwfWw=</DigestValue>
      </Reference>
      <Reference URI="/xl/printerSettings/printerSettings6.bin?ContentType=application/vnd.openxmlformats-officedocument.spreadsheetml.printerSettings">
        <DigestMethod Algorithm="http://www.w3.org/2001/04/xmlenc#sha256"/>
        <DigestValue>q37DKJ3MOesPIbDJgzDr4ED93fuV2dJiVKcNrtVCMaE=</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p15fOjzmBTLGI8Klf+TI4woTVTHX8Q0l14vNf+jwiuE=</DigestValue>
      </Reference>
      <Reference URI="/xl/printerSettings/printerSettings9.bin?ContentType=application/vnd.openxmlformats-officedocument.spreadsheetml.printerSettings">
        <DigestMethod Algorithm="http://www.w3.org/2001/04/xmlenc#sha256"/>
        <DigestValue>2m6CW85rBYKpJKifjkFVt0n58BwBksWMXfva2VqaA+I=</DigestValue>
      </Reference>
      <Reference URI="/xl/sharedStrings.xml?ContentType=application/vnd.openxmlformats-officedocument.spreadsheetml.sharedStrings+xml">
        <DigestMethod Algorithm="http://www.w3.org/2001/04/xmlenc#sha256"/>
        <DigestValue>RBWVybEUEscLhXCdPWrFvsS8qyHl4q0H0zbv/0lGDrA=</DigestValue>
      </Reference>
      <Reference URI="/xl/styles.xml?ContentType=application/vnd.openxmlformats-officedocument.spreadsheetml.styles+xml">
        <DigestMethod Algorithm="http://www.w3.org/2001/04/xmlenc#sha256"/>
        <DigestValue>+PPJd5jxsIcdmIgZb9kXgknyZBGxMLKnlkf3QCuIIZE=</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qP/BTei5I+59h1Pdm8+bh66eWjTgn29hkuAMVfs/Puw=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uBCsLoCeDaoZuHLizZacnRXpOOOOxk0iSLefQ5jFwpo=</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pu7AeStVnF2Tjums//R3gi3YYJuhVpsPADYtciCdM8Q=</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QiDCyON6/l/Ti8hBcEpg68sz+6NJGWbPiZMQQy/y0eQ=</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xEjnoC6oveMaQJxRAfS6Ocv9rAtbqw8uIVWScNpbU2I=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sheet1.xml?ContentType=application/vnd.openxmlformats-officedocument.spreadsheetml.worksheet+xml">
        <DigestMethod Algorithm="http://www.w3.org/2001/04/xmlenc#sha256"/>
        <DigestValue>1AaF2ddXYH8mi9nFZSXdNVjv/MU1ISeLi+s3xsqsI3c=</DigestValue>
      </Reference>
      <Reference URI="/xl/worksheets/sheet10.xml?ContentType=application/vnd.openxmlformats-officedocument.spreadsheetml.worksheet+xml">
        <DigestMethod Algorithm="http://www.w3.org/2001/04/xmlenc#sha256"/>
        <DigestValue>5bExDzkWYAGqFf9DQTUqXr+iCtR1/0zJvFWJm+gyMEQ=</DigestValue>
      </Reference>
      <Reference URI="/xl/worksheets/sheet11.xml?ContentType=application/vnd.openxmlformats-officedocument.spreadsheetml.worksheet+xml">
        <DigestMethod Algorithm="http://www.w3.org/2001/04/xmlenc#sha256"/>
        <DigestValue>v7I3KIYGFftku2rHy5ZirbcZ5c2t4mSl2Vx0W7RmyUI=</DigestValue>
      </Reference>
      <Reference URI="/xl/worksheets/sheet12.xml?ContentType=application/vnd.openxmlformats-officedocument.spreadsheetml.worksheet+xml">
        <DigestMethod Algorithm="http://www.w3.org/2001/04/xmlenc#sha256"/>
        <DigestValue>ZvJMZXh/9I6ehT5s+ySG26nemYRFBk/6s1SeSEqeIvo=</DigestValue>
      </Reference>
      <Reference URI="/xl/worksheets/sheet13.xml?ContentType=application/vnd.openxmlformats-officedocument.spreadsheetml.worksheet+xml">
        <DigestMethod Algorithm="http://www.w3.org/2001/04/xmlenc#sha256"/>
        <DigestValue>iwIlIY1hVB9BpvCnhkq+6Fa7me0T38j/ujcx5Wwp8sA=</DigestValue>
      </Reference>
      <Reference URI="/xl/worksheets/sheet14.xml?ContentType=application/vnd.openxmlformats-officedocument.spreadsheetml.worksheet+xml">
        <DigestMethod Algorithm="http://www.w3.org/2001/04/xmlenc#sha256"/>
        <DigestValue>L7L4env2qTRlgW3J9wprc0o8rnbB+K9bT39FYnKgTFw=</DigestValue>
      </Reference>
      <Reference URI="/xl/worksheets/sheet15.xml?ContentType=application/vnd.openxmlformats-officedocument.spreadsheetml.worksheet+xml">
        <DigestMethod Algorithm="http://www.w3.org/2001/04/xmlenc#sha256"/>
        <DigestValue>3ZLn8v9wsoJ+UUpB//vQfGnvC/ISl5Y+wIHgncW55KU=</DigestValue>
      </Reference>
      <Reference URI="/xl/worksheets/sheet16.xml?ContentType=application/vnd.openxmlformats-officedocument.spreadsheetml.worksheet+xml">
        <DigestMethod Algorithm="http://www.w3.org/2001/04/xmlenc#sha256"/>
        <DigestValue>7gY7jz1k60x7STKCvvDUvJxKg6ol0WE4sh1JH23C3bc=</DigestValue>
      </Reference>
      <Reference URI="/xl/worksheets/sheet17.xml?ContentType=application/vnd.openxmlformats-officedocument.spreadsheetml.worksheet+xml">
        <DigestMethod Algorithm="http://www.w3.org/2001/04/xmlenc#sha256"/>
        <DigestValue>xJaBUB4oaZKE9nFZhhr3tnccYS5KPgT16lS5kxFCIB0=</DigestValue>
      </Reference>
      <Reference URI="/xl/worksheets/sheet18.xml?ContentType=application/vnd.openxmlformats-officedocument.spreadsheetml.worksheet+xml">
        <DigestMethod Algorithm="http://www.w3.org/2001/04/xmlenc#sha256"/>
        <DigestValue>MDRgh+8eRc68Cq3Yqo0/8xmVoNX6PVfZ7TJg8c4YuMo=</DigestValue>
      </Reference>
      <Reference URI="/xl/worksheets/sheet19.xml?ContentType=application/vnd.openxmlformats-officedocument.spreadsheetml.worksheet+xml">
        <DigestMethod Algorithm="http://www.w3.org/2001/04/xmlenc#sha256"/>
        <DigestValue>EziFLOeTJaFQY1LQ7i9QmZGYWdbOZYNXPUmgN8fEeQU=</DigestValue>
      </Reference>
      <Reference URI="/xl/worksheets/sheet2.xml?ContentType=application/vnd.openxmlformats-officedocument.spreadsheetml.worksheet+xml">
        <DigestMethod Algorithm="http://www.w3.org/2001/04/xmlenc#sha256"/>
        <DigestValue>EWPCBpJF8rlF4JGvVeTRcyVoZql4tFer/Ry5d6IL/Hw=</DigestValue>
      </Reference>
      <Reference URI="/xl/worksheets/sheet20.xml?ContentType=application/vnd.openxmlformats-officedocument.spreadsheetml.worksheet+xml">
        <DigestMethod Algorithm="http://www.w3.org/2001/04/xmlenc#sha256"/>
        <DigestValue>QQ/qjI3bSHBLarfB2+xWzTMVaNptpYv4hQnYageQqso=</DigestValue>
      </Reference>
      <Reference URI="/xl/worksheets/sheet21.xml?ContentType=application/vnd.openxmlformats-officedocument.spreadsheetml.worksheet+xml">
        <DigestMethod Algorithm="http://www.w3.org/2001/04/xmlenc#sha256"/>
        <DigestValue>rUzu9nHn6RsIMIS1XpEEcbW0PwzNmbRFjsBiBGr5yto=</DigestValue>
      </Reference>
      <Reference URI="/xl/worksheets/sheet22.xml?ContentType=application/vnd.openxmlformats-officedocument.spreadsheetml.worksheet+xml">
        <DigestMethod Algorithm="http://www.w3.org/2001/04/xmlenc#sha256"/>
        <DigestValue>Rdm13aZbtO61R8h5uHxQOnZq6jpuVNbXjhP8uGheS00=</DigestValue>
      </Reference>
      <Reference URI="/xl/worksheets/sheet23.xml?ContentType=application/vnd.openxmlformats-officedocument.spreadsheetml.worksheet+xml">
        <DigestMethod Algorithm="http://www.w3.org/2001/04/xmlenc#sha256"/>
        <DigestValue>utj+K2x/qQbl8ie06tgU+ZKZUoz8nSvR3+mjrxB0nXg=</DigestValue>
      </Reference>
      <Reference URI="/xl/worksheets/sheet24.xml?ContentType=application/vnd.openxmlformats-officedocument.spreadsheetml.worksheet+xml">
        <DigestMethod Algorithm="http://www.w3.org/2001/04/xmlenc#sha256"/>
        <DigestValue>lSsiuTN1InJlNBIe5IFaSWeTr73cQ+rqn1kuctD4xRc=</DigestValue>
      </Reference>
      <Reference URI="/xl/worksheets/sheet25.xml?ContentType=application/vnd.openxmlformats-officedocument.spreadsheetml.worksheet+xml">
        <DigestMethod Algorithm="http://www.w3.org/2001/04/xmlenc#sha256"/>
        <DigestValue>jlYPDfq5WPpiIHFwktyo4M9BQ0iQrzbRVlYQ8ZSYSWU=</DigestValue>
      </Reference>
      <Reference URI="/xl/worksheets/sheet26.xml?ContentType=application/vnd.openxmlformats-officedocument.spreadsheetml.worksheet+xml">
        <DigestMethod Algorithm="http://www.w3.org/2001/04/xmlenc#sha256"/>
        <DigestValue>qv/Rh86SMN1vy2PHtvWm8z/xIawJv1YTJrLzVFdgyG8=</DigestValue>
      </Reference>
      <Reference URI="/xl/worksheets/sheet27.xml?ContentType=application/vnd.openxmlformats-officedocument.spreadsheetml.worksheet+xml">
        <DigestMethod Algorithm="http://www.w3.org/2001/04/xmlenc#sha256"/>
        <DigestValue>KLZVT+cSPihmo3rc47rvE3pbv0O7nM9yIDRTqbBODrw=</DigestValue>
      </Reference>
      <Reference URI="/xl/worksheets/sheet28.xml?ContentType=application/vnd.openxmlformats-officedocument.spreadsheetml.worksheet+xml">
        <DigestMethod Algorithm="http://www.w3.org/2001/04/xmlenc#sha256"/>
        <DigestValue>OiVBxevniie6erpXOgLNFaL4raHmbSNGMziYPZ9XKhc=</DigestValue>
      </Reference>
      <Reference URI="/xl/worksheets/sheet29.xml?ContentType=application/vnd.openxmlformats-officedocument.spreadsheetml.worksheet+xml">
        <DigestMethod Algorithm="http://www.w3.org/2001/04/xmlenc#sha256"/>
        <DigestValue>yHmnIj7m6G/DmW539ksqZweRb3Nipgc4+65fl5IEOxU=</DigestValue>
      </Reference>
      <Reference URI="/xl/worksheets/sheet3.xml?ContentType=application/vnd.openxmlformats-officedocument.spreadsheetml.worksheet+xml">
        <DigestMethod Algorithm="http://www.w3.org/2001/04/xmlenc#sha256"/>
        <DigestValue>QOo7++LBazVEQpR+9knwq9+O3h4Ov80ihKQn1rJ9jcM=</DigestValue>
      </Reference>
      <Reference URI="/xl/worksheets/sheet30.xml?ContentType=application/vnd.openxmlformats-officedocument.spreadsheetml.worksheet+xml">
        <DigestMethod Algorithm="http://www.w3.org/2001/04/xmlenc#sha256"/>
        <DigestValue>MUUhXNLfUyGLERIa5Drqx1lyBxIUZPmb/DRN8fJy9/o=</DigestValue>
      </Reference>
      <Reference URI="/xl/worksheets/sheet31.xml?ContentType=application/vnd.openxmlformats-officedocument.spreadsheetml.worksheet+xml">
        <DigestMethod Algorithm="http://www.w3.org/2001/04/xmlenc#sha256"/>
        <DigestValue>X1hjsGMnSgmRrqSHYE4rFJxT5TSp7A8K+R3HSTtdsno=</DigestValue>
      </Reference>
      <Reference URI="/xl/worksheets/sheet32.xml?ContentType=application/vnd.openxmlformats-officedocument.spreadsheetml.worksheet+xml">
        <DigestMethod Algorithm="http://www.w3.org/2001/04/xmlenc#sha256"/>
        <DigestValue>vK1365wnEcrZKa1pSJIcI5oZ+84uPJ5gFq0i37o1j/I=</DigestValue>
      </Reference>
      <Reference URI="/xl/worksheets/sheet33.xml?ContentType=application/vnd.openxmlformats-officedocument.spreadsheetml.worksheet+xml">
        <DigestMethod Algorithm="http://www.w3.org/2001/04/xmlenc#sha256"/>
        <DigestValue>hl6gOnx2VyagnTSfgnJPSyic5Ye1GrEE8/EXrGv50WQ=</DigestValue>
      </Reference>
      <Reference URI="/xl/worksheets/sheet4.xml?ContentType=application/vnd.openxmlformats-officedocument.spreadsheetml.worksheet+xml">
        <DigestMethod Algorithm="http://www.w3.org/2001/04/xmlenc#sha256"/>
        <DigestValue>3kLykn2tjbnO1AqBpfH4UlFzDuOSx4mlGchCl8zpHE4=</DigestValue>
      </Reference>
      <Reference URI="/xl/worksheets/sheet5.xml?ContentType=application/vnd.openxmlformats-officedocument.spreadsheetml.worksheet+xml">
        <DigestMethod Algorithm="http://www.w3.org/2001/04/xmlenc#sha256"/>
        <DigestValue>lCKfBe4XPNFwduSN7CXdksbiDT5mGvlpzc7SGQoJkZY=</DigestValue>
      </Reference>
      <Reference URI="/xl/worksheets/sheet6.xml?ContentType=application/vnd.openxmlformats-officedocument.spreadsheetml.worksheet+xml">
        <DigestMethod Algorithm="http://www.w3.org/2001/04/xmlenc#sha256"/>
        <DigestValue>Vfka9YcaPNyFl8bxjoXYhd/bZj0hZWpmQS8ubU1E/hg=</DigestValue>
      </Reference>
      <Reference URI="/xl/worksheets/sheet7.xml?ContentType=application/vnd.openxmlformats-officedocument.spreadsheetml.worksheet+xml">
        <DigestMethod Algorithm="http://www.w3.org/2001/04/xmlenc#sha256"/>
        <DigestValue>c6eoUaAItZviZ6kQehcThRIMEKL+K6yA1VIFDxOYS60=</DigestValue>
      </Reference>
      <Reference URI="/xl/worksheets/sheet8.xml?ContentType=application/vnd.openxmlformats-officedocument.spreadsheetml.worksheet+xml">
        <DigestMethod Algorithm="http://www.w3.org/2001/04/xmlenc#sha256"/>
        <DigestValue>mzH+KMpDZulJmFitFV9JLT4mj7DBlhW3ghoCbFPMqK0=</DigestValue>
      </Reference>
      <Reference URI="/xl/worksheets/sheet9.xml?ContentType=application/vnd.openxmlformats-officedocument.spreadsheetml.worksheet+xml">
        <DigestMethod Algorithm="http://www.w3.org/2001/04/xmlenc#sha256"/>
        <DigestValue>oS+6/KzBNX2cKn9lHBD0EXM5HWzoGSgv26Gdw0ytCwc=</DigestValue>
      </Reference>
    </Manifest>
    <SignatureProperties>
      <SignatureProperty Id="idSignatureTime" Target="#idPackageSignature">
        <mdssi:SignatureTime xmlns:mdssi="http://schemas.openxmlformats.org/package/2006/digital-signature">
          <mdssi:Format>YYYY-MM-DDThh:mm:ssTZD</mdssi:Format>
          <mdssi:Value>2026-07-20T07:16:26Z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aaaa</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2026-07-20T07:16:26Z</xd:SigningTime>
          <xd:SigningCertificate>
            <xd:Cert>
              <xd:CertDigest>
                <DigestMethod Algorithm="http://www.w3.org/2001/04/xmlenc#sha256"/>
                <DigestValue>bU55H9dcBqi3ttBbYMli7D2XBNW2C5FpDZHhp0iA0fQ=</DigestValue>
              </xd:CertDigest>
              <xd:IssuerSerial>
                <X509IssuerName>CN=NBG Class 2 INT Sub CA, DC=nbg, DC=ge</X509IssuerName>
                <X509SerialNumber>186776948550523162888433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Created and approved this document</xd:Description>
            </xd:CommitmentTypeId>
            <xd:AllSignedDataObjects/>
            <xd:CommitmentTypeQualifiers>
              <xd:CommitmentTypeQualifier>aaaa</xd:CommitmentTypeQualifier>
            </xd:CommitmentTypeQualifiers>
          </xd:CommitmentTypeIndication>
        </xd:SignedDataObjectProperties>
      </xd:SignedProperties>
      <xd:UnsignedProperties>
        <xd:UnsignedSignatureProperties>
          <xd:CertificateValues>
            <xd:EncapsulatedX509Certificate>MIIEgzCCA2ugAwIBAgIKGrWWhwABAAAAsDANBgkqhkiG9w0BAQsFADBHMRIwEAYKCZImiZPyLGQBGRYCZ2UxEzARBgoJkiaJk/IsZAEZFgNuYmcxHDAaBgNVBAMTE05CRyBDbGFzcyAxIFJvb3QgQ0EwHhcNMjUwNDE1MTUxMTEzWhcNMzAwNDE0MTUxMTEzWjBKMRIwEAYKCZImiZPyLGQBGRYCZ2UxEzARBgoJkiaJk/IsZAEZFgNuYmcxHzAdBgNVBAMTFk5CRyBDbGFzcyAyIElOVCBTdWIgQ0EwggEiMA0GCSqGSIb3DQEBAQUAA4IBDwAwggEKAoIBAQCzZc/9jUbS4Uinp9r8TQ9taryMlFEQzOqa5sdTa24xdN4k+ubo6S63dnWGe8dBZecLWY1kSzGBTPyKwZaKihRtlg4jqYqJPpuBh4PA22LaxUV5WJOO6k5gMGVN34DkZ9YVRcSPS7BkkA3FvPd9iW8EknVdRCK3JvfeBZF+eV0MDu3vYOw4OpA+Kx9oQdPT1OKgqrtpV23d4tV667AzNSGVPBnt+EfspbD4hKw1ARpFXwg0a6gtMwtinaBtXOqrpVEUY5oKIiD+lkArl9FuByYxYXttxcYqe2SYnBjKehHoH2BG8QXma8XFUZSs+ipQn6tB7YPjTh0rCHx9bRgcsWBpAgMBAAGjggFsMIIBaDASBgkrBgEEAYI3FQEEBQIDAQAEMCMGCSsGAQQBgjcVAgQWBBQ0KUQRh0D/wO5XJAxgnohVEdcQ3jAdBgNVHQ4EFgQUwy7SL/BMLxnCJ4L89i6sarBJz8EwGQYJKwYBBAGCNxQCBAweCgBTAHUAYgBDAEEwCwYDVR0PBAQDAgGGMA8GA1UdEwEB/wQFMAMBAf8wHwYDVR0jBBgwFoAU6CYsCoPW18Do/q4IevdFE0cp8hkwSQYDVR0fBEIwQDA+oDygOoY4aHR0cDovL2NybC5uYmcuZ292LmdlL2NhL05CRyUyMENsYXNzJTIwMSUyMFJvb3QlMjBDQS5jcmwwaQYIKwYBBQUHAQEEXTBbMFkGCCsGAQUFBzAChk1odHRwOi8vY3JsLm5iZy5nb3YuZ2UvY2EvbmJnLXJvb3RDQS5uYmcuZ2VfTkJHJTIwQ2xhc3MlMjAxJTIwUm9vdCUyMENBKDEpLmNydDANBgkqhkiG9w0BAQsFAAOCAQEAMcCB+dOvKyjwRGTNdAi16EqAVFcgibDsK/Ge40A1AhBE/gpQCljRPsrhlBvVn4sjpGI2Z1MozEf6gVdUVA9KNc2jTBvhF093e9CHKy3Jqvt/qQJ9B4qAw7jbyg7lLvk5quvUs1XuwrDZcfirKPpnzVADCPBDlxHtmacS1kim++JDPXgbUCTrPVaPEgItmTjYFn0fmAQ9jHlaGEpjIfktrvAGmQEmfysMvz65MqsMp6tb0ZtH+VO/u3wMHR99rFQogkd5mxXzOGSax51Q1jOBTIr7L7KnOlLaKSWUY12MeWQOfebuVgftCTdgJksHDtPtIZpHozZbzc/l9R8AgaOChg==</xd:EncapsulatedX509Certificate>
            <xd:EncapsulatedX509Certificate>MIIDpTCCAo2gAwIBAgIQfdD+LvNow5tAi4nyJH3s+jANBgkqhkiG9w0BAQsFADBHMRIwEAYKCZImiZPyLGQBGRYCZ2UxEzARBgoJkiaJk/IsZAEZFgNuYmcxHDAaBgNVBAMTE05CRyBDbGFzcyAxIFJvb3QgQ0EwHhcNMTAxMTI0MjIzOTM0WhcNMzkwNTI4MTg0ODU5WjBHMRIwEAYKCZImiZPyLGQBGRYCZ2UxEzARBgoJkiaJk/IsZAEZFgNuYmcxHDAaBgNVBAMTE05CRyBDbGFzcyAxIFJvb3QgQ0EwggEiMA0GCSqGSIb3DQEBAQUAA4IBDwAwggEKAoIBAQC10LJuvb/cvZzGrHQLwHwBf+8UUxQYtOZKWzNTNgQ6N+4mZ1Z+APzEzWArGAOb+1saGjZxbln1SzXBVWjg9K/YwNojoRUgpMsgwhlfmqNVKTaJh9isLx0V7MNN+/9yZgspe2n/Enga4TaDzPsW9G8cfmTGkE12spVYnphGsz49Nz6mP907sT2efkca9Wgh7lo8UthX5UcpIFbsXa4W53Txg97zyD8nxs701yiZT/2qSPWUaulMG+scanSqnMUb0oifwX6HfpMH20cGs6vUWlZuJkDX3M0XCSMqqnLC3IBQNxkggONyu2Yo63puU5SsTCdsZspgYq3k6o88xB1+53X9AgMBAAGjgYwwgYkwEwYJKwYBBAGCNxQCBAYeBABDAEEwCwYDVR0PBAQDAgGGMA8GA1UdEwEB/wQFMAMBAf8wHQYDVR0OBBYEFOgmLAqD1tfA6P6uCHr3RRNHKfIZMBAGCSsGAQQBgjcVAQQDAgEBMCMGCSsGAQQBgjcVAgQWBBSwQhdv15cMFACCFzx99DRC99OzmTANBgkqhkiG9w0BAQsFAAOCAQEAh2X9DK1cog6ybrZ7TrA73EK7L1elW0CrLsXDuKvKZy71tWPD+MtX1TRjOFno997TgHbSaPFGZWART0g+yyBJ8rI1yNMBANWtgryOvsLap+7Cm1MDIpX3As/isOr17Z3n/HmtTsbm4/4eTpK9Ilh4GbC0Ax+co0/Hq6R/vsxY/TwSCNnfkF2AjYgs+jR+eLWEcu5+qHuy0E+YjTkH6zRIHvDXFNoJvb4beh9H3c+FEClEB3F0xZNsb5NP2ikduU7+K2d2vyLUFN8HDzOCV0Xz1T50lAyHmOJUDEtaYJn5lCXJaK5J+TqABrtwhkCrp/TVS+nFzCDx6N24BfvtR1A47w==</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rGJK2Owsa1B6edt0V8BDmZRGq41lsL3hWNsf99VEosE=</DigestValue>
    </Reference>
    <Reference Type="http://www.w3.org/2000/09/xmldsig#Object" URI="#idOfficeObject">
      <DigestMethod Algorithm="http://www.w3.org/2001/04/xmlenc#sha256"/>
      <DigestValue>2P0KTI45bW7tU/XU6kolbKSTotPGAQp+oNyT8I1NaJE=</DigestValue>
    </Reference>
    <Reference Type="http://uri.etsi.org/01903#SignedProperties" URI="#idSignedProperties">
      <Transforms>
        <Transform Algorithm="http://www.w3.org/TR/2001/REC-xml-c14n-20010315"/>
      </Transforms>
      <DigestMethod Algorithm="http://www.w3.org/2001/04/xmlenc#sha256"/>
      <DigestValue>wxgG7520Pnjv2h3BRr4DpgE0GM9Q6AXayv+4xFZoi04=</DigestValue>
    </Reference>
  </SignedInfo>
  <SignatureValue>r/8DUqOliDC7WkG/WxwkNOZGRGtgAeJvFZWvlV8DJRdp1T/V3YLEwQVmPn9F2uOlDLOAJSx4wEVe
Uq/3VzlwKUiOf9/PQy/WtR8mx5AguilNTRJkvRWDsch8Tvc3QQl8w8YWpfoW44kjfFxCz5uZ1AUV
zBzYsrQlf1EvUTaLHLumyF89kRT4y+dB1BC2RBnLayl4V2pvjj9kpXuJkgeggk1PIB3KFW/MGFd6
NPgXfFWOXSCcbhkYaPwynblptiFXj9aTNNPrdboUg2foQOOUrwUOBvtXzjKxIBtgV9xOpsQDwMjW
vKtjv0gw6ZHrvl0x4d+KBexGZE31D2lvJHntBw==</SignatureValue>
  <KeyInfo>
    <X509Data>
      <X509Certificate>MIIGPjCCBSagAwIBAgIKJ3JJaAAEAAKI8DANBgkqhkiG9w0BAQsFADBKMRIwEAYKCZImiZPyLGQBGRYCZ2UxEzARBgoJkiaJk/IsZAEZFgNuYmcxHzAdBgNVBAMTFk5CRyBDbGFzcyAyIElOVCBTdWIgQ0EwHhcNMjUwNjMwMDcwNTI0WhcNMjcwNjMwMDcwNTI0WjA8MRcwFQYDVQQKEw5KU0MgQ3JlZG8gQmFuazEhMB8GA1UEAxMYQkNEIC0gRXJla2xlIFphdGlhc2h2aWxpMIIBIjANBgkqhkiG9w0BAQEFAAOCAQ8AMIIBCgKCAQEA45GSJSX5XVSnf7fyLnbR9YHGUbwE3pC0CZ1t6xWXnVPHQxewtNSfXrj/GpL6eGyUOsZvc651RVi8p0i6blXuPvbI2qHF7n/jRhoZizXHrd8tzM/oaXIkgIVzFiRL3zyXihQi0VSOrz82mef0bV9jzTJdnKItiLcob8S+qZ2xIgBLDSf1ojGhz7SeB1xxEePOS561Go6s+ahrJwP9uw/s0jUQM7WxMtQN5wKJjiBYUhmM2kEiXYHVtekvAfBsAnJpcyABc/kg/4xgIpln5BbaNNb2u8sAxNtCqXX/9U6nMCqwedqD4gXd8/eyHPne9qQq0d9FmrNNnEaG+e0b51X0RwIDAQABo4IDMjCCAy4wPAYJKwYBBAGCNxUHBC8wLQYlKwYBBAGCNxUI5rJgg431RIaBmQmDuKFKg76EcQSDxJEzhIOIXQIBZAIBIzAdBgNVHSUEFjAUBggrBgEFBQcDAgYIKwYBBQUHAwQwCwYDVR0PBAQDAgeAMCcGCSsGAQQBgjcVCgQaMBgwCgYIKwYBBQUHAwIwCgYIKwYBBQUHAwQwHQYDVR0OBBYEFJNIFQVzutRSv2LCzcizQy9x8tzkMB8GA1UdIwQYMBaAFMMu0i/wTC8ZwieC/PYurGqwSc/BMIIBJQYDVR0fBIIBHDCCARgwggEUoIIBEKCCAQyGgcdsZGFwOi8vL0NOPU5CRyUyMENsYXNzJTIwMiUyMElOVCUyMFN1YiUyMENBKDEpLENOPW5iZy1zdWJDQSxDTj1DRFAsQ049UHVibGljJTIwS2V5JTIwU2VydmljZXMsQ049U2VydmljZXMsQ049Q29uZmlndXJhdGlvbixEQz1uYmcsREM9Z2U/Y2VydGlmaWNhdGVSZXZvY2F0aW9uTGlzdD9iYXNlP29iamVjdENsYXNzPWNSTERpc3RyaWJ1dGlvblBvaW50hkBodHRwOi8vY3JsLm5iZy5nb3YuZ2UvY2EvTkJHJTIwQ2xhc3MlMjAyJTIwSU5UJTIwU3ViJTIwQ0EoMSkuY3JsMIIBLgYIKwYBBQUHAQEEggEgMIIBHDCBugYIKwYBBQUHMAKGga1sZGFwOi8vL0NOPU5CRyUyMENsYXNzJTIwMiUyMElOVCUyMFN1YiUyMENBLENOPUFJQSxDTj1QdWJsaWMlMjBLZXklMjBTZXJ2aWNlcyxDTj1TZXJ2aWNlcyxDTj1Db25maWd1cmF0aW9uLERDPW5iZyxEQz1nZT9jQUNlcnRpZmljYXRlP2Jhc2U/b2JqZWN0Q2xhc3M9Y2VydGlmaWNhdGlvbkF1dGhvcml0eTBdBggrBgEFBQcwAoZRaHR0cDovL2NybC5uYmcuZ292LmdlL2NhL25iZy1zdWJDQS5uYmcuZ2VfTkJHJTIwQ2xhc3MlMjAyJTIwSU5UJTIwU3ViJTIwQ0EoNCkuY3J0MA0GCSqGSIb3DQEBCwUAA4IBAQCDupBcsiReXJd6sxEhqCzqGB9pdjIsuuZYLLLseiVD0r1bfMg8g5c/EHMMP0ejeQi2MKQGPq0zG/1qDYNxJu1t/d6ALuqLW0CHiX58/jpTiX+Op6nIPI56b8va3wceRTcfOlVnbhz85UL31//oH2V+LKgGKMcIE/NVepgtQsz2plyGmtTzAtirmVmbYBk1ulUBW0xwugNPDu5vHCeLSEteN4eAcbKEU35Zjtdo4LImxka7r3K1xKGrmWnJw85V73WMRlatIekR+B9j0ZrUks50k785oza/1YE3s12bVdTCvimr3u5gFZ4pYAk9PVvxRVxz6CQLbbhDtOfKm6PYJ0cB</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6"/>
          </Transform>
          <Transform Algorithm="http://www.w3.org/TR/2001/REC-xml-c14n-20010315"/>
        </Transforms>
        <DigestMethod Algorithm="http://www.w3.org/2001/04/xmlenc#sha256"/>
        <DigestValue>ev4EeEW6fz+AlywGicixOM+XtoDnZGtcQmyDLd3LkFg=</DigestValue>
      </Reference>
      <Reference URI="/xl/calcChain.xml?ContentType=application/vnd.openxmlformats-officedocument.spreadsheetml.calcChain+xml">
        <DigestMethod Algorithm="http://www.w3.org/2001/04/xmlenc#sha256"/>
        <DigestValue>w+dy+2xa0P1YlTnz3Q8IjL7bxt4Kj4fOMLMi5o++C6U=</DigestValue>
      </Reference>
      <Reference URI="/xl/comments1.xml?ContentType=application/vnd.openxmlformats-officedocument.spreadsheetml.comments+xml">
        <DigestMethod Algorithm="http://www.w3.org/2001/04/xmlenc#sha256"/>
        <DigestValue>lDGi+e21pUNUERcQ10hcveeVtwtB5TBHBbQ5epVeWPM=</DigestValue>
      </Reference>
      <Reference URI="/xl/comments2.xml?ContentType=application/vnd.openxmlformats-officedocument.spreadsheetml.comments+xml">
        <DigestMethod Algorithm="http://www.w3.org/2001/04/xmlenc#sha256"/>
        <DigestValue>D1ZJOUA+rSHcom9m3ySIHuX7CboEvAibeubIv/6JwCs=</DigestValue>
      </Reference>
      <Reference URI="/xl/drawings/drawing1.xml?ContentType=application/vnd.openxmlformats-officedocument.drawing+xml">
        <DigestMethod Algorithm="http://www.w3.org/2001/04/xmlenc#sha256"/>
        <DigestValue>R1LJm+AhlNP5akpTq67x0rdMG+aWVkGYuvUF1YgTbNw=</DigestValue>
      </Reference>
      <Reference URI="/xl/drawings/vmlDrawing1.vml?ContentType=application/vnd.openxmlformats-officedocument.vmlDrawing">
        <DigestMethod Algorithm="http://www.w3.org/2001/04/xmlenc#sha256"/>
        <DigestValue>7agYMuQ/fp6OL/Mz28RRWXXRuUx4T3alu381Etm27ks=</DigestValue>
      </Reference>
      <Reference URI="/xl/drawings/vmlDrawing2.vml?ContentType=application/vnd.openxmlformats-officedocument.vmlDrawing">
        <DigestMethod Algorithm="http://www.w3.org/2001/04/xmlenc#sha256"/>
        <DigestValue>YeLyGFrTmqzQHUQPgxynTn9Z43LkZGu7npeFJV2FrEk=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yojLcXPL4SikwWYRWMHJ4GIyvAOKeWt5829V9D7CMOs=</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8h2R+DqXjUsH05eBB2ZeN4BsgA63w+UXgeDFU6K+Ww8=</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S9Shbx/WLxct+XdbJLoy+21QXq0uliQl+Jr339wPZe8=</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Cwn3J5enIcfcPZBy9SjKhd6rseEPfRAO8aGWdVH6MfY=</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kR5PAXPRa2lES4MIxNZFyedA4xj9cN8BCCjivo0voGY=</DigestValue>
      </Reference>
      <Reference URI="/xl/externalLinks/externalLink1.xml?ContentType=application/vnd.openxmlformats-officedocument.spreadsheetml.externalLink+xml">
        <DigestMethod Algorithm="http://www.w3.org/2001/04/xmlenc#sha256"/>
        <DigestValue>r5VMIs6AO4HL4uOLt5pJnqhP0sO7uDpzidH6gzgejBs=</DigestValue>
      </Reference>
      <Reference URI="/xl/externalLinks/externalLink2.xml?ContentType=application/vnd.openxmlformats-officedocument.spreadsheetml.externalLink+xml">
        <DigestMethod Algorithm="http://www.w3.org/2001/04/xmlenc#sha256"/>
        <DigestValue>MJIRMH6v0QbwIZ2crvLbVFsWHVPKbvRmYE6dtOyV+00=</DigestValue>
      </Reference>
      <Reference URI="/xl/externalLinks/externalLink3.xml?ContentType=application/vnd.openxmlformats-officedocument.spreadsheetml.externalLink+xml">
        <DigestMethod Algorithm="http://www.w3.org/2001/04/xmlenc#sha256"/>
        <DigestValue>gr+YulVqyxJmtCvVGqOr7TLdCaYWqpyNUVsu9jjGET8=</DigestValue>
      </Reference>
      <Reference URI="/xl/externalLinks/externalLink4.xml?ContentType=application/vnd.openxmlformats-officedocument.spreadsheetml.externalLink+xml">
        <DigestMethod Algorithm="http://www.w3.org/2001/04/xmlenc#sha256"/>
        <DigestValue>53YeaXFcHe3Q2aue/NluwglauvPXuBIS+ctAZfjkc54=</DigestValue>
      </Reference>
      <Reference URI="/xl/externalLinks/externalLink5.xml?ContentType=application/vnd.openxmlformats-officedocument.spreadsheetml.externalLink+xml">
        <DigestMethod Algorithm="http://www.w3.org/2001/04/xmlenc#sha256"/>
        <DigestValue>1Nr1IxEr6T1RXXysaETfk+2TFlZO07TpouaBU4+ti+4=</DigestValue>
      </Reference>
      <Reference URI="/xl/persons/person.xml?ContentType=application/vnd.ms-excel.person+xml">
        <DigestMethod Algorithm="http://www.w3.org/2001/04/xmlenc#sha256"/>
        <DigestValue>9ovHkOiwvcLvdfkw7//EwckcKcZS9hZ6k9INOJkQ7fQ=</DigestValue>
      </Reference>
      <Reference URI="/xl/printerSettings/printerSettings1.bin?ContentType=application/vnd.openxmlformats-officedocument.spreadsheetml.printerSettings">
        <DigestMethod Algorithm="http://www.w3.org/2001/04/xmlenc#sha256"/>
        <DigestValue>ze+MZOtihPj9dKeV/Dz5QESpeY6Fdwmnkxhrh69STxA=</DigestValue>
      </Reference>
      <Reference URI="/xl/printerSettings/printerSettings10.bin?ContentType=application/vnd.openxmlformats-officedocument.spreadsheetml.printerSettings">
        <DigestMethod Algorithm="http://www.w3.org/2001/04/xmlenc#sha256"/>
        <DigestValue>nkR1lu9OLM1UMxWiPa7wm3YcnQOlFOICy95qYiodDz0=</DigestValue>
      </Reference>
      <Reference URI="/xl/printerSettings/printerSettings11.bin?ContentType=application/vnd.openxmlformats-officedocument.spreadsheetml.printerSettings">
        <DigestMethod Algorithm="http://www.w3.org/2001/04/xmlenc#sha256"/>
        <DigestValue>nkR1lu9OLM1UMxWiPa7wm3YcnQOlFOICy95qYiodDz0=</DigestValue>
      </Reference>
      <Reference URI="/xl/printerSettings/printerSettings12.bin?ContentType=application/vnd.openxmlformats-officedocument.spreadsheetml.printerSettings">
        <DigestMethod Algorithm="http://www.w3.org/2001/04/xmlenc#sha256"/>
        <DigestValue>yMi8stU5bqFShuh1MUNAff1/atoh6+i0/ROVy9FQsKk=</DigestValue>
      </Reference>
      <Reference URI="/xl/printerSettings/printerSettings13.bin?ContentType=application/vnd.openxmlformats-officedocument.spreadsheetml.printerSettings">
        <DigestMethod Algorithm="http://www.w3.org/2001/04/xmlenc#sha256"/>
        <DigestValue>16nRtTkTNfAdSTF0Lg1CT4t8t5VLf2B9wJs/PWFk54A=</DigestValue>
      </Reference>
      <Reference URI="/xl/printerSettings/printerSettings14.bin?ContentType=application/vnd.openxmlformats-officedocument.spreadsheetml.printerSettings">
        <DigestMethod Algorithm="http://www.w3.org/2001/04/xmlenc#sha256"/>
        <DigestValue>16nRtTkTNfAdSTF0Lg1CT4t8t5VLf2B9wJs/PWFk54A=</DigestValue>
      </Reference>
      <Reference URI="/xl/printerSettings/printerSettings15.bin?ContentType=application/vnd.openxmlformats-officedocument.spreadsheetml.printerSettings">
        <DigestMethod Algorithm="http://www.w3.org/2001/04/xmlenc#sha256"/>
        <DigestValue>16nRtTkTNfAdSTF0Lg1CT4t8t5VLf2B9wJs/PWFk54A=</DigestValue>
      </Reference>
      <Reference URI="/xl/printerSettings/printerSettings16.bin?ContentType=application/vnd.openxmlformats-officedocument.spreadsheetml.printerSettings">
        <DigestMethod Algorithm="http://www.w3.org/2001/04/xmlenc#sha256"/>
        <DigestValue>2m6CW85rBYKpJKifjkFVt0n58BwBksWMXfva2VqaA+I=</DigestValue>
      </Reference>
      <Reference URI="/xl/printerSettings/printerSettings17.bin?ContentType=application/vnd.openxmlformats-officedocument.spreadsheetml.printerSettings">
        <DigestMethod Algorithm="http://www.w3.org/2001/04/xmlenc#sha256"/>
        <DigestValue>ar6hk/aRBhJ3Q7h1Xd48HWTe7Gl3RUqECzD058YGBrM=</DigestValue>
      </Reference>
      <Reference URI="/xl/printerSettings/printerSettings18.bin?ContentType=application/vnd.openxmlformats-officedocument.spreadsheetml.printerSettings">
        <DigestMethod Algorithm="http://www.w3.org/2001/04/xmlenc#sha256"/>
        <DigestValue>ze+MZOtihPj9dKeV/Dz5QESpeY6Fdwmnkxhrh69STxA=</DigestValue>
      </Reference>
      <Reference URI="/xl/printerSettings/printerSettings19.bin?ContentType=application/vnd.openxmlformats-officedocument.spreadsheetml.printerSettings">
        <DigestMethod Algorithm="http://www.w3.org/2001/04/xmlenc#sha256"/>
        <DigestValue>zxLIGjiJ19gUsPtQr72salfkFKrVFBCr1X8320JEcsQ=</DigestValue>
      </Reference>
      <Reference URI="/xl/printerSettings/printerSettings2.bin?ContentType=application/vnd.openxmlformats-officedocument.spreadsheetml.printerSettings">
        <DigestMethod Algorithm="http://www.w3.org/2001/04/xmlenc#sha256"/>
        <DigestValue>16nRtTkTNfAdSTF0Lg1CT4t8t5VLf2B9wJs/PWFk54A=</DigestValue>
      </Reference>
      <Reference URI="/xl/printerSettings/printerSettings20.bin?ContentType=application/vnd.openxmlformats-officedocument.spreadsheetml.printerSettings">
        <DigestMethod Algorithm="http://www.w3.org/2001/04/xmlenc#sha256"/>
        <DigestValue>iE26OokMEnQMYiWgMfFhVXzSbn0Dmk333xx6Y+G1iUw=</DigestValue>
      </Reference>
      <Reference URI="/xl/printerSettings/printerSettings21.bin?ContentType=application/vnd.openxmlformats-officedocument.spreadsheetml.printerSettings">
        <DigestMethod Algorithm="http://www.w3.org/2001/04/xmlenc#sha256"/>
        <DigestValue>nkR1lu9OLM1UMxWiPa7wm3YcnQOlFOICy95qYiodDz0=</DigestValue>
      </Reference>
      <Reference URI="/xl/printerSettings/printerSettings22.bin?ContentType=application/vnd.openxmlformats-officedocument.spreadsheetml.printerSettings">
        <DigestMethod Algorithm="http://www.w3.org/2001/04/xmlenc#sha256"/>
        <DigestValue>2bvX94YA3UVSaKlpfCjo157kRTaGD9ZFW7t96/Nk1uk=</DigestValue>
      </Reference>
      <Reference URI="/xl/printerSettings/printerSettings23.bin?ContentType=application/vnd.openxmlformats-officedocument.spreadsheetml.printerSettings">
        <DigestMethod Algorithm="http://www.w3.org/2001/04/xmlenc#sha256"/>
        <DigestValue>SWiohiWSuPjjcblZxueyphOzVidWJvXmdfCiNQW6SiY=</DigestValue>
      </Reference>
      <Reference URI="/xl/printerSettings/printerSettings24.bin?ContentType=application/vnd.openxmlformats-officedocument.spreadsheetml.printerSettings">
        <DigestMethod Algorithm="http://www.w3.org/2001/04/xmlenc#sha256"/>
        <DigestValue>iE26OokMEnQMYiWgMfFhVXzSbn0Dmk333xx6Y+G1iUw=</DigestValue>
      </Reference>
      <Reference URI="/xl/printerSettings/printerSettings25.bin?ContentType=application/vnd.openxmlformats-officedocument.spreadsheetml.printerSettings">
        <DigestMethod Algorithm="http://www.w3.org/2001/04/xmlenc#sha256"/>
        <DigestValue>qqKz7UtelGHdfiWdqNc1EvL8LqlQ7O4MTpeoyQcgyv0=</DigestValue>
      </Reference>
      <Reference URI="/xl/printerSettings/printerSettings26.bin?ContentType=application/vnd.openxmlformats-officedocument.spreadsheetml.printerSettings">
        <DigestMethod Algorithm="http://www.w3.org/2001/04/xmlenc#sha256"/>
        <DigestValue>qqKz7UtelGHdfiWdqNc1EvL8LqlQ7O4MTpeoyQcgyv0=</DigestValue>
      </Reference>
      <Reference URI="/xl/printerSettings/printerSettings27.bin?ContentType=application/vnd.openxmlformats-officedocument.spreadsheetml.printerSettings">
        <DigestMethod Algorithm="http://www.w3.org/2001/04/xmlenc#sha256"/>
        <DigestValue>ze+MZOtihPj9dKeV/Dz5QESpeY6Fdwmnkxhrh69STxA=</DigestValue>
      </Reference>
      <Reference URI="/xl/printerSettings/printerSettings28.bin?ContentType=application/vnd.openxmlformats-officedocument.spreadsheetml.printerSettings">
        <DigestMethod Algorithm="http://www.w3.org/2001/04/xmlenc#sha256"/>
        <DigestValue>sV7nAd1qbnTrL1lTf5fthYyueRsK0y0H/dNk1XOHVVo=</DigestValue>
      </Reference>
      <Reference URI="/xl/printerSettings/printerSettings3.bin?ContentType=application/vnd.openxmlformats-officedocument.spreadsheetml.printerSettings">
        <DigestMethod Algorithm="http://www.w3.org/2001/04/xmlenc#sha256"/>
        <DigestValue>EKGprfHc+H/gyzRZZBHrFfPlu2WlrJ3b9VoWeQJrTNM=</DigestValue>
      </Reference>
      <Reference URI="/xl/printerSettings/printerSettings4.bin?ContentType=application/vnd.openxmlformats-officedocument.spreadsheetml.printerSettings">
        <DigestMethod Algorithm="http://www.w3.org/2001/04/xmlenc#sha256"/>
        <DigestValue>ZZHgBK3ClE4NLQ/d1wTpBivMuCT8wZjjdiWSGfkAHbk=</DigestValue>
      </Reference>
      <Reference URI="/xl/printerSettings/printerSettings5.bin?ContentType=application/vnd.openxmlformats-officedocument.spreadsheetml.printerSettings">
        <DigestMethod Algorithm="http://www.w3.org/2001/04/xmlenc#sha256"/>
        <DigestValue>L+CxbXS3yzcVLTJTz50kMb6T4gEHhM4qLfUzzpiwfWw=</DigestValue>
      </Reference>
      <Reference URI="/xl/printerSettings/printerSettings6.bin?ContentType=application/vnd.openxmlformats-officedocument.spreadsheetml.printerSettings">
        <DigestMethod Algorithm="http://www.w3.org/2001/04/xmlenc#sha256"/>
        <DigestValue>q37DKJ3MOesPIbDJgzDr4ED93fuV2dJiVKcNrtVCMaE=</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p15fOjzmBTLGI8Klf+TI4woTVTHX8Q0l14vNf+jwiuE=</DigestValue>
      </Reference>
      <Reference URI="/xl/printerSettings/printerSettings9.bin?ContentType=application/vnd.openxmlformats-officedocument.spreadsheetml.printerSettings">
        <DigestMethod Algorithm="http://www.w3.org/2001/04/xmlenc#sha256"/>
        <DigestValue>2m6CW85rBYKpJKifjkFVt0n58BwBksWMXfva2VqaA+I=</DigestValue>
      </Reference>
      <Reference URI="/xl/sharedStrings.xml?ContentType=application/vnd.openxmlformats-officedocument.spreadsheetml.sharedStrings+xml">
        <DigestMethod Algorithm="http://www.w3.org/2001/04/xmlenc#sha256"/>
        <DigestValue>RBWVybEUEscLhXCdPWrFvsS8qyHl4q0H0zbv/0lGDrA=</DigestValue>
      </Reference>
      <Reference URI="/xl/styles.xml?ContentType=application/vnd.openxmlformats-officedocument.spreadsheetml.styles+xml">
        <DigestMethod Algorithm="http://www.w3.org/2001/04/xmlenc#sha256"/>
        <DigestValue>+PPJd5jxsIcdmIgZb9kXgknyZBGxMLKnlkf3QCuIIZE=</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qP/BTei5I+59h1Pdm8+bh66eWjTgn29hkuAMVfs/Puw=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uBCsLoCeDaoZuHLizZacnRXpOOOOxk0iSLefQ5jFwpo=</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pu7AeStVnF2Tjums//R3gi3YYJuhVpsPADYtciCdM8Q=</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QiDCyON6/l/Ti8hBcEpg68sz+6NJGWbPiZMQQy/y0eQ=</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xEjnoC6oveMaQJxRAfS6Ocv9rAtbqw8uIVWScNpbU2I=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sheet1.xml?ContentType=application/vnd.openxmlformats-officedocument.spreadsheetml.worksheet+xml">
        <DigestMethod Algorithm="http://www.w3.org/2001/04/xmlenc#sha256"/>
        <DigestValue>1AaF2ddXYH8mi9nFZSXdNVjv/MU1ISeLi+s3xsqsI3c=</DigestValue>
      </Reference>
      <Reference URI="/xl/worksheets/sheet10.xml?ContentType=application/vnd.openxmlformats-officedocument.spreadsheetml.worksheet+xml">
        <DigestMethod Algorithm="http://www.w3.org/2001/04/xmlenc#sha256"/>
        <DigestValue>5bExDzkWYAGqFf9DQTUqXr+iCtR1/0zJvFWJm+gyMEQ=</DigestValue>
      </Reference>
      <Reference URI="/xl/worksheets/sheet11.xml?ContentType=application/vnd.openxmlformats-officedocument.spreadsheetml.worksheet+xml">
        <DigestMethod Algorithm="http://www.w3.org/2001/04/xmlenc#sha256"/>
        <DigestValue>v7I3KIYGFftku2rHy5ZirbcZ5c2t4mSl2Vx0W7RmyUI=</DigestValue>
      </Reference>
      <Reference URI="/xl/worksheets/sheet12.xml?ContentType=application/vnd.openxmlformats-officedocument.spreadsheetml.worksheet+xml">
        <DigestMethod Algorithm="http://www.w3.org/2001/04/xmlenc#sha256"/>
        <DigestValue>ZvJMZXh/9I6ehT5s+ySG26nemYRFBk/6s1SeSEqeIvo=</DigestValue>
      </Reference>
      <Reference URI="/xl/worksheets/sheet13.xml?ContentType=application/vnd.openxmlformats-officedocument.spreadsheetml.worksheet+xml">
        <DigestMethod Algorithm="http://www.w3.org/2001/04/xmlenc#sha256"/>
        <DigestValue>iwIlIY1hVB9BpvCnhkq+6Fa7me0T38j/ujcx5Wwp8sA=</DigestValue>
      </Reference>
      <Reference URI="/xl/worksheets/sheet14.xml?ContentType=application/vnd.openxmlformats-officedocument.spreadsheetml.worksheet+xml">
        <DigestMethod Algorithm="http://www.w3.org/2001/04/xmlenc#sha256"/>
        <DigestValue>L7L4env2qTRlgW3J9wprc0o8rnbB+K9bT39FYnKgTFw=</DigestValue>
      </Reference>
      <Reference URI="/xl/worksheets/sheet15.xml?ContentType=application/vnd.openxmlformats-officedocument.spreadsheetml.worksheet+xml">
        <DigestMethod Algorithm="http://www.w3.org/2001/04/xmlenc#sha256"/>
        <DigestValue>3ZLn8v9wsoJ+UUpB//vQfGnvC/ISl5Y+wIHgncW55KU=</DigestValue>
      </Reference>
      <Reference URI="/xl/worksheets/sheet16.xml?ContentType=application/vnd.openxmlformats-officedocument.spreadsheetml.worksheet+xml">
        <DigestMethod Algorithm="http://www.w3.org/2001/04/xmlenc#sha256"/>
        <DigestValue>7gY7jz1k60x7STKCvvDUvJxKg6ol0WE4sh1JH23C3bc=</DigestValue>
      </Reference>
      <Reference URI="/xl/worksheets/sheet17.xml?ContentType=application/vnd.openxmlformats-officedocument.spreadsheetml.worksheet+xml">
        <DigestMethod Algorithm="http://www.w3.org/2001/04/xmlenc#sha256"/>
        <DigestValue>xJaBUB4oaZKE9nFZhhr3tnccYS5KPgT16lS5kxFCIB0=</DigestValue>
      </Reference>
      <Reference URI="/xl/worksheets/sheet18.xml?ContentType=application/vnd.openxmlformats-officedocument.spreadsheetml.worksheet+xml">
        <DigestMethod Algorithm="http://www.w3.org/2001/04/xmlenc#sha256"/>
        <DigestValue>MDRgh+8eRc68Cq3Yqo0/8xmVoNX6PVfZ7TJg8c4YuMo=</DigestValue>
      </Reference>
      <Reference URI="/xl/worksheets/sheet19.xml?ContentType=application/vnd.openxmlformats-officedocument.spreadsheetml.worksheet+xml">
        <DigestMethod Algorithm="http://www.w3.org/2001/04/xmlenc#sha256"/>
        <DigestValue>EziFLOeTJaFQY1LQ7i9QmZGYWdbOZYNXPUmgN8fEeQU=</DigestValue>
      </Reference>
      <Reference URI="/xl/worksheets/sheet2.xml?ContentType=application/vnd.openxmlformats-officedocument.spreadsheetml.worksheet+xml">
        <DigestMethod Algorithm="http://www.w3.org/2001/04/xmlenc#sha256"/>
        <DigestValue>EWPCBpJF8rlF4JGvVeTRcyVoZql4tFer/Ry5d6IL/Hw=</DigestValue>
      </Reference>
      <Reference URI="/xl/worksheets/sheet20.xml?ContentType=application/vnd.openxmlformats-officedocument.spreadsheetml.worksheet+xml">
        <DigestMethod Algorithm="http://www.w3.org/2001/04/xmlenc#sha256"/>
        <DigestValue>QQ/qjI3bSHBLarfB2+xWzTMVaNptpYv4hQnYageQqso=</DigestValue>
      </Reference>
      <Reference URI="/xl/worksheets/sheet21.xml?ContentType=application/vnd.openxmlformats-officedocument.spreadsheetml.worksheet+xml">
        <DigestMethod Algorithm="http://www.w3.org/2001/04/xmlenc#sha256"/>
        <DigestValue>rUzu9nHn6RsIMIS1XpEEcbW0PwzNmbRFjsBiBGr5yto=</DigestValue>
      </Reference>
      <Reference URI="/xl/worksheets/sheet22.xml?ContentType=application/vnd.openxmlformats-officedocument.spreadsheetml.worksheet+xml">
        <DigestMethod Algorithm="http://www.w3.org/2001/04/xmlenc#sha256"/>
        <DigestValue>Rdm13aZbtO61R8h5uHxQOnZq6jpuVNbXjhP8uGheS00=</DigestValue>
      </Reference>
      <Reference URI="/xl/worksheets/sheet23.xml?ContentType=application/vnd.openxmlformats-officedocument.spreadsheetml.worksheet+xml">
        <DigestMethod Algorithm="http://www.w3.org/2001/04/xmlenc#sha256"/>
        <DigestValue>utj+K2x/qQbl8ie06tgU+ZKZUoz8nSvR3+mjrxB0nXg=</DigestValue>
      </Reference>
      <Reference URI="/xl/worksheets/sheet24.xml?ContentType=application/vnd.openxmlformats-officedocument.spreadsheetml.worksheet+xml">
        <DigestMethod Algorithm="http://www.w3.org/2001/04/xmlenc#sha256"/>
        <DigestValue>lSsiuTN1InJlNBIe5IFaSWeTr73cQ+rqn1kuctD4xRc=</DigestValue>
      </Reference>
      <Reference URI="/xl/worksheets/sheet25.xml?ContentType=application/vnd.openxmlformats-officedocument.spreadsheetml.worksheet+xml">
        <DigestMethod Algorithm="http://www.w3.org/2001/04/xmlenc#sha256"/>
        <DigestValue>jlYPDfq5WPpiIHFwktyo4M9BQ0iQrzbRVlYQ8ZSYSWU=</DigestValue>
      </Reference>
      <Reference URI="/xl/worksheets/sheet26.xml?ContentType=application/vnd.openxmlformats-officedocument.spreadsheetml.worksheet+xml">
        <DigestMethod Algorithm="http://www.w3.org/2001/04/xmlenc#sha256"/>
        <DigestValue>qv/Rh86SMN1vy2PHtvWm8z/xIawJv1YTJrLzVFdgyG8=</DigestValue>
      </Reference>
      <Reference URI="/xl/worksheets/sheet27.xml?ContentType=application/vnd.openxmlformats-officedocument.spreadsheetml.worksheet+xml">
        <DigestMethod Algorithm="http://www.w3.org/2001/04/xmlenc#sha256"/>
        <DigestValue>KLZVT+cSPihmo3rc47rvE3pbv0O7nM9yIDRTqbBODrw=</DigestValue>
      </Reference>
      <Reference URI="/xl/worksheets/sheet28.xml?ContentType=application/vnd.openxmlformats-officedocument.spreadsheetml.worksheet+xml">
        <DigestMethod Algorithm="http://www.w3.org/2001/04/xmlenc#sha256"/>
        <DigestValue>OiVBxevniie6erpXOgLNFaL4raHmbSNGMziYPZ9XKhc=</DigestValue>
      </Reference>
      <Reference URI="/xl/worksheets/sheet29.xml?ContentType=application/vnd.openxmlformats-officedocument.spreadsheetml.worksheet+xml">
        <DigestMethod Algorithm="http://www.w3.org/2001/04/xmlenc#sha256"/>
        <DigestValue>yHmnIj7m6G/DmW539ksqZweRb3Nipgc4+65fl5IEOxU=</DigestValue>
      </Reference>
      <Reference URI="/xl/worksheets/sheet3.xml?ContentType=application/vnd.openxmlformats-officedocument.spreadsheetml.worksheet+xml">
        <DigestMethod Algorithm="http://www.w3.org/2001/04/xmlenc#sha256"/>
        <DigestValue>QOo7++LBazVEQpR+9knwq9+O3h4Ov80ihKQn1rJ9jcM=</DigestValue>
      </Reference>
      <Reference URI="/xl/worksheets/sheet30.xml?ContentType=application/vnd.openxmlformats-officedocument.spreadsheetml.worksheet+xml">
        <DigestMethod Algorithm="http://www.w3.org/2001/04/xmlenc#sha256"/>
        <DigestValue>MUUhXNLfUyGLERIa5Drqx1lyBxIUZPmb/DRN8fJy9/o=</DigestValue>
      </Reference>
      <Reference URI="/xl/worksheets/sheet31.xml?ContentType=application/vnd.openxmlformats-officedocument.spreadsheetml.worksheet+xml">
        <DigestMethod Algorithm="http://www.w3.org/2001/04/xmlenc#sha256"/>
        <DigestValue>X1hjsGMnSgmRrqSHYE4rFJxT5TSp7A8K+R3HSTtdsno=</DigestValue>
      </Reference>
      <Reference URI="/xl/worksheets/sheet32.xml?ContentType=application/vnd.openxmlformats-officedocument.spreadsheetml.worksheet+xml">
        <DigestMethod Algorithm="http://www.w3.org/2001/04/xmlenc#sha256"/>
        <DigestValue>vK1365wnEcrZKa1pSJIcI5oZ+84uPJ5gFq0i37o1j/I=</DigestValue>
      </Reference>
      <Reference URI="/xl/worksheets/sheet33.xml?ContentType=application/vnd.openxmlformats-officedocument.spreadsheetml.worksheet+xml">
        <DigestMethod Algorithm="http://www.w3.org/2001/04/xmlenc#sha256"/>
        <DigestValue>hl6gOnx2VyagnTSfgnJPSyic5Ye1GrEE8/EXrGv50WQ=</DigestValue>
      </Reference>
      <Reference URI="/xl/worksheets/sheet4.xml?ContentType=application/vnd.openxmlformats-officedocument.spreadsheetml.worksheet+xml">
        <DigestMethod Algorithm="http://www.w3.org/2001/04/xmlenc#sha256"/>
        <DigestValue>3kLykn2tjbnO1AqBpfH4UlFzDuOSx4mlGchCl8zpHE4=</DigestValue>
      </Reference>
      <Reference URI="/xl/worksheets/sheet5.xml?ContentType=application/vnd.openxmlformats-officedocument.spreadsheetml.worksheet+xml">
        <DigestMethod Algorithm="http://www.w3.org/2001/04/xmlenc#sha256"/>
        <DigestValue>lCKfBe4XPNFwduSN7CXdksbiDT5mGvlpzc7SGQoJkZY=</DigestValue>
      </Reference>
      <Reference URI="/xl/worksheets/sheet6.xml?ContentType=application/vnd.openxmlformats-officedocument.spreadsheetml.worksheet+xml">
        <DigestMethod Algorithm="http://www.w3.org/2001/04/xmlenc#sha256"/>
        <DigestValue>Vfka9YcaPNyFl8bxjoXYhd/bZj0hZWpmQS8ubU1E/hg=</DigestValue>
      </Reference>
      <Reference URI="/xl/worksheets/sheet7.xml?ContentType=application/vnd.openxmlformats-officedocument.spreadsheetml.worksheet+xml">
        <DigestMethod Algorithm="http://www.w3.org/2001/04/xmlenc#sha256"/>
        <DigestValue>c6eoUaAItZviZ6kQehcThRIMEKL+K6yA1VIFDxOYS60=</DigestValue>
      </Reference>
      <Reference URI="/xl/worksheets/sheet8.xml?ContentType=application/vnd.openxmlformats-officedocument.spreadsheetml.worksheet+xml">
        <DigestMethod Algorithm="http://www.w3.org/2001/04/xmlenc#sha256"/>
        <DigestValue>mzH+KMpDZulJmFitFV9JLT4mj7DBlhW3ghoCbFPMqK0=</DigestValue>
      </Reference>
      <Reference URI="/xl/worksheets/sheet9.xml?ContentType=application/vnd.openxmlformats-officedocument.spreadsheetml.worksheet+xml">
        <DigestMethod Algorithm="http://www.w3.org/2001/04/xmlenc#sha256"/>
        <DigestValue>oS+6/KzBNX2cKn9lHBD0EXM5HWzoGSgv26Gdw0ytCwc=</DigestValue>
      </Reference>
    </Manifest>
    <SignatureProperties>
      <SignatureProperty Id="idSignatureTime" Target="#idPackageSignature">
        <mdssi:SignatureTime xmlns:mdssi="http://schemas.openxmlformats.org/package/2006/digital-signature">
          <mdssi:Format>YYYY-MM-DDThh:mm:ssTZD</mdssi:Format>
          <mdssi:Value>2026-07-21T10:58:25Z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nbg reporting</SignatureComments>
          <WindowsVersion>10.0</WindowsVersion>
          <OfficeVersion>16.0.20131/27</OfficeVersion>
          <ApplicationVersion>16.0.20131</ApplicationVersion>
          <Monitors>1</Monitors>
          <HorizontalResolution>3840</HorizontalResolution>
          <VerticalResolution>2160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2026-07-21T10:58:25Z</xd:SigningTime>
          <xd:SigningCertificate>
            <xd:Cert>
              <xd:CertDigest>
                <DigestMethod Algorithm="http://www.w3.org/2001/04/xmlenc#sha256"/>
                <DigestValue>Q7Uepn9gkBAEvbbhMzOw/ABQnlA3wu/Avda6gvXjvFg=</DigestValue>
              </xd:CertDigest>
              <xd:IssuerSerial>
                <X509IssuerName>CN=NBG Class 2 INT Sub CA, DC=nbg, DC=ge</X509IssuerName>
                <X509SerialNumber>186280511134098578901232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Qualifiers>
              <xd:CommitmentTypeQualifier>nbg reporting</xd:CommitmentTypeQualifier>
            </xd:CommitmentTypeQualifiers>
          </xd:CommitmentTypeIndication>
        </xd:SignedDataObjectProperties>
      </xd:SignedProperties>
      <xd:UnsignedProperties>
        <xd:UnsignedSignatureProperties>
          <xd:CertificateValues>
            <xd:EncapsulatedX509Certificate>MIIEgzCCA2ugAwIBAgIKGrWWhwABAAAAsDANBgkqhkiG9w0BAQsFADBHMRIwEAYKCZImiZPyLGQBGRYCZ2UxEzARBgoJkiaJk/IsZAEZFgNuYmcxHDAaBgNVBAMTE05CRyBDbGFzcyAxIFJvb3QgQ0EwHhcNMjUwNDE1MTUxMTEzWhcNMzAwNDE0MTUxMTEzWjBKMRIwEAYKCZImiZPyLGQBGRYCZ2UxEzARBgoJkiaJk/IsZAEZFgNuYmcxHzAdBgNVBAMTFk5CRyBDbGFzcyAyIElOVCBTdWIgQ0EwggEiMA0GCSqGSIb3DQEBAQUAA4IBDwAwggEKAoIBAQCzZc/9jUbS4Uinp9r8TQ9taryMlFEQzOqa5sdTa24xdN4k+ubo6S63dnWGe8dBZecLWY1kSzGBTPyKwZaKihRtlg4jqYqJPpuBh4PA22LaxUV5WJOO6k5gMGVN34DkZ9YVRcSPS7BkkA3FvPd9iW8EknVdRCK3JvfeBZF+eV0MDu3vYOw4OpA+Kx9oQdPT1OKgqrtpV23d4tV667AzNSGVPBnt+EfspbD4hKw1ARpFXwg0a6gtMwtinaBtXOqrpVEUY5oKIiD+lkArl9FuByYxYXttxcYqe2SYnBjKehHoH2BG8QXma8XFUZSs+ipQn6tB7YPjTh0rCHx9bRgcsWBpAgMBAAGjggFsMIIBaDASBgkrBgEEAYI3FQEEBQIDAQAEMCMGCSsGAQQBgjcVAgQWBBQ0KUQRh0D/wO5XJAxgnohVEdcQ3jAdBgNVHQ4EFgQUwy7SL/BMLxnCJ4L89i6sarBJz8EwGQYJKwYBBAGCNxQCBAweCgBTAHUAYgBDAEEwCwYDVR0PBAQDAgGGMA8GA1UdEwEB/wQFMAMBAf8wHwYDVR0jBBgwFoAU6CYsCoPW18Do/q4IevdFE0cp8hkwSQYDVR0fBEIwQDA+oDygOoY4aHR0cDovL2NybC5uYmcuZ292LmdlL2NhL05CRyUyMENsYXNzJTIwMSUyMFJvb3QlMjBDQS5jcmwwaQYIKwYBBQUHAQEEXTBbMFkGCCsGAQUFBzAChk1odHRwOi8vY3JsLm5iZy5nb3YuZ2UvY2EvbmJnLXJvb3RDQS5uYmcuZ2VfTkJHJTIwQ2xhc3MlMjAxJTIwUm9vdCUyMENBKDEpLmNydDANBgkqhkiG9w0BAQsFAAOCAQEAMcCB+dOvKyjwRGTNdAi16EqAVFcgibDsK/Ge40A1AhBE/gpQCljRPsrhlBvVn4sjpGI2Z1MozEf6gVdUVA9KNc2jTBvhF093e9CHKy3Jqvt/qQJ9B4qAw7jbyg7lLvk5quvUs1XuwrDZcfirKPpnzVADCPBDlxHtmacS1kim++JDPXgbUCTrPVaPEgItmTjYFn0fmAQ9jHlaGEpjIfktrvAGmQEmfysMvz65MqsMp6tb0ZtH+VO/u3wMHR99rFQogkd5mxXzOGSax51Q1jOBTIr7L7KnOlLaKSWUY12MeWQOfebuVgftCTdgJksHDtPtIZpHozZbzc/l9R8AgaOChg==</xd:EncapsulatedX509Certificate>
            <xd:EncapsulatedX509Certificate>MIIDpTCCAo2gAwIBAgIQfdD+LvNow5tAi4nyJH3s+jANBgkqhkiG9w0BAQsFADBHMRIwEAYKCZImiZPyLGQBGRYCZ2UxEzARBgoJkiaJk/IsZAEZFgNuYmcxHDAaBgNVBAMTE05CRyBDbGFzcyAxIFJvb3QgQ0EwHhcNMTAxMTI0MjIzOTM0WhcNMzkwNTI4MTg0ODU5WjBHMRIwEAYKCZImiZPyLGQBGRYCZ2UxEzARBgoJkiaJk/IsZAEZFgNuYmcxHDAaBgNVBAMTE05CRyBDbGFzcyAxIFJvb3QgQ0EwggEiMA0GCSqGSIb3DQEBAQUAA4IBDwAwggEKAoIBAQC10LJuvb/cvZzGrHQLwHwBf+8UUxQYtOZKWzNTNgQ6N+4mZ1Z+APzEzWArGAOb+1saGjZxbln1SzXBVWjg9K/YwNojoRUgpMsgwhlfmqNVKTaJh9isLx0V7MNN+/9yZgspe2n/Enga4TaDzPsW9G8cfmTGkE12spVYnphGsz49Nz6mP907sT2efkca9Wgh7lo8UthX5UcpIFbsXa4W53Txg97zyD8nxs701yiZT/2qSPWUaulMG+scanSqnMUb0oifwX6HfpMH20cGs6vUWlZuJkDX3M0XCSMqqnLC3IBQNxkggONyu2Yo63puU5SsTCdsZspgYq3k6o88xB1+53X9AgMBAAGjgYwwgYkwEwYJKwYBBAGCNxQCBAYeBABDAEEwCwYDVR0PBAQDAgGGMA8GA1UdEwEB/wQFMAMBAf8wHQYDVR0OBBYEFOgmLAqD1tfA6P6uCHr3RRNHKfIZMBAGCSsGAQQBgjcVAQQDAgEBMCMGCSsGAQQBgjcVAgQWBBSwQhdv15cMFACCFzx99DRC99OzmTANBgkqhkiG9w0BAQsFAAOCAQEAh2X9DK1cog6ybrZ7TrA73EK7L1elW0CrLsXDuKvKZy71tWPD+MtX1TRjOFno997TgHbSaPFGZWART0g+yyBJ8rI1yNMBANWtgryOvsLap+7Cm1MDIpX3As/isOr17Z3n/HmtTsbm4/4eTpK9Ilh4GbC0Ax+co0/Hq6R/vsxY/TwSCNnfkF2AjYgs+jR+eLWEcu5+qHuy0E+YjTkH6zRIHvDXFNoJvb4beh9H3c+FEClEB3F0xZNsb5NP2ikduU7+K2d2vyLUFN8HDzOCV0Xz1T50lAyHmOJUDEtaYJn5lCXJaK5J+TqABrtwhkCrp/TVS+nFzCDx6N24BfvtR1A47w==</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83CD7958-928F-45CE-A0BA-C7ADC4D7D374}">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2026-07-17T10:17:33Z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2250bde7-4d65-43cb-a260-e37a11446c04</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