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1305" documentId="13_ncr:1_{E12D3F1A-62B9-4172-BDA6-FDE9D1BCC41C}" xr6:coauthVersionLast="47" xr6:coauthVersionMax="47" xr10:uidLastSave="{FFBB171C-7EA1-4EC0-9077-3E2B4CF77440}"/>
  <bookViews>
    <workbookView xWindow="-108" yWindow="-108" windowWidth="23256" windowHeight="12456" tabRatio="919" activeTab="6"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 r:id="rId37"/>
    <externalReference r:id="rId38"/>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80" l="1"/>
  <c r="F12" i="80"/>
  <c r="C28" i="100" l="1"/>
  <c r="D6" i="37" l="1"/>
  <c r="F17" i="94" l="1"/>
  <c r="C45" i="93"/>
  <c r="G29" i="93" l="1"/>
  <c r="F29" i="93"/>
  <c r="H7" i="102" l="1"/>
  <c r="H8" i="102"/>
  <c r="H9" i="102"/>
  <c r="H10" i="102"/>
  <c r="H11" i="102"/>
  <c r="H12" i="102"/>
  <c r="H13" i="102"/>
  <c r="H14" i="102"/>
  <c r="H15" i="102"/>
  <c r="H16" i="102"/>
  <c r="H17" i="102"/>
  <c r="H18" i="102"/>
  <c r="H19" i="102"/>
  <c r="H20" i="102"/>
  <c r="H21" i="102"/>
  <c r="H22" i="102"/>
  <c r="H23" i="102"/>
  <c r="H24" i="102"/>
  <c r="H25" i="102"/>
  <c r="H26" i="102"/>
  <c r="H27" i="102"/>
  <c r="H28" i="102"/>
  <c r="H29" i="102"/>
  <c r="H30" i="102"/>
  <c r="H31" i="102"/>
  <c r="H32" i="102"/>
  <c r="C16" i="100" l="1"/>
  <c r="C17" i="100"/>
  <c r="C13" i="100"/>
  <c r="C14" i="100"/>
  <c r="G36" i="80" l="1"/>
  <c r="G38" i="94" l="1"/>
  <c r="F38" i="94"/>
  <c r="Q13" i="104" l="1"/>
  <c r="Q19" i="104" s="1"/>
  <c r="P13" i="104"/>
  <c r="P19" i="104" s="1"/>
  <c r="O13" i="104"/>
  <c r="O19" i="104" s="1"/>
  <c r="N13" i="104"/>
  <c r="N19" i="104" s="1"/>
  <c r="M20" i="104"/>
  <c r="M18" i="104"/>
  <c r="M17" i="104"/>
  <c r="M16" i="104"/>
  <c r="M15" i="104"/>
  <c r="M14" i="104"/>
  <c r="M12" i="104"/>
  <c r="M11" i="104"/>
  <c r="M10" i="104"/>
  <c r="M9" i="104"/>
  <c r="M8" i="104"/>
  <c r="M7" i="104"/>
  <c r="L13" i="104"/>
  <c r="L19" i="104" s="1"/>
  <c r="K13" i="104"/>
  <c r="K19" i="104" s="1"/>
  <c r="J13" i="104"/>
  <c r="J19" i="104" s="1"/>
  <c r="I13" i="104"/>
  <c r="H20" i="104"/>
  <c r="H18" i="104"/>
  <c r="H17" i="104"/>
  <c r="H16" i="104"/>
  <c r="H15" i="104"/>
  <c r="H14" i="104"/>
  <c r="H12" i="104"/>
  <c r="H11" i="104"/>
  <c r="H10" i="104"/>
  <c r="H9" i="104"/>
  <c r="H8" i="104"/>
  <c r="H7" i="104"/>
  <c r="G13" i="104"/>
  <c r="G19" i="104" s="1"/>
  <c r="F13" i="104"/>
  <c r="F19" i="104" s="1"/>
  <c r="E13" i="104"/>
  <c r="E19" i="104" s="1"/>
  <c r="D13" i="104"/>
  <c r="D19" i="104" s="1"/>
  <c r="C20" i="104"/>
  <c r="C18" i="104"/>
  <c r="C17" i="104"/>
  <c r="C16" i="104"/>
  <c r="C15" i="104"/>
  <c r="C14" i="104"/>
  <c r="C12" i="104"/>
  <c r="C11" i="104"/>
  <c r="C10" i="104"/>
  <c r="C9" i="104"/>
  <c r="C8" i="104"/>
  <c r="C7" i="104"/>
  <c r="C13" i="104" l="1"/>
  <c r="M13" i="104"/>
  <c r="H13" i="104"/>
  <c r="I19" i="104"/>
  <c r="M19" i="104"/>
  <c r="H19" i="104"/>
  <c r="C19" i="104"/>
  <c r="C12" i="101" l="1"/>
  <c r="C13" i="101"/>
  <c r="C14" i="101"/>
  <c r="C15" i="101"/>
  <c r="C11" i="101"/>
  <c r="C22" i="101" l="1"/>
  <c r="C21" i="101"/>
  <c r="C20" i="101"/>
  <c r="C19" i="101"/>
  <c r="C18" i="101"/>
  <c r="C17" i="101"/>
  <c r="AA10" i="101"/>
  <c r="Z10" i="101"/>
  <c r="Y10" i="101"/>
  <c r="X10" i="101"/>
  <c r="W10" i="101"/>
  <c r="V10" i="101"/>
  <c r="U10" i="101"/>
  <c r="T10" i="101"/>
  <c r="S10" i="101"/>
  <c r="R10" i="101"/>
  <c r="Q10" i="101"/>
  <c r="P10" i="101"/>
  <c r="O10" i="101"/>
  <c r="N10" i="101"/>
  <c r="M10" i="101"/>
  <c r="L10" i="101"/>
  <c r="K10" i="101"/>
  <c r="J10" i="101"/>
  <c r="I10" i="101"/>
  <c r="H10" i="101"/>
  <c r="G10" i="101"/>
  <c r="F10" i="101"/>
  <c r="E10" i="101"/>
  <c r="D10" i="101"/>
  <c r="C10" i="101"/>
  <c r="C9" i="101"/>
  <c r="C8" i="101"/>
  <c r="I33" i="102" l="1"/>
  <c r="J33" i="102"/>
  <c r="K33" i="102"/>
  <c r="L33" i="102"/>
  <c r="H33" i="102"/>
  <c r="D33" i="102"/>
  <c r="E33" i="102"/>
  <c r="F33" i="102"/>
  <c r="G33" i="102"/>
  <c r="C8" i="102"/>
  <c r="C9" i="102"/>
  <c r="C10" i="102"/>
  <c r="C11" i="102"/>
  <c r="C12" i="102"/>
  <c r="C13" i="102"/>
  <c r="C14" i="102"/>
  <c r="C15" i="102"/>
  <c r="C16" i="102"/>
  <c r="C17" i="102"/>
  <c r="C18" i="102"/>
  <c r="C19" i="102"/>
  <c r="C20" i="102"/>
  <c r="C21" i="102"/>
  <c r="C22" i="102"/>
  <c r="C23" i="102"/>
  <c r="C24" i="102"/>
  <c r="C25" i="102"/>
  <c r="C26" i="102"/>
  <c r="C27" i="102"/>
  <c r="C28" i="102"/>
  <c r="C29" i="102"/>
  <c r="C30" i="102"/>
  <c r="C31" i="102"/>
  <c r="C32" i="102"/>
  <c r="C7" i="102"/>
  <c r="C33" i="102" l="1"/>
  <c r="D15" i="100"/>
  <c r="C15" i="100" s="1"/>
  <c r="C22" i="100"/>
  <c r="AA8" i="100"/>
  <c r="Z8" i="100"/>
  <c r="Y8" i="100"/>
  <c r="X8" i="100"/>
  <c r="W8" i="100"/>
  <c r="V8" i="100"/>
  <c r="U8" i="100"/>
  <c r="T8" i="100"/>
  <c r="S8" i="100"/>
  <c r="R8" i="100"/>
  <c r="Q8" i="100"/>
  <c r="P8" i="100"/>
  <c r="O8" i="100"/>
  <c r="N8" i="100"/>
  <c r="M8" i="100"/>
  <c r="L8" i="100"/>
  <c r="K8" i="100"/>
  <c r="J8" i="100"/>
  <c r="I8" i="100"/>
  <c r="H8" i="100"/>
  <c r="G8" i="100"/>
  <c r="F8" i="100"/>
  <c r="E8" i="100"/>
  <c r="D8" i="100"/>
  <c r="C8" i="100"/>
  <c r="G26" i="80" l="1"/>
  <c r="G16" i="80"/>
  <c r="G15" i="80" l="1"/>
  <c r="G13" i="80" l="1"/>
  <c r="G12" i="80"/>
  <c r="G10" i="80"/>
  <c r="G9" i="80" l="1"/>
  <c r="F8" i="107" l="1"/>
  <c r="F9" i="107"/>
  <c r="F7" i="107"/>
  <c r="F6" i="107" s="1"/>
  <c r="E6" i="107"/>
  <c r="D6" i="107"/>
  <c r="C31" i="79" l="1"/>
  <c r="C7" i="79"/>
  <c r="P9" i="37"/>
  <c r="O9" i="37"/>
  <c r="N9" i="37"/>
  <c r="M9" i="37"/>
  <c r="L9" i="37"/>
  <c r="K9" i="37"/>
  <c r="J9" i="37"/>
  <c r="P8" i="37"/>
  <c r="O8" i="37"/>
  <c r="N8" i="37"/>
  <c r="M8" i="37"/>
  <c r="L8" i="37"/>
  <c r="K8" i="37"/>
  <c r="J8" i="37"/>
  <c r="P7" i="37"/>
  <c r="O7" i="37"/>
  <c r="N7" i="37"/>
  <c r="M7" i="37"/>
  <c r="M6" i="37" s="1"/>
  <c r="L7" i="37"/>
  <c r="L6" i="37" s="1"/>
  <c r="K7" i="37"/>
  <c r="J7" i="37"/>
  <c r="J6" i="37" s="1"/>
  <c r="P6" i="37"/>
  <c r="O6" i="37"/>
  <c r="N6" i="37"/>
  <c r="K6" i="37"/>
  <c r="E9" i="37"/>
  <c r="E8" i="37"/>
  <c r="E7" i="37"/>
  <c r="D9" i="37"/>
  <c r="D8" i="37"/>
  <c r="D7" i="37"/>
  <c r="E6" i="37"/>
  <c r="J23" i="36" l="1"/>
  <c r="I23" i="36"/>
  <c r="K23" i="36" s="1"/>
  <c r="G23" i="36"/>
  <c r="F23" i="36"/>
  <c r="H23" i="36" s="1"/>
  <c r="K18" i="36"/>
  <c r="J21" i="36"/>
  <c r="I21" i="36"/>
  <c r="K21" i="36" s="1"/>
  <c r="J16" i="36"/>
  <c r="I16" i="36"/>
  <c r="K10" i="36"/>
  <c r="K16" i="36" s="1"/>
  <c r="K11" i="36"/>
  <c r="K12" i="36"/>
  <c r="K13" i="36"/>
  <c r="K14" i="36"/>
  <c r="K15" i="36"/>
  <c r="K8" i="36"/>
  <c r="H20" i="36"/>
  <c r="H19" i="36"/>
  <c r="H21" i="36" s="1"/>
  <c r="H18" i="36"/>
  <c r="G21" i="36"/>
  <c r="F21" i="36"/>
  <c r="G16" i="36"/>
  <c r="F16" i="36"/>
  <c r="H15" i="36"/>
  <c r="H14" i="36"/>
  <c r="H13" i="36"/>
  <c r="H12" i="36"/>
  <c r="H11" i="36"/>
  <c r="H10" i="36"/>
  <c r="H8" i="36"/>
  <c r="D21" i="36"/>
  <c r="C21" i="36"/>
  <c r="E20" i="36"/>
  <c r="E19" i="36"/>
  <c r="E21" i="36" s="1"/>
  <c r="E18" i="36"/>
  <c r="D16" i="36"/>
  <c r="C16" i="36"/>
  <c r="E11" i="36"/>
  <c r="E12" i="36"/>
  <c r="E13" i="36"/>
  <c r="E14" i="36"/>
  <c r="E15" i="36"/>
  <c r="E10" i="36"/>
  <c r="H16" i="36" l="1"/>
  <c r="E16" i="36"/>
  <c r="F24" i="36"/>
  <c r="F25" i="36" s="1"/>
  <c r="I24" i="36"/>
  <c r="J24" i="36"/>
  <c r="J25" i="36" s="1"/>
  <c r="K24" i="36"/>
  <c r="K25" i="36" s="1"/>
  <c r="G24" i="36"/>
  <c r="G25" i="36" s="1"/>
  <c r="H24" i="36"/>
  <c r="H25" i="36" s="1"/>
  <c r="I25" i="36"/>
  <c r="C22" i="74" l="1"/>
  <c r="D29" i="93" l="1"/>
  <c r="C29" i="93"/>
  <c r="E35" i="72" l="1"/>
  <c r="E34" i="72"/>
  <c r="E32" i="72"/>
  <c r="E30" i="72"/>
  <c r="E26" i="72"/>
  <c r="E22" i="72"/>
  <c r="E23" i="72"/>
  <c r="E21" i="72"/>
  <c r="E12" i="72"/>
  <c r="E13" i="72"/>
  <c r="E10" i="72"/>
  <c r="E11" i="72"/>
  <c r="E9" i="72"/>
  <c r="G30" i="94" l="1"/>
  <c r="F30" i="94"/>
  <c r="G14" i="94"/>
  <c r="F14" i="94"/>
  <c r="G8" i="94"/>
  <c r="F8" i="94"/>
  <c r="G37" i="93"/>
  <c r="F37" i="93"/>
  <c r="G13" i="93"/>
  <c r="F13" i="93"/>
  <c r="C13" i="93"/>
  <c r="D13" i="93"/>
  <c r="G6" i="93"/>
  <c r="F6" i="93"/>
  <c r="F68" i="92"/>
  <c r="F47" i="92"/>
  <c r="G41" i="92"/>
  <c r="F41" i="92"/>
  <c r="F7" i="92"/>
  <c r="G7" i="92"/>
  <c r="C38" i="94" l="1"/>
  <c r="Q33" i="37" l="1"/>
  <c r="I33" i="37"/>
  <c r="Q32" i="37"/>
  <c r="I32" i="37"/>
  <c r="Q31" i="37"/>
  <c r="I31" i="37"/>
  <c r="I30" i="37"/>
  <c r="Q29" i="37"/>
  <c r="I29" i="37"/>
  <c r="Q28" i="37"/>
  <c r="I28" i="37"/>
  <c r="Q27" i="37"/>
  <c r="Q26" i="37" s="1"/>
  <c r="I27" i="37"/>
  <c r="I26" i="37"/>
  <c r="Q25" i="37"/>
  <c r="I25" i="37"/>
  <c r="Q24" i="37"/>
  <c r="I24" i="37"/>
  <c r="Q23" i="37"/>
  <c r="I23" i="37"/>
  <c r="I22" i="37"/>
  <c r="Q21" i="37"/>
  <c r="I21" i="37"/>
  <c r="Q20" i="37"/>
  <c r="I20" i="37"/>
  <c r="Q19" i="37"/>
  <c r="I19" i="37"/>
  <c r="I18" i="37"/>
  <c r="Q17" i="37"/>
  <c r="I17" i="37"/>
  <c r="Q16" i="37"/>
  <c r="I16" i="37"/>
  <c r="Q15" i="37"/>
  <c r="Q14" i="37" s="1"/>
  <c r="I15" i="37"/>
  <c r="I14" i="37"/>
  <c r="Q13" i="37"/>
  <c r="I13" i="37"/>
  <c r="Q12" i="37"/>
  <c r="I12" i="37"/>
  <c r="Q11" i="37"/>
  <c r="I11" i="37"/>
  <c r="I10" i="37"/>
  <c r="K34" i="37"/>
  <c r="G9" i="37"/>
  <c r="F9" i="37"/>
  <c r="C9" i="37"/>
  <c r="G8" i="37"/>
  <c r="F8" i="37"/>
  <c r="C8" i="37"/>
  <c r="O34" i="37"/>
  <c r="N34" i="37"/>
  <c r="M34" i="37"/>
  <c r="J34" i="37"/>
  <c r="G7" i="37"/>
  <c r="F7" i="37"/>
  <c r="C7" i="37"/>
  <c r="P34" i="37"/>
  <c r="L34" i="37"/>
  <c r="E34" i="37"/>
  <c r="C13" i="79" s="1"/>
  <c r="D34" i="37"/>
  <c r="B2" i="37"/>
  <c r="B1" i="37"/>
  <c r="C26" i="79"/>
  <c r="C22" i="79"/>
  <c r="I9" i="37" l="1"/>
  <c r="Q18" i="37"/>
  <c r="G6" i="37"/>
  <c r="G34" i="37" s="1"/>
  <c r="C11" i="79" s="1"/>
  <c r="I7" i="37"/>
  <c r="F6" i="37"/>
  <c r="F34" i="37" s="1"/>
  <c r="Q8" i="37"/>
  <c r="I8" i="37"/>
  <c r="Q22" i="37"/>
  <c r="Q30" i="37"/>
  <c r="Q10" i="37"/>
  <c r="C6" i="37"/>
  <c r="C34" i="37" s="1"/>
  <c r="Q9" i="37"/>
  <c r="Q7" i="37"/>
  <c r="Q6" i="37" l="1"/>
  <c r="Q34" i="37" s="1"/>
  <c r="I6" i="37"/>
  <c r="I34" i="37"/>
  <c r="C12" i="79" s="1"/>
  <c r="C14" i="79" s="1"/>
  <c r="C10" i="79"/>
  <c r="C6" i="107"/>
  <c r="B2" i="107"/>
  <c r="B1" i="107"/>
  <c r="H8" i="74" l="1"/>
  <c r="D38" i="94" l="1"/>
  <c r="B2" i="106" l="1"/>
  <c r="B1" i="106"/>
  <c r="B1" i="105"/>
  <c r="B2" i="105"/>
  <c r="E12" i="106" l="1"/>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18" i="99" s="1"/>
  <c r="C7" i="98"/>
  <c r="D7" i="98"/>
  <c r="C10" i="98"/>
  <c r="D10"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H34" i="97" l="1"/>
  <c r="H22" i="95"/>
  <c r="C15" i="98"/>
  <c r="H21" i="96"/>
  <c r="C62" i="69"/>
  <c r="C58" i="69"/>
  <c r="C67" i="69" s="1"/>
  <c r="C46" i="69"/>
  <c r="C40" i="69"/>
  <c r="C29" i="69"/>
  <c r="C26" i="69"/>
  <c r="C23" i="69"/>
  <c r="C18" i="69"/>
  <c r="C14" i="69"/>
  <c r="C6" i="69"/>
  <c r="C35" i="69" s="1"/>
  <c r="D8" i="72"/>
  <c r="E8" i="72"/>
  <c r="D16" i="72"/>
  <c r="E16" i="72"/>
  <c r="D20" i="72"/>
  <c r="E20" i="72"/>
  <c r="D25" i="72"/>
  <c r="E25" i="72"/>
  <c r="D28" i="72"/>
  <c r="E28" i="72"/>
  <c r="D31" i="72"/>
  <c r="E31" i="72"/>
  <c r="C31" i="72"/>
  <c r="C28" i="72"/>
  <c r="C25" i="72"/>
  <c r="C20" i="72"/>
  <c r="C16" i="72"/>
  <c r="C8" i="72"/>
  <c r="C52" i="69" l="1"/>
  <c r="C68" i="69" s="1"/>
  <c r="C37" i="72"/>
  <c r="E37" i="72"/>
  <c r="D37" i="72"/>
  <c r="H43" i="94"/>
  <c r="E43" i="94"/>
  <c r="H42" i="94"/>
  <c r="E42" i="94"/>
  <c r="H41" i="94"/>
  <c r="E41" i="94"/>
  <c r="H40" i="94"/>
  <c r="E40" i="94"/>
  <c r="H39" i="94"/>
  <c r="E39" i="94"/>
  <c r="E38" i="94"/>
  <c r="H37" i="94"/>
  <c r="E37" i="94"/>
  <c r="H36" i="94"/>
  <c r="E36" i="94"/>
  <c r="H35" i="94"/>
  <c r="E35" i="94"/>
  <c r="H34" i="94"/>
  <c r="E34" i="94"/>
  <c r="H33" i="94"/>
  <c r="E33" i="94"/>
  <c r="H32" i="94"/>
  <c r="E32" i="94"/>
  <c r="H31" i="94"/>
  <c r="E31" i="94"/>
  <c r="H30" i="94"/>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H13" i="94"/>
  <c r="E13" i="94"/>
  <c r="H12" i="94"/>
  <c r="E12" i="94"/>
  <c r="D11" i="94"/>
  <c r="C11" i="94"/>
  <c r="H10" i="94"/>
  <c r="E10" i="94"/>
  <c r="H9" i="94"/>
  <c r="E9" i="94"/>
  <c r="D8" i="94"/>
  <c r="C8" i="94"/>
  <c r="H7" i="94"/>
  <c r="E7" i="94"/>
  <c r="H6" i="94"/>
  <c r="E6" i="94"/>
  <c r="H44" i="93"/>
  <c r="E44" i="93"/>
  <c r="H42" i="93"/>
  <c r="E42" i="93"/>
  <c r="H41" i="93"/>
  <c r="E41" i="93"/>
  <c r="H40" i="93"/>
  <c r="E40" i="93"/>
  <c r="H39" i="93"/>
  <c r="E39" i="93"/>
  <c r="H38" i="93"/>
  <c r="E38" i="93"/>
  <c r="H37" i="93"/>
  <c r="D37" i="93"/>
  <c r="C37" i="93"/>
  <c r="H36" i="93"/>
  <c r="E36" i="93"/>
  <c r="H35" i="93"/>
  <c r="E35" i="93"/>
  <c r="G34" i="93"/>
  <c r="F34" i="93"/>
  <c r="H34" i="93" s="1"/>
  <c r="D34" i="93"/>
  <c r="C34" i="93"/>
  <c r="H33" i="93"/>
  <c r="E33" i="93"/>
  <c r="H32" i="93"/>
  <c r="E32" i="93"/>
  <c r="H31" i="93"/>
  <c r="E31" i="93"/>
  <c r="H30" i="93"/>
  <c r="E30" i="93"/>
  <c r="H29" i="93"/>
  <c r="E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E13" i="93"/>
  <c r="H12" i="93"/>
  <c r="E12" i="93"/>
  <c r="H11" i="93"/>
  <c r="E11" i="93"/>
  <c r="H10" i="93"/>
  <c r="E10" i="93"/>
  <c r="H9" i="93"/>
  <c r="E9" i="93"/>
  <c r="H8" i="93"/>
  <c r="E8" i="93"/>
  <c r="H7" i="93"/>
  <c r="E7" i="93"/>
  <c r="D6" i="93"/>
  <c r="C6" i="93"/>
  <c r="G68" i="92"/>
  <c r="H67" i="92"/>
  <c r="E67" i="92"/>
  <c r="H66" i="92"/>
  <c r="E66" i="92"/>
  <c r="H65" i="92"/>
  <c r="E65" i="92"/>
  <c r="H64" i="92"/>
  <c r="E64" i="92"/>
  <c r="H63" i="92"/>
  <c r="D63" i="92"/>
  <c r="C63" i="92"/>
  <c r="E63" i="92" s="1"/>
  <c r="H62" i="92"/>
  <c r="E62" i="92"/>
  <c r="H61" i="92"/>
  <c r="E61" i="92"/>
  <c r="H60" i="92"/>
  <c r="E60" i="92"/>
  <c r="H59" i="92"/>
  <c r="D59" i="92"/>
  <c r="C59" i="92"/>
  <c r="H58" i="92"/>
  <c r="E58" i="92"/>
  <c r="H57" i="92"/>
  <c r="E57" i="92"/>
  <c r="H56" i="92"/>
  <c r="E56" i="92"/>
  <c r="H55" i="92"/>
  <c r="E55" i="92"/>
  <c r="H52" i="92"/>
  <c r="E52" i="92"/>
  <c r="H51" i="92"/>
  <c r="E51" i="92"/>
  <c r="H50" i="92"/>
  <c r="E50" i="92"/>
  <c r="H49" i="92"/>
  <c r="E49" i="92"/>
  <c r="H48" i="92"/>
  <c r="E48" i="92"/>
  <c r="G47" i="92"/>
  <c r="D47" i="92"/>
  <c r="C47" i="92"/>
  <c r="H46" i="92"/>
  <c r="E46" i="92"/>
  <c r="H45" i="92"/>
  <c r="E45" i="92"/>
  <c r="H44" i="92"/>
  <c r="E44" i="92"/>
  <c r="H43" i="92"/>
  <c r="E43" i="92"/>
  <c r="H42" i="92"/>
  <c r="E42" i="92"/>
  <c r="H41" i="92"/>
  <c r="D41" i="92"/>
  <c r="C41" i="92"/>
  <c r="H40" i="92"/>
  <c r="E40" i="92"/>
  <c r="H39" i="92"/>
  <c r="E39" i="92"/>
  <c r="H38" i="92"/>
  <c r="E38" i="92"/>
  <c r="H35" i="92"/>
  <c r="E35" i="92"/>
  <c r="H34" i="92"/>
  <c r="E34" i="92"/>
  <c r="H33" i="92"/>
  <c r="E33" i="92"/>
  <c r="H32" i="92"/>
  <c r="E32" i="92"/>
  <c r="H31" i="92"/>
  <c r="E31" i="92"/>
  <c r="G30" i="92"/>
  <c r="F30" i="92"/>
  <c r="H30" i="92" s="1"/>
  <c r="D30" i="92"/>
  <c r="C30" i="92"/>
  <c r="H29" i="92"/>
  <c r="E29" i="92"/>
  <c r="H28" i="92"/>
  <c r="E28" i="92"/>
  <c r="G27" i="92"/>
  <c r="F27" i="92"/>
  <c r="H27" i="92" s="1"/>
  <c r="D27" i="92"/>
  <c r="C27" i="92"/>
  <c r="E27" i="92" s="1"/>
  <c r="H26" i="92"/>
  <c r="E26" i="92"/>
  <c r="H25" i="92"/>
  <c r="E25" i="92"/>
  <c r="G24" i="92"/>
  <c r="F24" i="92"/>
  <c r="D24" i="92"/>
  <c r="C24" i="92"/>
  <c r="E24" i="92" s="1"/>
  <c r="H23" i="92"/>
  <c r="E23" i="92"/>
  <c r="H22" i="92"/>
  <c r="E22" i="92"/>
  <c r="H21" i="92"/>
  <c r="E21" i="92"/>
  <c r="H20" i="92"/>
  <c r="E20" i="92"/>
  <c r="G19" i="92"/>
  <c r="F19" i="92"/>
  <c r="H19" i="92" s="1"/>
  <c r="D19" i="92"/>
  <c r="C19" i="92"/>
  <c r="H18" i="92"/>
  <c r="E18" i="92"/>
  <c r="H17" i="92"/>
  <c r="E17" i="92"/>
  <c r="H16" i="92"/>
  <c r="E16" i="92"/>
  <c r="G15" i="92"/>
  <c r="F15" i="92"/>
  <c r="H15" i="92" s="1"/>
  <c r="D15" i="92"/>
  <c r="C15" i="92"/>
  <c r="E15" i="92" s="1"/>
  <c r="H14" i="92"/>
  <c r="E14" i="92"/>
  <c r="H13" i="92"/>
  <c r="E13" i="92"/>
  <c r="H12" i="92"/>
  <c r="E12" i="92"/>
  <c r="H11" i="92"/>
  <c r="E11" i="92"/>
  <c r="H10" i="92"/>
  <c r="E10" i="92"/>
  <c r="H9" i="92"/>
  <c r="E9" i="92"/>
  <c r="H8" i="92"/>
  <c r="E8" i="92"/>
  <c r="H7" i="92"/>
  <c r="D7" i="92"/>
  <c r="C7" i="92"/>
  <c r="D53" i="92" l="1"/>
  <c r="E47" i="92"/>
  <c r="E37" i="93"/>
  <c r="C43" i="93"/>
  <c r="G36" i="92"/>
  <c r="E41" i="92"/>
  <c r="E19" i="92"/>
  <c r="C68" i="92"/>
  <c r="E6" i="93"/>
  <c r="D68" i="92"/>
  <c r="F43" i="93"/>
  <c r="F45" i="93" s="1"/>
  <c r="F36" i="92"/>
  <c r="E59" i="92"/>
  <c r="G43" i="93"/>
  <c r="G45" i="93" s="1"/>
  <c r="C36" i="92"/>
  <c r="G53" i="92"/>
  <c r="G69" i="92" s="1"/>
  <c r="E34" i="93"/>
  <c r="D36" i="92"/>
  <c r="E30" i="92"/>
  <c r="H47" i="92"/>
  <c r="H8" i="94"/>
  <c r="E8" i="94"/>
  <c r="E14" i="94"/>
  <c r="H38" i="94"/>
  <c r="E30" i="94"/>
  <c r="E11" i="94"/>
  <c r="E17" i="94"/>
  <c r="H11" i="94"/>
  <c r="H14" i="94"/>
  <c r="H6" i="93"/>
  <c r="D43" i="93"/>
  <c r="D45" i="93" s="1"/>
  <c r="C53" i="92"/>
  <c r="H68" i="92"/>
  <c r="F53" i="92"/>
  <c r="F69" i="92" s="1"/>
  <c r="E7" i="92"/>
  <c r="H24" i="92"/>
  <c r="H36" i="92" l="1"/>
  <c r="D69" i="92"/>
  <c r="H69" i="92"/>
  <c r="H43" i="93"/>
  <c r="H53" i="92"/>
  <c r="E36" i="92"/>
  <c r="H45" i="93"/>
  <c r="E68" i="92"/>
  <c r="E45" i="93"/>
  <c r="E43" i="93"/>
  <c r="C69" i="92"/>
  <c r="E69" i="92" s="1"/>
  <c r="C6" i="79" s="1"/>
  <c r="C8" i="79" s="1"/>
  <c r="C32" i="79" s="1"/>
  <c r="E53" i="92"/>
  <c r="C34" i="79" l="1"/>
  <c r="B19" i="105"/>
  <c r="B1" i="80"/>
  <c r="G33" i="80"/>
  <c r="F33" i="80"/>
  <c r="E33" i="80"/>
  <c r="D33" i="80"/>
  <c r="C33" i="80"/>
  <c r="G24" i="80"/>
  <c r="F24" i="80"/>
  <c r="E24" i="80"/>
  <c r="D24" i="80"/>
  <c r="C24" i="80"/>
  <c r="G18" i="80"/>
  <c r="F18" i="80"/>
  <c r="E18" i="80"/>
  <c r="D18" i="80"/>
  <c r="C18" i="80"/>
  <c r="G14" i="80"/>
  <c r="F14" i="80"/>
  <c r="E14" i="80"/>
  <c r="D14" i="80"/>
  <c r="C14" i="80"/>
  <c r="G11" i="80"/>
  <c r="F11" i="80"/>
  <c r="E11" i="80"/>
  <c r="D11" i="80"/>
  <c r="C11" i="80"/>
  <c r="G8" i="80"/>
  <c r="F8" i="80"/>
  <c r="E8" i="80"/>
  <c r="D8" i="80"/>
  <c r="C8" i="80"/>
  <c r="G37" i="80" l="1"/>
  <c r="G21" i="80"/>
  <c r="G6" i="71"/>
  <c r="G13" i="71" s="1"/>
  <c r="F6" i="71"/>
  <c r="F13" i="71" s="1"/>
  <c r="E6" i="71"/>
  <c r="E13" i="71" s="1"/>
  <c r="D6" i="71"/>
  <c r="D13" i="71" s="1"/>
  <c r="C6" i="71"/>
  <c r="C13" i="71" s="1"/>
  <c r="B18" i="105" s="1"/>
  <c r="G39" i="80" l="1"/>
  <c r="B1" i="79"/>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H14" i="74" l="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V7" i="64" l="1"/>
  <c r="H13" i="74"/>
  <c r="H15" i="74"/>
  <c r="H16" i="74"/>
  <c r="H17" i="74"/>
  <c r="H21" i="74"/>
  <c r="T21" i="64" l="1"/>
  <c r="U21" i="64"/>
  <c r="V9" i="64"/>
  <c r="D22" i="74" l="1"/>
  <c r="E22" i="74"/>
  <c r="H22" i="74" s="1"/>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B10" i="105" s="1"/>
  <c r="C36" i="28"/>
  <c r="C42" i="28" s="1"/>
  <c r="B9" i="105" s="1"/>
  <c r="C12" i="28"/>
  <c r="C6" i="28" l="1"/>
  <c r="C29" i="28" s="1"/>
  <c r="B8" i="105" s="1"/>
  <c r="B7" i="105" s="1"/>
  <c r="B16" i="105" l="1"/>
  <c r="B14" i="105" s="1"/>
  <c r="B6" i="105"/>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1" i="105" l="1"/>
  <c r="B22" i="105"/>
  <c r="B23" i="105"/>
  <c r="C5" i="7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tc={049263DB-550A-4B35-80CF-992CC1BFBA43}</author>
    <author>tc={3E2D8FBE-9163-46A3-8FF5-C637C4C9C5BA}</author>
  </authors>
  <commentList>
    <comment ref="C48" authorId="0" shapeId="0" xr:uid="{049263DB-550A-4B35-80CF-992CC1BFBA43}">
      <text>
        <t>[Threaded comment]
Your version of Excel allows you to read this threaded comment; however, any edits to it will get removed if the file is opened in a newer version of Excel. Learn more: https://go.microsoft.com/fwlink/?linkid=870924
Comment:
    მათ შორის არამატერიალური აქტივებიდან წარმოშობილი გადავადებული საგადასახადო ვალდებულება 4 824 963</t>
      </text>
    </comment>
    <comment ref="C49" authorId="1" shapeId="0" xr:uid="{3E2D8FBE-9163-46A3-8FF5-C637C4C9C5BA}">
      <text>
        <t>[Threaded comment]
Your version of Excel allows you to read this threaded comment; however, any edits to it will get removed if the file is opened in a newer version of Excel. Learn more: https://go.microsoft.com/fwlink/?linkid=870924
Comment:
    მათ შორის მეორად საზედამხედ-ველო კაპიტალში ჩასართავი ინსტრუმენტები -131 407 539 ლარი და
პირველად დამატებით კაპიტალში ჩასართავი ინსტრუმენტი - 26 998 000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<sst xmlns="http://schemas.openxmlformats.org/spreadsheetml/2006/main" count="1654" uniqueCount="1041">
  <si>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</si>
  <si>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</si>
  <si>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</si>
  <si>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</si>
  <si>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</si>
  <si>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</si>
  <si>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</si>
  <si>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</si>
  <si>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</si>
  <si>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</si>
  <si>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</si>
  <si>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</si>
  <si>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</si>
  <si>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</si>
  <si>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</si>
  <si>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</si>
  <si>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</si>
  <si>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</si>
  <si>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</si>
  <si>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</si>
  <si>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</si>
  <si>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</si>
  <si>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</si>
  <si>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</si>
  <si>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</si>
  <si>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</si>
  <si>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</si>
  <si>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</si>
  <si>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</si>
  <si>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</si>
  <si>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</si>
  <si>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</si>
  <si>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</si>
  <si>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</si>
  <si>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</si>
  <si>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</si>
  <si>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</si>
  <si>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</si>
  <si>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</si>
  <si>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</si>
  <si>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</si>
  <si>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</si>
  <si>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</si>
  <si>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</si>
  <si>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</si>
  <si>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</si>
  <si>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</si>
  <si>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</si>
  <si>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</si>
  <si>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</si>
  <si>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</si>
  <si>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</si>
  <si>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</si>
  <si>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</si>
  <si>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</si>
  <si>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</si>
  <si>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</si>
  <si>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</si>
  <si>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</si>
  <si>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</si>
  <si>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</si>
  <si>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</si>
  <si>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</si>
  <si>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</si>
  <si>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</si>
  <si>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</si>
  <si>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</si>
  <si>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</si>
  <si>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</si>
  <si>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</si>
  <si>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</si>
  <si>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</si>
  <si>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</si>
  <si>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</si>
  <si>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</si>
  <si>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</si>
  <si>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</si>
  <si>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</si>
  <si>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</si>
  <si>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</si>
  <si>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</si>
  <si>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</si>
  <si>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</si>
  <si>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</si>
  <si>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</si>
  <si>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</si>
  <si>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</si>
  <si>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</si>
  <si>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</si>
  <si>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</si>
  <si>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</si>
  <si>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</si>
  <si>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</si>
  <si>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</si>
  <si>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</si>
  <si>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</si>
  <si>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</si>
  <si>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</si>
  <si>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</si>
  <si>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</si>
  <si>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</si>
  <si>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</si>
  <si>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</si>
  <si>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</si>
  <si>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</si>
  <si>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</si>
  <si>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</si>
  <si>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</si>
  <si>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</si>
  <si>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</si>
  <si>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</si>
  <si>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</si>
  <si>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</si>
  <si>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</si>
  <si>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</si>
  <si>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</si>
  <si>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</si>
  <si>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</si>
  <si>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</si>
  <si>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</si>
  <si>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</si>
  <si>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</si>
  <si>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</si>
  <si>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</si>
  <si>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</si>
  <si>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</si>
  <si>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</si>
  <si>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</si>
  <si>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</si>
  <si>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</si>
  <si>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</si>
  <si>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</si>
  <si>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</si>
  <si>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</si>
  <si>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</si>
  <si>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</si>
  <si>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</si>
  <si>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</si>
  <si>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</si>
  <si>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</si>
  <si>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</si>
  <si>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</si>
  <si>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</si>
  <si>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</si>
  <si>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</si>
  <si>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</si>
  <si>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</si>
  <si>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</si>
  <si>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</si>
  <si>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</si>
  <si>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</si>
  <si>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</si>
  <si>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</si>
  <si>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</si>
  <si>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</si>
  <si>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</si>
  <si>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</si>
  <si>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</si>
  <si>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</si>
  <si>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</si>
  <si>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</si>
  <si>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</si>
  <si>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</si>
  <si>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</si>
  <si>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</si>
  <si>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</si>
  <si>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</si>
  <si>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</si>
  <si>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</si>
  <si>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</si>
  <si>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</si>
  <si>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</si>
  <si>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</si>
  <si>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</si>
  <si>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</si>
  <si>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</si>
  <si>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</si>
  <si>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</si>
  <si>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</si>
  <si>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</si>
  <si>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</si>
  <si>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</si>
  <si>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</si>
  <si>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</si>
  <si>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</si>
  <si>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</si>
  <si>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</si>
  <si>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</si>
  <si>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</si>
  <si>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</si>
  <si>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</si>
  <si>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</si>
  <si>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</si>
  <si>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</si>
  <si>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</si>
  <si>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</si>
  <si>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</si>
  <si>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</si>
  <si>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</si>
  <si>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</si>
  <si>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</si>
  <si>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</si>
  <si>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</si>
  <si>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</si>
  <si>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</si>
  <si>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</si>
  <si>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</si>
  <si>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</si>
  <si>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</si>
  <si>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</si>
  <si>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</si>
  <si>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</si>
  <si>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</si>
  <si>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</si>
  <si>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</si>
  <si>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</si>
  <si>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</si>
  <si>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</si>
  <si>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</si>
  <si>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</si>
  <si>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</si>
  <si>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</si>
  <si>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</si>
  <si>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</si>
  <si>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</si>
  <si>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</si>
  <si>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</si>
  <si>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</si>
  <si>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</si>
  <si>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</si>
  <si>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</si>
  <si>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</si>
  <si>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</si>
  <si>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</si>
  <si>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</si>
  <si>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</si>
  <si>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</si>
  <si>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</si>
  <si>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</si>
  <si>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</si>
  <si>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</si>
  <si>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</si>
  <si>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</si>
  <si>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</si>
  <si>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</si>
  <si>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</si>
  <si>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</si>
  <si>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</si>
  <si>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</si>
  <si>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</si>
  <si>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</si>
  <si>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</si>
  <si>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</si>
  <si>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</si>
  <si>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</si>
  <si>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</si>
  <si>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</si>
  <si>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</si>
  <si>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</si>
  <si>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</si>
  <si>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</si>
  <si>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</si>
  <si>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</si>
  <si>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</si>
  <si>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</si>
  <si>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</si>
  <si>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</si>
  <si>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</si>
  <si>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</si>
  <si>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</si>
  <si>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</si>
  <si>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</si>
  <si>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</si>
  <si>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</si>
  <si>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</si>
  <si>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</si>
  <si>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</si>
  <si>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</si>
  <si>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</si>
  <si>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</si>
  <si>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</si>
  <si>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</si>
  <si>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</si>
  <si>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</si>
  <si>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</si>
  <si>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</si>
  <si>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</si>
  <si>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</si>
  <si>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</si>
  <si>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</si>
  <si>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</si>
  <si>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</si>
  <si>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</si>
  <si>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</si>
  <si>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</si>
  <si>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</si>
  <si>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</si>
  <si>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</si>
  <si>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</si>
  <si>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</si>
  <si>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</si>
  <si>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</si>
  <si>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</si>
  <si>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</si>
  <si>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</si>
  <si>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</si>
  <si>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</si>
  <si>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</si>
  <si>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</si>
  <si>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</si>
  <si>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</si>
  <si>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</si>
  <si>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</si>
  <si>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</si>
  <si>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</si>
  <si>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</si>
  <si>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</si>
  <si>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</si>
  <si>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</si>
  <si>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</si>
  <si>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</si>
  <si>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</si>
  <si>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</si>
  <si>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</si>
  <si>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</si>
  <si>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</si>
  <si>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</si>
  <si>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</si>
  <si>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</si>
  <si>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</si>
  <si>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</si>
  <si>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</si>
  <si>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</si>
  <si>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</si>
  <si>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</si>
  <si>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</si>
  <si>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</si>
  <si>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</si>
  <si>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</si>
  <si>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</si>
  <si>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</si>
  <si>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</si>
  <si>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</si>
  <si>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</si>
  <si>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</si>
  <si>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</si>
  <si>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</si>
  <si>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</si>
  <si>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</si>
  <si>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</si>
  <si>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</si>
  <si>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</si>
  <si>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</si>
  <si>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</si>
  <si>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</si>
  <si>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</si>
  <si>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</si>
  <si>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</si>
  <si>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</si>
  <si>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</si>
  <si>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</si>
  <si>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</si>
  <si>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</si>
  <si>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</si>
  <si>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</si>
  <si>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</si>
  <si>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</si>
  <si>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</si>
  <si>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</si>
  <si>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</si>
  <si>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</si>
  <si>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</si>
  <si>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</si>
  <si>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</si>
  <si>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</si>
  <si>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</si>
  <si>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</si>
  <si>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</si>
  <si>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</si>
  <si>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</si>
  <si>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</si>
  <si>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</si>
  <si>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</si>
  <si>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</si>
  <si>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</si>
  <si>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</si>
  <si>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</si>
  <si>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</si>
  <si>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</si>
  <si>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</si>
  <si>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</si>
  <si>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</si>
  <si>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</si>
  <si>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</si>
  <si>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</si>
  <si>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</si>
  <si>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</si>
  <si>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</si>
  <si>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</si>
  <si>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</si>
  <si>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</si>
  <si>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</si>
  <si>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</si>
  <si>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</si>
  <si>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</si>
  <si>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</si>
  <si>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</si>
  <si>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</si>
  <si>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</si>
  <si>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</si>
  <si>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</si>
  <si>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</si>
  <si>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</si>
  <si>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</si>
  <si>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</si>
  <si>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</si>
  <si>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</si>
  <si>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</si>
  <si>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</si>
  <si>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</si>
  <si>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</si>
  <si>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</si>
  <si>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</si>
  <si>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</si>
  <si>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</si>
  <si>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</si>
  <si>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</si>
  <si>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</si>
  <si>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</si>
  <si>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</si>
  <si>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</si>
  <si>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</si>
  <si>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</si>
  <si>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</si>
  <si>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</si>
  <si>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</si>
  <si>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</si>
  <si>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</si>
  <si>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</si>
  <si>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</si>
  <si>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</si>
  <si>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</si>
  <si>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</si>
  <si>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</si>
  <si>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</si>
  <si>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</si>
  <si>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</si>
  <si>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</si>
  <si>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</si>
  <si>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</si>
  <si>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</si>
  <si>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</si>
  <si>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</si>
  <si>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</si>
  <si>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</si>
  <si>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</si>
  <si>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</si>
  <si>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</si>
  <si>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</si>
  <si>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</si>
  <si>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</si>
  <si>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</si>
  <si>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</si>
  <si>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</si>
  <si>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</si>
  <si>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</si>
  <si>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</si>
  <si>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</si>
  <si>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</si>
  <si>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</si>
  <si>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</si>
  <si>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</si>
  <si>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</si>
  <si>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</si>
  <si>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</si>
  <si>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</si>
  <si>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</si>
  <si>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</si>
  <si>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</si>
  <si>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</si>
  <si>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</si>
  <si>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</si>
  <si>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</si>
  <si>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</si>
  <si>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</si>
  <si>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</si>
  <si>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</si>
  <si>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</si>
  <si>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</si>
  <si>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</si>
  <si>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</si>
  <si>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</si>
  <si>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</si>
  <si>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</si>
  <si>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</si>
  <si>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</si>
  <si>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</si>
  <si>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</si>
  <si>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</si>
  <si>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</si>
  <si>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</si>
  <si>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</si>
  <si>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</si>
  <si>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</si>
  <si>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</si>
  <si>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</si>
  <si>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</si>
  <si>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</si>
  <si>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</si>
  <si>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</si>
  <si>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</si>
  <si>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</si>
  <si>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</si>
  <si>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</si>
  <si>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</si>
  <si>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</si>
  <si>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</si>
  <si>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</si>
  <si>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</si>
  <si>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</si>
  <si>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</si>
  <si>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</si>
  <si>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</si>
  <si>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</si>
  <si>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</si>
  <si>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</si>
  <si>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</si>
  <si>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</si>
  <si>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</si>
  <si>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</si>
  <si>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</si>
  <si>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</si>
  <si>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</si>
  <si>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</si>
  <si>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</si>
  <si>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</si>
  <si>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</si>
  <si>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</si>
  <si>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</si>
  <si>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</si>
  <si>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</si>
  <si>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</si>
  <si>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</si>
  <si>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</si>
  <si>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</si>
  <si>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</si>
  <si>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</si>
  <si>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</si>
  <si>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</si>
  <si>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</si>
  <si>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</si>
  <si>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</si>
  <si>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</si>
  <si>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</si>
  <si>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</si>
  <si>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</si>
  <si>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</si>
  <si>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</si>
  <si>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</si>
  <si>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</si>
  <si>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</si>
  <si>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</si>
  <si>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</si>
  <si>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</si>
  <si>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</si>
  <si>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</si>
  <si>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</si>
  <si>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</si>
  <si>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</si>
  <si>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</si>
  <si>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</si>
  <si>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</si>
  <si>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</si>
  <si>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</si>
  <si>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</si>
  <si>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</si>
  <si>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</si>
  <si>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</si>
  <si>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</si>
  <si>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</si>
  <si>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</si>
  <si>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</si>
  <si>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</si>
  <si>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</si>
  <si>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</si>
  <si>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</si>
  <si>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</si>
  <si>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</si>
  <si>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</si>
  <si>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</si>
  <si>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</si>
  <si>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</si>
  <si>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</si>
  <si>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</si>
  <si>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</si>
  <si>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</si>
  <si>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</si>
  <si>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</si>
  <si>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</si>
  <si>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</si>
  <si>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</si>
  <si>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</si>
  <si>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</si>
  <si>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</si>
  <si>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</si>
  <si>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</si>
  <si>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</si>
  <si>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</si>
  <si>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</si>
  <si>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</si>
  <si>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</si>
  <si>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</si>
  <si>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</si>
  <si>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</si>
  <si>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</si>
  <si>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</si>
  <si>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</si>
  <si>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</si>
  <si>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</si>
  <si>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</si>
  <si>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</si>
  <si>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</si>
  <si>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</si>
  <si>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</si>
  <si>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</si>
  <si>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</si>
  <si>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</si>
  <si>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</si>
  <si>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</si>
  <si>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</si>
  <si>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</si>
  <si>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</si>
  <si>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</si>
  <si>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</si>
  <si>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</si>
  <si>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</si>
  <si>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</si>
  <si>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</si>
  <si>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</si>
  <si>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</si>
  <si>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</si>
  <si>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</si>
  <si>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</si>
  <si>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</si>
  <si>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</si>
  <si>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</si>
  <si>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</si>
  <si>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</si>
  <si>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</si>
  <si>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</si>
  <si>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</si>
  <si>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</si>
  <si>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</si>
  <si>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</si>
  <si>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</si>
  <si>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</si>
  <si>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</si>
  <si>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</si>
  <si>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</si>
  <si>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</si>
  <si>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</si>
  <si>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</si>
  <si>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</si>
  <si>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</si>
  <si>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</si>
  <si>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</si>
  <si>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</si>
  <si>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</si>
  <si>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</si>
  <si>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</si>
  <si>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</si>
  <si>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</si>
  <si>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</si>
  <si>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</si>
  <si>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</si>
  <si>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</si>
  <si>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</si>
  <si>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</si>
  <si>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</si>
  <si>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</si>
  <si>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</si>
  <si>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</si>
  <si>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</si>
  <si>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</si>
  <si>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</si>
  <si>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</si>
  <si>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</si>
  <si>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</si>
  <si>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</si>
  <si>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</si>
  <si>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</si>
  <si>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</si>
  <si>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</si>
  <si>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</si>
  <si>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</si>
  <si>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</si>
  <si>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</si>
  <si>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</si>
  <si>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</si>
  <si>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</si>
  <si>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</si>
  <si>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</si>
  <si>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</si>
  <si>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</si>
  <si>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</si>
  <si>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</si>
  <si>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</si>
  <si>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</si>
  <si>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</si>
  <si>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</si>
  <si>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</si>
  <si>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</si>
  <si>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</si>
  <si>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</si>
  <si>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</si>
  <si>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</si>
  <si>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</si>
  <si>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</si>
  <si>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</si>
  <si>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</si>
  <si>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</si>
  <si>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</si>
  <si>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</si>
  <si>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</si>
  <si>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</si>
  <si>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</si>
  <si>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</si>
  <si>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</si>
  <si>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</si>
  <si>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</si>
  <si>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</si>
  <si>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</si>
  <si>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</si>
  <si>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</si>
  <si>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</si>
  <si>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</si>
  <si>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</si>
  <si>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</si>
  <si>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</si>
  <si>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</si>
  <si>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</si>
  <si>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</si>
  <si>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</si>
  <si>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</si>
  <si>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</si>
  <si>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</si>
  <si>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</si>
  <si>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</si>
  <si>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</si>
  <si>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</si>
  <si>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</si>
  <si>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</si>
  <si>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</si>
  <si>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</si>
  <si>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</si>
  <si>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</si>
  <si>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</si>
  <si>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</si>
  <si>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</si>
  <si>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</si>
  <si>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</si>
  <si>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</si>
  <si>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</si>
  <si>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</si>
  <si>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</si>
  <si>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</si>
  <si>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</si>
  <si>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</si>
  <si>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</si>
  <si>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</si>
  <si>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</si>
  <si>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</si>
  <si>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</si>
  <si>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</si>
  <si>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</si>
  <si>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</si>
  <si>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</si>
  <si>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</si>
  <si>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</si>
  <si>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</si>
  <si>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</si>
  <si>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</si>
  <si>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</si>
  <si>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</si>
  <si>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</si>
  <si>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</si>
  <si>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</si>
  <si>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</si>
  <si>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</si>
  <si>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</si>
  <si>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</si>
  <si>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</si>
  <si>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</si>
  <si>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</si>
  <si>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</si>
  <si>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</si>
  <si>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</si>
  <si>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</si>
  <si>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</si>
  <si>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</si>
  <si>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</si>
  <si>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</si>
  <si>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</si>
  <si>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</si>
  <si>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</si>
  <si>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</si>
  <si>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</si>
  <si>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</si>
  <si>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</si>
  <si>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</si>
  <si>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</si>
  <si>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</si>
  <si>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</si>
  <si>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</si>
  <si>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</si>
  <si>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</si>
  <si>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</si>
  <si>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</si>
  <si>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</si>
  <si>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</si>
  <si>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</si>
  <si>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</si>
  <si>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</si>
  <si>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</si>
  <si>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</si>
  <si>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</si>
  <si>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</si>
  <si>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</si>
  <si>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</si>
  <si>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</si>
  <si>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</si>
  <si>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</si>
  <si>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</si>
  <si>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</si>
  <si>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</si>
  <si>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</si>
  <si>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</si>
  <si>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</si>
  <si>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</si>
  <si>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</si>
  <si>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</si>
  <si>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</si>
  <si>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</si>
  <si>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</si>
  <si>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</si>
  <si>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</si>
  <si>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</si>
  <si>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</si>
  <si>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</si>
  <si>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</si>
  <si>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</si>
  <si>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</si>
  <si>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</si>
  <si>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</si>
  <si>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</si>
  <si>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</si>
  <si>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</si>
  <si>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</si>
  <si>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</si>
  <si>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</si>
  <si>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</si>
  <si>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</si>
  <si>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</si>
  <si>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</si>
  <si>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</si>
  <si>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</si>
  <si>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</si>
  <si>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</si>
  <si>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</si>
  <si>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</si>
  <si>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</si>
  <si>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</si>
  <si>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</si>
  <si>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</si>
  <si>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</si>
  <si>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</si>
  <si>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</si>
  <si>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</si>
  <si>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</si>
  <si>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</si>
  <si>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</si>
  <si>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</si>
  <si>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</si>
  <si>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</si>
  <si>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</si>
  <si>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</si>
  <si>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</si>
  <si>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</si>
  <si>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</si>
  <si>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</si>
  <si>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</si>
  <si>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</si>
  <si>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</si>
  <si>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</si>
  <si>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</si>
  <si>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</si>
  <si>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</si>
  <si>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</si>
  <si>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</si>
  <si>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</si>
  <si>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</si>
  <si>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</si>
  <si>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</si>
  <si>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</si>
  <si>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</si>
  <si>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</si>
  <si>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</si>
  <si>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</si>
  <si>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</si>
  <si>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</si>
  <si>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</si>
  <si>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</si>
  <si>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</si>
  <si>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</si>
  <si>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</si>
  <si>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</si>
  <si>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</si>
  <si>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</si>
  <si>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</si>
  <si>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</si>
  <si>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</si>
  <si>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</si>
  <si>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</si>
  <si>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</si>
  <si>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</si>
  <si>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</si>
  <si>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</si>
  <si>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</si>
  <si>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</si>
  <si>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</si>
  <si>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</si>
  <si>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</si>
  <si>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</si>
  <si>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</si>
  <si>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</si>
  <si>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</si>
  <si>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</si>
  <si>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</si>
  <si>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</si>
  <si>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</si>
  <si>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</si>
  <si>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</si>
  <si>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</si>
  <si>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</si>
  <si>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</si>
  <si>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</si>
  <si>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</si>
  <si>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</si>
  <si>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</si>
  <si>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</si>
  <si>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</si>
  <si>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</si>
  <si>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</si>
  <si>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</si>
  <si>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</si>
  <si>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</si>
  <si>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</si>
  <si>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</si>
  <si>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</si>
  <si>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</si>
  <si>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</si>
  <si>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</si>
  <si>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</si>
  <si>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</si>
  <si>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</si>
  <si>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</si>
  <si>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</si>
  <si>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</si>
  <si>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</si>
  <si>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</si>
  <si>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</si>
  <si>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</si>
  <si>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</si>
  <si>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</si>
  <si>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</si>
  <si>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</si>
  <si>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</si>
  <si>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</si>
  <si>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</si>
  <si>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</si>
  <si>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</si>
  <si>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</si>
  <si>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</si>
  <si>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</si>
  <si>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</si>
  <si>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</si>
  <si>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</si>
  <si>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</si>
  <si>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</si>
  <si>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</si>
  <si>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</si>
  <si>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</si>
  <si>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</si>
  <si>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</si>
  <si>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</si>
  <si>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</si>
  <si>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</si>
  <si>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</si>
  <si>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</si>
  <si>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</si>
  <si>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</si>
  <si>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Thomas Engelhardt (Germany)</t>
  </si>
  <si>
    <t>Johannes Mainhardt (Germany)</t>
  </si>
  <si>
    <t>Andrew Pospielovsky (Great Britain)</t>
  </si>
  <si>
    <t>Almira Zejnilagic (Great Britain)</t>
  </si>
  <si>
    <t>არადამოუკიდებელი თავმჯდომარე</t>
  </si>
  <si>
    <t>არადამოუკიდებელ წევრი</t>
  </si>
  <si>
    <t>დამოუკიდებელი წევრი</t>
  </si>
  <si>
    <t>Margarita Cherikbaeva (Kyrgyzstan)</t>
  </si>
  <si>
    <t>ზაალ ფირცხელავა</t>
  </si>
  <si>
    <t>გენერალური დირექტორი</t>
  </si>
  <si>
    <t>ერეკლე ზათიაშვილი</t>
  </si>
  <si>
    <t>ფინანსური დირექტორი</t>
  </si>
  <si>
    <t>ზაზა ტყეშელაშვილი</t>
  </si>
  <si>
    <t>საკრედიტო ოპერაციების დირექტორი</t>
  </si>
  <si>
    <t>ნიკოლოზ ქუთათელაძე</t>
  </si>
  <si>
    <t>კომერციული დირექტორი</t>
  </si>
  <si>
    <t>ალექსანდრე ქუმსიაშვილი</t>
  </si>
  <si>
    <t>საინფორმაციო ტექნოლოგიების დირექტორი</t>
  </si>
  <si>
    <t>გიორგი ნადარეიშვილი</t>
  </si>
  <si>
    <t>რისკების დირექტორი</t>
  </si>
  <si>
    <t xml:space="preserve">Access Credo GmbH (Germany) </t>
  </si>
  <si>
    <t>Gojo &amp; C0mpant Inc.</t>
  </si>
  <si>
    <t>Societe de Promotion et de Participation pour la Cooperation Economique (Proparco)</t>
  </si>
  <si>
    <t>British International Investment PLC (UK)</t>
  </si>
  <si>
    <t xml:space="preserve">European Investment Bank (Luxembourg) </t>
  </si>
  <si>
    <t xml:space="preserve">International Finance Corporation (USA) </t>
  </si>
  <si>
    <t xml:space="preserve">Kreditanstalt für Wiederaufbau (Germany) </t>
  </si>
  <si>
    <t xml:space="preserve">LFS Advisory GmbH (Germany) </t>
  </si>
  <si>
    <t>Omidyar Tufts Active Citizenship Trust (USA)</t>
  </si>
  <si>
    <t>Agence Francaise de developpement</t>
  </si>
  <si>
    <t xml:space="preserve"> ცხრილი 9 (Capital), C10 </t>
  </si>
  <si>
    <t xml:space="preserve"> ცხრილი 9 (Capital), C28 და C38</t>
  </si>
  <si>
    <t xml:space="preserve"> ცხრილი 9 (Capital), C2</t>
  </si>
  <si>
    <t xml:space="preserve"> ცხრილი 9 (Capital), C3</t>
  </si>
  <si>
    <t xml:space="preserve"> ცხრილი 9 (Capital), C6</t>
  </si>
  <si>
    <t>სს "კრედო ბანკი"</t>
  </si>
  <si>
    <t>ტომას ენგელჰარდტი</t>
  </si>
  <si>
    <t>www.credo.ge</t>
  </si>
  <si>
    <t>Satyagraha Inc.</t>
  </si>
  <si>
    <t>Dr. Bernd Zattler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</si>
</sst>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7">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
      <b/>
      <sz val="11"/>
      <color theme="1"/>
      <name val="Sylfaen"/>
      <family val="1"/>
    </font>
    <font>
      <sz val="11"/>
      <name val="Sylfaen"/>
      <family val="1"/>
    </font>
    <font>
      <b/>
      <sz val="9"/>
      <name val="Calibri"/>
      <family val="2"/>
      <scheme val="minor"/>
    </font>
  </fonts>
  <fills count="8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9"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69"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9"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0" fontId="69"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9"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168"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9"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9"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4" applyNumberFormat="0" applyFill="0" applyAlignment="0" applyProtection="0"/>
    <xf numFmtId="168" fontId="94" fillId="0" borderId="104" applyNumberFormat="0" applyFill="0" applyAlignment="0" applyProtection="0"/>
    <xf numFmtId="169" fontId="94" fillId="0" borderId="104" applyNumberFormat="0" applyFill="0" applyAlignment="0" applyProtection="0"/>
    <xf numFmtId="168" fontId="94" fillId="0" borderId="104" applyNumberFormat="0" applyFill="0" applyAlignment="0" applyProtection="0"/>
    <xf numFmtId="168" fontId="94" fillId="0" borderId="104" applyNumberFormat="0" applyFill="0" applyAlignment="0" applyProtection="0"/>
    <xf numFmtId="169" fontId="94" fillId="0" borderId="104" applyNumberFormat="0" applyFill="0" applyAlignment="0" applyProtection="0"/>
    <xf numFmtId="168" fontId="94" fillId="0" borderId="104" applyNumberFormat="0" applyFill="0" applyAlignment="0" applyProtection="0"/>
    <xf numFmtId="168" fontId="94" fillId="0" borderId="104" applyNumberFormat="0" applyFill="0" applyAlignment="0" applyProtection="0"/>
    <xf numFmtId="169" fontId="94" fillId="0" borderId="104" applyNumberFormat="0" applyFill="0" applyAlignment="0" applyProtection="0"/>
    <xf numFmtId="168" fontId="94" fillId="0" borderId="104" applyNumberFormat="0" applyFill="0" applyAlignment="0" applyProtection="0"/>
    <xf numFmtId="168" fontId="94" fillId="0" borderId="104" applyNumberFormat="0" applyFill="0" applyAlignment="0" applyProtection="0"/>
    <xf numFmtId="169" fontId="94" fillId="0" borderId="104" applyNumberFormat="0" applyFill="0" applyAlignment="0" applyProtection="0"/>
    <xf numFmtId="168" fontId="94"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169" fontId="94"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168" fontId="94"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168" fontId="94"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188" fontId="2" fillId="69" borderId="98" applyFont="0">
      <alignment horizontal="right" vertical="center"/>
    </xf>
    <xf numFmtId="3" fontId="2" fillId="69" borderId="98" applyFont="0">
      <alignment horizontal="right" vertical="center"/>
    </xf>
    <xf numFmtId="0" fontId="83" fillId="63" borderId="103" applyNumberFormat="0" applyAlignment="0" applyProtection="0"/>
    <xf numFmtId="168" fontId="85" fillId="63" borderId="103" applyNumberFormat="0" applyAlignment="0" applyProtection="0"/>
    <xf numFmtId="169" fontId="85" fillId="63" borderId="103" applyNumberFormat="0" applyAlignment="0" applyProtection="0"/>
    <xf numFmtId="168" fontId="85" fillId="63" borderId="103" applyNumberFormat="0" applyAlignment="0" applyProtection="0"/>
    <xf numFmtId="168" fontId="85" fillId="63" borderId="103" applyNumberFormat="0" applyAlignment="0" applyProtection="0"/>
    <xf numFmtId="169" fontId="85" fillId="63" borderId="103" applyNumberFormat="0" applyAlignment="0" applyProtection="0"/>
    <xf numFmtId="168" fontId="85" fillId="63" borderId="103" applyNumberFormat="0" applyAlignment="0" applyProtection="0"/>
    <xf numFmtId="168" fontId="85" fillId="63" borderId="103" applyNumberFormat="0" applyAlignment="0" applyProtection="0"/>
    <xf numFmtId="169" fontId="85" fillId="63" borderId="103" applyNumberFormat="0" applyAlignment="0" applyProtection="0"/>
    <xf numFmtId="168" fontId="85" fillId="63" borderId="103" applyNumberFormat="0" applyAlignment="0" applyProtection="0"/>
    <xf numFmtId="168" fontId="85" fillId="63" borderId="103" applyNumberFormat="0" applyAlignment="0" applyProtection="0"/>
    <xf numFmtId="169" fontId="85" fillId="63" borderId="103" applyNumberFormat="0" applyAlignment="0" applyProtection="0"/>
    <xf numFmtId="168" fontId="85"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169" fontId="85"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168" fontId="85"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168" fontId="85"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3" fontId="2" fillId="74" borderId="98" applyFont="0">
      <alignment horizontal="right" vertical="center"/>
      <protection locked="0"/>
    </xf>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 fillId="73" borderId="102" applyNumberFormat="0" applyFont="0" applyAlignment="0" applyProtection="0"/>
    <xf numFmtId="0" fontId="27"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3" fontId="2" fillId="71" borderId="98" applyFont="0">
      <alignment horizontal="right" vertical="center"/>
      <protection locked="0"/>
    </xf>
    <xf numFmtId="0" fontId="66" fillId="42" borderId="101" applyNumberFormat="0" applyAlignment="0" applyProtection="0"/>
    <xf numFmtId="168" fontId="68" fillId="42" borderId="101" applyNumberFormat="0" applyAlignment="0" applyProtection="0"/>
    <xf numFmtId="169" fontId="68" fillId="42" borderId="101" applyNumberFormat="0" applyAlignment="0" applyProtection="0"/>
    <xf numFmtId="168" fontId="68" fillId="42" borderId="101" applyNumberFormat="0" applyAlignment="0" applyProtection="0"/>
    <xf numFmtId="168" fontId="68" fillId="42" borderId="101" applyNumberFormat="0" applyAlignment="0" applyProtection="0"/>
    <xf numFmtId="169" fontId="68" fillId="42" borderId="101" applyNumberFormat="0" applyAlignment="0" applyProtection="0"/>
    <xf numFmtId="168" fontId="68" fillId="42" borderId="101" applyNumberFormat="0" applyAlignment="0" applyProtection="0"/>
    <xf numFmtId="168" fontId="68" fillId="42" borderId="101" applyNumberFormat="0" applyAlignment="0" applyProtection="0"/>
    <xf numFmtId="169" fontId="68" fillId="42" borderId="101" applyNumberFormat="0" applyAlignment="0" applyProtection="0"/>
    <xf numFmtId="168" fontId="68" fillId="42" borderId="101" applyNumberFormat="0" applyAlignment="0" applyProtection="0"/>
    <xf numFmtId="168" fontId="68" fillId="42" borderId="101" applyNumberFormat="0" applyAlignment="0" applyProtection="0"/>
    <xf numFmtId="169" fontId="68" fillId="42" borderId="101" applyNumberFormat="0" applyAlignment="0" applyProtection="0"/>
    <xf numFmtId="168" fontId="68"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169" fontId="68"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168" fontId="68"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168" fontId="68"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2" fillId="70" borderId="99" applyNumberFormat="0" applyFont="0" applyBorder="0" applyProtection="0">
      <alignment horizontal="left" vertical="center"/>
    </xf>
    <xf numFmtId="9" fontId="2" fillId="70" borderId="98" applyFont="0" applyProtection="0">
      <alignment horizontal="right" vertical="center"/>
    </xf>
    <xf numFmtId="3" fontId="2" fillId="70" borderId="98" applyFont="0" applyProtection="0">
      <alignment horizontal="right" vertical="center"/>
    </xf>
    <xf numFmtId="0" fontId="62" fillId="69" borderId="99" applyFont="0" applyBorder="0">
      <alignment horizontal="center" wrapText="1"/>
    </xf>
    <xf numFmtId="168" fontId="54" fillId="0" borderId="96">
      <alignment horizontal="left" vertical="center"/>
    </xf>
    <xf numFmtId="0" fontId="54" fillId="0" borderId="96">
      <alignment horizontal="left" vertical="center"/>
    </xf>
    <xf numFmtId="0" fontId="54" fillId="0" borderId="96">
      <alignment horizontal="left" vertical="center"/>
    </xf>
    <xf numFmtId="0" fontId="2" fillId="68" borderId="98" applyNumberFormat="0" applyFont="0" applyBorder="0" applyProtection="0">
      <alignment horizontal="center" vertical="center"/>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8" fillId="63" borderId="101" applyNumberFormat="0" applyAlignment="0" applyProtection="0"/>
    <xf numFmtId="168" fontId="40" fillId="63" borderId="101" applyNumberFormat="0" applyAlignment="0" applyProtection="0"/>
    <xf numFmtId="169" fontId="40" fillId="63" borderId="101" applyNumberFormat="0" applyAlignment="0" applyProtection="0"/>
    <xf numFmtId="168" fontId="40" fillId="63" borderId="101" applyNumberFormat="0" applyAlignment="0" applyProtection="0"/>
    <xf numFmtId="168" fontId="40" fillId="63" borderId="101" applyNumberFormat="0" applyAlignment="0" applyProtection="0"/>
    <xf numFmtId="169" fontId="40" fillId="63" borderId="101" applyNumberFormat="0" applyAlignment="0" applyProtection="0"/>
    <xf numFmtId="168" fontId="40" fillId="63" borderId="101" applyNumberFormat="0" applyAlignment="0" applyProtection="0"/>
    <xf numFmtId="168" fontId="40" fillId="63" borderId="101" applyNumberFormat="0" applyAlignment="0" applyProtection="0"/>
    <xf numFmtId="169" fontId="40" fillId="63" borderId="101" applyNumberFormat="0" applyAlignment="0" applyProtection="0"/>
    <xf numFmtId="168" fontId="40" fillId="63" borderId="101" applyNumberFormat="0" applyAlignment="0" applyProtection="0"/>
    <xf numFmtId="168" fontId="40" fillId="63" borderId="101" applyNumberFormat="0" applyAlignment="0" applyProtection="0"/>
    <xf numFmtId="169" fontId="40" fillId="63" borderId="101" applyNumberFormat="0" applyAlignment="0" applyProtection="0"/>
    <xf numFmtId="168" fontId="40"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169" fontId="40"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168" fontId="40"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168" fontId="40"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cellStyleXfs>
  <cellXfs count="951">
    <xf numFmtId="0" fontId="0" fillId="0" borderId="0" xfId="0"/>
    <xf numFmtId="0" fontId="4" fillId="0" borderId="0" xfId="0" applyFont="1"/>
    <xf numFmtId="0" fontId="0" fillId="0" borderId="0" xfId="0" applyAlignment="1">
      <alignment wrapText="1"/>
    </xf>
    <xf numFmtId="167" fontId="3" fillId="0" borderId="0" xfId="0" applyNumberFormat="1" applyFont="1" applyAlignment="1">
      <alignment horizontal="center"/>
    </xf>
    <xf numFmtId="167" fontId="0" fillId="0" borderId="0" xfId="0" applyNumberFormat="1" applyAlignment="1">
      <alignment horizontal="center"/>
    </xf>
    <xf numFmtId="167" fontId="5" fillId="0" borderId="0" xfId="0" applyNumberFormat="1" applyFont="1" applyAlignment="1">
      <alignment horizontal="center"/>
    </xf>
    <xf numFmtId="0" fontId="4" fillId="0" borderId="3" xfId="0" applyFont="1" applyBorder="1"/>
    <xf numFmtId="0" fontId="9" fillId="0" borderId="16" xfId="0" applyFont="1" applyBorder="1"/>
    <xf numFmtId="0" fontId="12" fillId="0" borderId="0" xfId="0" applyFont="1"/>
    <xf numFmtId="0" fontId="9" fillId="0" borderId="0" xfId="0" applyFont="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xf numFmtId="0" fontId="9" fillId="0" borderId="8" xfId="0" applyFont="1" applyBorder="1" applyAlignment="1">
      <alignment wrapText="1"/>
    </xf>
    <xf numFmtId="0" fontId="9" fillId="0" borderId="21"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4" fillId="0" borderId="21" xfId="0" applyFont="1" applyBorder="1"/>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Protection="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Alignment="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9" xfId="9" applyFont="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3" fillId="0" borderId="60" xfId="0" applyNumberFormat="1" applyFont="1" applyBorder="1" applyAlignment="1">
      <alignment horizontal="center"/>
    </xf>
    <xf numFmtId="167" fontId="23" fillId="0" borderId="58" xfId="0" applyNumberFormat="1" applyFont="1" applyBorder="1" applyAlignment="1">
      <alignment horizontal="center"/>
    </xf>
    <xf numFmtId="167" fontId="19" fillId="0" borderId="58" xfId="0" applyNumberFormat="1" applyFont="1" applyBorder="1" applyAlignment="1">
      <alignment horizontal="center"/>
    </xf>
    <xf numFmtId="167" fontId="23" fillId="0" borderId="61" xfId="0" applyNumberFormat="1" applyFont="1" applyBorder="1" applyAlignment="1">
      <alignment horizontal="center"/>
    </xf>
    <xf numFmtId="167" fontId="23" fillId="0" borderId="62"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3" xfId="0" applyFont="1" applyBorder="1"/>
    <xf numFmtId="0" fontId="4" fillId="0" borderId="17" xfId="0" applyFont="1" applyBorder="1"/>
    <xf numFmtId="0" fontId="4" fillId="0" borderId="22" xfId="0" applyFont="1" applyBorder="1"/>
    <xf numFmtId="0" fontId="7" fillId="3" borderId="19" xfId="5" applyFont="1" applyFill="1" applyBorder="1" applyAlignment="1" applyProtection="1">
      <alignment horizontal="right" vertical="center"/>
      <protection locked="0"/>
    </xf>
    <xf numFmtId="0" fontId="15"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7"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2"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76" xfId="0" applyNumberFormat="1" applyFont="1" applyBorder="1" applyAlignment="1">
      <alignment horizontal="right" vertical="center"/>
    </xf>
    <xf numFmtId="49" fontId="106" fillId="0" borderId="79" xfId="0" applyNumberFormat="1" applyFont="1" applyBorder="1" applyAlignment="1">
      <alignment horizontal="right" vertical="center"/>
    </xf>
    <xf numFmtId="49" fontId="106" fillId="0" borderId="84" xfId="0" applyNumberFormat="1" applyFont="1" applyBorder="1" applyAlignment="1">
      <alignment horizontal="right" vertical="center"/>
    </xf>
    <xf numFmtId="0" fontId="106" fillId="0" borderId="0" xfId="0" applyFont="1" applyAlignment="1">
      <alignment horizontal="left"/>
    </xf>
    <xf numFmtId="0" fontId="106" fillId="0" borderId="84" xfId="0" applyFont="1" applyBorder="1" applyAlignment="1">
      <alignment horizontal="right" vertical="center"/>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3" fontId="9" fillId="2" borderId="23" xfId="0" applyNumberFormat="1" applyFont="1" applyFill="1" applyBorder="1" applyAlignment="1" applyProtection="1">
      <alignment vertical="center"/>
      <protection locked="0"/>
    </xf>
    <xf numFmtId="3" fontId="21" fillId="35" borderId="23"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193" fontId="0" fillId="35" borderId="18" xfId="0" applyNumberFormat="1" applyFill="1" applyBorder="1" applyAlignment="1">
      <alignment horizontal="center" vertical="center"/>
    </xf>
    <xf numFmtId="193" fontId="0" fillId="0" borderId="20" xfId="0" applyNumberFormat="1" applyBorder="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7" fillId="35"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5"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5" borderId="20" xfId="2" applyNumberFormat="1" applyFont="1" applyFill="1" applyBorder="1" applyAlignment="1" applyProtection="1">
      <alignment vertical="top" wrapText="1"/>
      <protection locked="0"/>
    </xf>
    <xf numFmtId="193" fontId="7" fillId="35" borderId="24" xfId="2" applyNumberFormat="1" applyFont="1" applyFill="1" applyBorder="1" applyAlignment="1" applyProtection="1">
      <alignment vertical="top" wrapText="1"/>
    </xf>
    <xf numFmtId="193" fontId="19" fillId="0" borderId="13" xfId="0" applyNumberFormat="1" applyFont="1" applyBorder="1" applyAlignment="1">
      <alignment vertical="center"/>
    </xf>
    <xf numFmtId="193" fontId="4" fillId="0" borderId="3" xfId="0" applyNumberFormat="1" applyFont="1" applyBorder="1"/>
    <xf numFmtId="193" fontId="4" fillId="35" borderId="23" xfId="0" applyNumberFormat="1" applyFont="1" applyFill="1" applyBorder="1"/>
    <xf numFmtId="193" fontId="4" fillId="0" borderId="19" xfId="0" applyNumberFormat="1" applyFont="1" applyBorder="1"/>
    <xf numFmtId="193" fontId="4" fillId="0" borderId="20" xfId="0" applyNumberFormat="1" applyFont="1" applyBorder="1"/>
    <xf numFmtId="193" fontId="4" fillId="35" borderId="51" xfId="0" applyNumberFormat="1" applyFont="1" applyFill="1" applyBorder="1"/>
    <xf numFmtId="193" fontId="4" fillId="35" borderId="22" xfId="0" applyNumberFormat="1" applyFont="1" applyFill="1" applyBorder="1"/>
    <xf numFmtId="193" fontId="4" fillId="35" borderId="24" xfId="0" applyNumberFormat="1" applyFont="1" applyFill="1" applyBorder="1"/>
    <xf numFmtId="193" fontId="4" fillId="35" borderId="52"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xf numFmtId="0" fontId="4" fillId="0" borderId="26" xfId="0" applyFont="1" applyBorder="1" applyAlignment="1">
      <alignment wrapText="1"/>
    </xf>
    <xf numFmtId="193" fontId="4" fillId="0" borderId="21" xfId="0" applyNumberFormat="1" applyFont="1" applyBorder="1"/>
    <xf numFmtId="193" fontId="4" fillId="0" borderId="21" xfId="0" applyNumberFormat="1" applyFont="1" applyBorder="1" applyAlignment="1">
      <alignment wrapText="1"/>
    </xf>
    <xf numFmtId="0" fontId="4"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6" fillId="0" borderId="0" xfId="0" applyFont="1" applyAlignment="1">
      <alignment horizontal="center" wrapText="1"/>
    </xf>
    <xf numFmtId="9" fontId="4" fillId="0" borderId="20" xfId="20961" applyFont="1" applyBorder="1"/>
    <xf numFmtId="167" fontId="4" fillId="0" borderId="20" xfId="0" applyNumberFormat="1" applyFont="1" applyBorder="1"/>
    <xf numFmtId="167" fontId="6" fillId="35" borderId="23" xfId="0" applyNumberFormat="1" applyFont="1" applyFill="1" applyBorder="1" applyAlignment="1">
      <alignment horizontal="center" vertical="center"/>
    </xf>
    <xf numFmtId="0" fontId="9" fillId="0" borderId="16" xfId="0" applyFont="1" applyBorder="1" applyAlignment="1">
      <alignment horizontal="right" vertical="center" wrapText="1"/>
    </xf>
    <xf numFmtId="0" fontId="7" fillId="0" borderId="17" xfId="0" applyFont="1" applyBorder="1" applyAlignment="1">
      <alignment vertical="center" wrapText="1"/>
    </xf>
    <xf numFmtId="169" fontId="26" fillId="36" borderId="0" xfId="20"/>
    <xf numFmtId="169" fontId="26" fillId="36" borderId="92" xfId="20" applyBorder="1"/>
    <xf numFmtId="0" fontId="4" fillId="0" borderId="7" xfId="0" applyFont="1" applyBorder="1" applyAlignment="1">
      <alignment vertical="center"/>
    </xf>
    <xf numFmtId="0" fontId="4" fillId="0" borderId="53" xfId="0" applyFont="1" applyBorder="1" applyAlignment="1">
      <alignment vertical="center"/>
    </xf>
    <xf numFmtId="0" fontId="4" fillId="0" borderId="98" xfId="0" applyFont="1" applyBorder="1" applyAlignment="1">
      <alignment vertical="center"/>
    </xf>
    <xf numFmtId="0" fontId="6" fillId="0" borderId="98" xfId="0" applyFont="1" applyBorder="1" applyAlignment="1">
      <alignment vertical="center"/>
    </xf>
    <xf numFmtId="0" fontId="4" fillId="0" borderId="17" xfId="0" applyFont="1" applyBorder="1" applyAlignment="1">
      <alignment vertical="center"/>
    </xf>
    <xf numFmtId="0" fontId="4" fillId="0" borderId="94" xfId="0" applyFont="1" applyBorder="1" applyAlignment="1">
      <alignment vertical="center"/>
    </xf>
    <xf numFmtId="0" fontId="4" fillId="0" borderId="95" xfId="0" applyFont="1" applyBorder="1" applyAlignment="1">
      <alignment vertical="center"/>
    </xf>
    <xf numFmtId="0" fontId="4" fillId="0" borderId="16" xfId="0" applyFont="1" applyBorder="1" applyAlignment="1">
      <alignment horizontal="center" vertical="center"/>
    </xf>
    <xf numFmtId="0" fontId="4" fillId="0" borderId="106" xfId="0" applyFont="1" applyBorder="1" applyAlignment="1">
      <alignment horizontal="center" vertical="center"/>
    </xf>
    <xf numFmtId="0" fontId="4" fillId="0" borderId="108" xfId="0" applyFont="1" applyBorder="1" applyAlignment="1">
      <alignment horizontal="center" vertical="center"/>
    </xf>
    <xf numFmtId="169" fontId="26" fillId="36" borderId="29" xfId="20" applyBorder="1"/>
    <xf numFmtId="169" fontId="26" fillId="36" borderId="109" xfId="20" applyBorder="1"/>
    <xf numFmtId="169" fontId="26" fillId="36" borderId="100" xfId="20" applyBorder="1"/>
    <xf numFmtId="169" fontId="26" fillId="36" borderId="55" xfId="20" applyBorder="1"/>
    <xf numFmtId="0" fontId="4" fillId="3" borderId="63" xfId="0" applyFont="1" applyFill="1" applyBorder="1" applyAlignment="1">
      <alignment horizontal="center" vertical="center"/>
    </xf>
    <xf numFmtId="0" fontId="4" fillId="3" borderId="0" xfId="0" applyFont="1" applyFill="1" applyAlignment="1">
      <alignment vertical="center"/>
    </xf>
    <xf numFmtId="0" fontId="4" fillId="0" borderId="69" xfId="0" applyFont="1" applyBorder="1" applyAlignment="1">
      <alignment horizontal="center" vertical="center"/>
    </xf>
    <xf numFmtId="0" fontId="4" fillId="3" borderId="96"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98" xfId="0" applyFont="1" applyBorder="1" applyAlignment="1">
      <alignment horizontal="center" vertical="center" wrapText="1"/>
    </xf>
    <xf numFmtId="0" fontId="106" fillId="0" borderId="86" xfId="0" applyFont="1" applyBorder="1" applyAlignment="1">
      <alignment horizontal="right" vertical="center"/>
    </xf>
    <xf numFmtId="0" fontId="4" fillId="0" borderId="112" xfId="0" applyFont="1" applyBorder="1" applyAlignment="1">
      <alignment horizontal="center" vertical="center" wrapText="1"/>
    </xf>
    <xf numFmtId="0" fontId="6"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Border="1" applyAlignment="1">
      <alignment horizontal="center" vertical="center"/>
    </xf>
    <xf numFmtId="0" fontId="6" fillId="0" borderId="23" xfId="0" applyFont="1" applyBorder="1" applyAlignment="1">
      <alignment vertical="center"/>
    </xf>
    <xf numFmtId="169" fontId="26" fillId="36" borderId="25" xfId="20" applyBorder="1"/>
    <xf numFmtId="0" fontId="4" fillId="0" borderId="7" xfId="0" applyFont="1" applyBorder="1" applyAlignment="1">
      <alignment horizontal="center" vertical="center" wrapText="1"/>
    </xf>
    <xf numFmtId="0" fontId="4" fillId="0" borderId="64" xfId="0" applyFont="1" applyBorder="1" applyAlignment="1">
      <alignment horizontal="center" vertical="center" wrapText="1"/>
    </xf>
    <xf numFmtId="0" fontId="7" fillId="0" borderId="16" xfId="11" applyFont="1" applyBorder="1" applyAlignment="1">
      <alignment vertical="center"/>
    </xf>
    <xf numFmtId="0" fontId="7" fillId="0" borderId="17" xfId="11" applyFont="1" applyBorder="1" applyAlignment="1">
      <alignment vertical="center"/>
    </xf>
    <xf numFmtId="0" fontId="15" fillId="0" borderId="18" xfId="11" applyFont="1" applyBorder="1" applyAlignment="1">
      <alignment horizontal="center" vertical="center"/>
    </xf>
    <xf numFmtId="0" fontId="0" fillId="0" borderId="114" xfId="0" applyBorder="1"/>
    <xf numFmtId="0" fontId="0" fillId="0" borderId="22" xfId="0" applyBorder="1"/>
    <xf numFmtId="0" fontId="6" fillId="35" borderId="115" xfId="0" applyFont="1" applyFill="1" applyBorder="1" applyAlignment="1">
      <alignment vertical="center" wrapText="1"/>
    </xf>
    <xf numFmtId="0" fontId="7" fillId="0" borderId="0" xfId="0" applyFont="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4" xfId="0" applyFont="1" applyFill="1" applyBorder="1" applyAlignment="1">
      <alignment horizontal="left" vertical="center" wrapText="1"/>
    </xf>
    <xf numFmtId="0" fontId="6" fillId="35" borderId="98" xfId="0" applyFont="1" applyFill="1" applyBorder="1" applyAlignment="1">
      <alignment horizontal="left" vertical="center" wrapText="1"/>
    </xf>
    <xf numFmtId="0" fontId="6" fillId="35" borderId="112" xfId="0" applyFont="1" applyFill="1" applyBorder="1" applyAlignment="1">
      <alignment horizontal="left" vertical="center" wrapText="1"/>
    </xf>
    <xf numFmtId="0" fontId="4" fillId="0" borderId="114" xfId="0" applyFont="1" applyBorder="1" applyAlignment="1">
      <alignment horizontal="right" vertical="center" wrapText="1"/>
    </xf>
    <xf numFmtId="0" fontId="4" fillId="0" borderId="98" xfId="0" applyFont="1" applyBorder="1" applyAlignment="1">
      <alignment horizontal="left" vertical="center" wrapText="1"/>
    </xf>
    <xf numFmtId="0" fontId="109" fillId="0" borderId="114" xfId="0" applyFont="1" applyBorder="1" applyAlignment="1">
      <alignment horizontal="right" vertical="center" wrapText="1"/>
    </xf>
    <xf numFmtId="0" fontId="109" fillId="0" borderId="98" xfId="0" applyFont="1" applyBorder="1" applyAlignment="1">
      <alignment horizontal="left" vertical="center" wrapText="1"/>
    </xf>
    <xf numFmtId="0" fontId="6" fillId="0" borderId="114"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9" fillId="0" borderId="0" xfId="0" applyFont="1" applyAlignment="1">
      <alignment horizontal="left" vertical="center"/>
    </xf>
    <xf numFmtId="49" fontId="110" fillId="0" borderId="22" xfId="5" applyNumberFormat="1" applyFont="1" applyBorder="1" applyAlignment="1" applyProtection="1">
      <alignment horizontal="left" vertical="center"/>
      <protection locked="0"/>
    </xf>
    <xf numFmtId="0" fontId="111" fillId="0" borderId="23" xfId="9" applyFont="1" applyBorder="1" applyAlignment="1" applyProtection="1">
      <alignment horizontal="left" vertical="center" wrapText="1"/>
      <protection locked="0"/>
    </xf>
    <xf numFmtId="0" fontId="20" fillId="0" borderId="114" xfId="0" applyFont="1" applyBorder="1" applyAlignment="1">
      <alignment horizontal="center" vertical="center" wrapText="1"/>
    </xf>
    <xf numFmtId="3" fontId="21" fillId="35" borderId="98" xfId="0" applyNumberFormat="1" applyFont="1" applyFill="1" applyBorder="1" applyAlignment="1">
      <alignment vertical="center" wrapText="1"/>
    </xf>
    <xf numFmtId="3" fontId="21" fillId="35" borderId="112" xfId="0" applyNumberFormat="1" applyFont="1" applyFill="1" applyBorder="1" applyAlignment="1">
      <alignment vertical="center" wrapText="1"/>
    </xf>
    <xf numFmtId="14" fontId="7" fillId="3" borderId="98" xfId="8" quotePrefix="1" applyNumberFormat="1" applyFont="1" applyFill="1" applyBorder="1" applyAlignment="1" applyProtection="1">
      <alignment horizontal="left" vertical="center" wrapText="1" indent="2"/>
      <protection locked="0"/>
    </xf>
    <xf numFmtId="3" fontId="21" fillId="0" borderId="98" xfId="0" applyNumberFormat="1" applyFont="1" applyBorder="1" applyAlignment="1">
      <alignment vertical="center" wrapText="1"/>
    </xf>
    <xf numFmtId="14" fontId="7" fillId="3" borderId="98" xfId="8" quotePrefix="1" applyNumberFormat="1" applyFont="1" applyFill="1" applyBorder="1" applyAlignment="1" applyProtection="1">
      <alignment horizontal="left" vertical="center" wrapText="1" indent="3"/>
      <protection locked="0"/>
    </xf>
    <xf numFmtId="0" fontId="11" fillId="0" borderId="98" xfId="17" applyFill="1" applyBorder="1" applyAlignment="1" applyProtection="1"/>
    <xf numFmtId="49" fontId="109" fillId="0" borderId="114" xfId="0" applyNumberFormat="1" applyFont="1" applyBorder="1" applyAlignment="1">
      <alignment horizontal="right" vertical="center" wrapText="1"/>
    </xf>
    <xf numFmtId="0" fontId="7" fillId="3" borderId="98" xfId="20960" applyFont="1" applyFill="1" applyBorder="1"/>
    <xf numFmtId="0" fontId="103" fillId="0" borderId="98" xfId="20960" applyFont="1" applyBorder="1" applyAlignment="1">
      <alignment horizontal="center" vertical="center"/>
    </xf>
    <xf numFmtId="0" fontId="4" fillId="0" borderId="98" xfId="0" applyFont="1" applyBorder="1"/>
    <xf numFmtId="0" fontId="11" fillId="0" borderId="98" xfId="17" applyFill="1" applyBorder="1" applyAlignment="1" applyProtection="1">
      <alignment horizontal="left" vertical="center" wrapText="1"/>
    </xf>
    <xf numFmtId="49" fontId="109" fillId="0" borderId="98" xfId="0" applyNumberFormat="1" applyFont="1" applyBorder="1" applyAlignment="1">
      <alignment horizontal="right" vertical="center" wrapText="1"/>
    </xf>
    <xf numFmtId="0" fontId="11" fillId="0" borderId="98" xfId="17" applyFill="1" applyBorder="1" applyAlignment="1" applyProtection="1">
      <alignment horizontal="left" vertical="center"/>
    </xf>
    <xf numFmtId="10" fontId="7" fillId="0" borderId="98" xfId="20961" applyNumberFormat="1" applyFont="1" applyFill="1" applyBorder="1" applyAlignment="1">
      <alignment horizontal="left" vertical="center" wrapText="1"/>
    </xf>
    <xf numFmtId="10" fontId="4" fillId="0" borderId="98" xfId="20961" applyNumberFormat="1" applyFont="1" applyFill="1" applyBorder="1" applyAlignment="1">
      <alignment horizontal="left" vertical="center" wrapText="1"/>
    </xf>
    <xf numFmtId="10" fontId="6" fillId="35" borderId="98" xfId="0" applyNumberFormat="1" applyFont="1" applyFill="1" applyBorder="1" applyAlignment="1">
      <alignment horizontal="left" vertical="center" wrapText="1"/>
    </xf>
    <xf numFmtId="10" fontId="109" fillId="0" borderId="98" xfId="20961" applyNumberFormat="1" applyFont="1" applyFill="1" applyBorder="1" applyAlignment="1">
      <alignment horizontal="left" vertical="center" wrapText="1"/>
    </xf>
    <xf numFmtId="10" fontId="6" fillId="35" borderId="98" xfId="20961" applyNumberFormat="1" applyFont="1" applyFill="1" applyBorder="1" applyAlignment="1">
      <alignment horizontal="left" vertical="center" wrapText="1"/>
    </xf>
    <xf numFmtId="10" fontId="6" fillId="35" borderId="98" xfId="0" applyNumberFormat="1" applyFont="1" applyFill="1" applyBorder="1" applyAlignment="1">
      <alignment horizontal="center" vertical="center" wrapText="1"/>
    </xf>
    <xf numFmtId="10" fontId="111" fillId="0" borderId="23"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4" xfId="0" applyFont="1" applyBorder="1" applyAlignment="1">
      <alignment horizontal="right" vertical="center" wrapText="1"/>
    </xf>
    <xf numFmtId="0" fontId="7" fillId="0" borderId="98" xfId="0" applyFont="1" applyBorder="1" applyAlignment="1">
      <alignment vertical="center" wrapText="1"/>
    </xf>
    <xf numFmtId="0" fontId="4" fillId="0" borderId="98" xfId="0" applyFont="1" applyBorder="1" applyAlignment="1">
      <alignment vertical="center" wrapText="1"/>
    </xf>
    <xf numFmtId="0" fontId="4" fillId="0" borderId="98" xfId="0" applyFont="1" applyBorder="1" applyAlignment="1">
      <alignment horizontal="left" vertical="center" wrapText="1" indent="2"/>
    </xf>
    <xf numFmtId="3" fontId="21" fillId="35" borderId="99" xfId="0" applyNumberFormat="1" applyFont="1" applyFill="1" applyBorder="1" applyAlignment="1">
      <alignment vertical="center" wrapText="1"/>
    </xf>
    <xf numFmtId="3" fontId="21" fillId="35" borderId="21" xfId="0" applyNumberFormat="1" applyFont="1" applyFill="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2" xfId="0" applyFont="1" applyBorder="1"/>
    <xf numFmtId="0" fontId="9" fillId="0" borderId="112" xfId="0" applyFont="1" applyBorder="1"/>
    <xf numFmtId="0" fontId="10" fillId="0" borderId="18" xfId="0" applyFont="1" applyBorder="1" applyAlignment="1">
      <alignment horizontal="center"/>
    </xf>
    <xf numFmtId="0" fontId="10" fillId="0" borderId="112"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9" fillId="0" borderId="114" xfId="0" applyFont="1" applyBorder="1" applyAlignment="1">
      <alignment horizontal="center" vertical="center" wrapText="1"/>
    </xf>
    <xf numFmtId="0" fontId="15" fillId="0" borderId="98" xfId="0" applyFont="1" applyBorder="1" applyAlignment="1">
      <alignment horizontal="center" vertical="center" wrapText="1"/>
    </xf>
    <xf numFmtId="0" fontId="16" fillId="0" borderId="98" xfId="0" applyFont="1" applyBorder="1" applyAlignment="1">
      <alignment horizontal="left" vertical="center" wrapText="1"/>
    </xf>
    <xf numFmtId="193" fontId="7" fillId="0" borderId="98" xfId="0" applyNumberFormat="1" applyFont="1" applyBorder="1" applyAlignment="1" applyProtection="1">
      <alignment vertical="center" wrapText="1"/>
      <protection locked="0"/>
    </xf>
    <xf numFmtId="193" fontId="7" fillId="0" borderId="98" xfId="0" applyNumberFormat="1" applyFont="1" applyBorder="1" applyAlignment="1" applyProtection="1">
      <alignment horizontal="right" vertical="center" wrapText="1"/>
      <protection locked="0"/>
    </xf>
    <xf numFmtId="0" fontId="9" fillId="2" borderId="114" xfId="0" applyFont="1" applyFill="1" applyBorder="1" applyAlignment="1">
      <alignment horizontal="right" vertical="center"/>
    </xf>
    <xf numFmtId="0" fontId="9" fillId="2" borderId="98" xfId="0" applyFont="1" applyFill="1" applyBorder="1" applyAlignment="1">
      <alignment vertical="center"/>
    </xf>
    <xf numFmtId="193" fontId="9" fillId="2" borderId="98" xfId="0" applyNumberFormat="1" applyFont="1" applyFill="1" applyBorder="1" applyAlignment="1" applyProtection="1">
      <alignment vertical="center"/>
      <protection locked="0"/>
    </xf>
    <xf numFmtId="0" fontId="15" fillId="0" borderId="114" xfId="0" applyFont="1" applyBorder="1" applyAlignment="1">
      <alignment horizontal="center" vertical="center" wrapText="1"/>
    </xf>
    <xf numFmtId="14" fontId="4" fillId="0" borderId="0" xfId="0" applyNumberFormat="1" applyFont="1"/>
    <xf numFmtId="10" fontId="4" fillId="0" borderId="98" xfId="20961" applyNumberFormat="1" applyFont="1" applyFill="1" applyBorder="1" applyAlignment="1" applyProtection="1">
      <alignment horizontal="right" vertical="center" wrapText="1"/>
      <protection locked="0"/>
    </xf>
    <xf numFmtId="0" fontId="4" fillId="3" borderId="54"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8" xfId="0" applyFont="1" applyBorder="1" applyAlignment="1">
      <alignment horizontal="center"/>
    </xf>
    <xf numFmtId="0" fontId="4" fillId="3" borderId="63"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92" xfId="0" applyFont="1" applyFill="1" applyBorder="1" applyAlignment="1">
      <alignment horizontal="center" vertical="center" wrapText="1"/>
    </xf>
    <xf numFmtId="0" fontId="4" fillId="0" borderId="114" xfId="0" applyFont="1" applyBorder="1"/>
    <xf numFmtId="0" fontId="4" fillId="0" borderId="98" xfId="0" applyFont="1" applyBorder="1" applyAlignment="1">
      <alignment wrapText="1"/>
    </xf>
    <xf numFmtId="164" fontId="4" fillId="0" borderId="98" xfId="7" applyNumberFormat="1" applyFont="1" applyBorder="1"/>
    <xf numFmtId="164" fontId="4" fillId="0" borderId="112" xfId="7" applyNumberFormat="1" applyFont="1" applyBorder="1"/>
    <xf numFmtId="0" fontId="14" fillId="0" borderId="98" xfId="0" applyFont="1" applyBorder="1" applyAlignment="1">
      <alignment horizontal="left" wrapText="1" indent="2"/>
    </xf>
    <xf numFmtId="169" fontId="26" fillId="36" borderId="98" xfId="20" applyBorder="1"/>
    <xf numFmtId="164" fontId="4" fillId="0" borderId="98" xfId="7" applyNumberFormat="1" applyFont="1" applyBorder="1" applyAlignment="1">
      <alignment vertical="center"/>
    </xf>
    <xf numFmtId="0" fontId="6" fillId="0" borderId="114" xfId="0" applyFont="1" applyBorder="1"/>
    <xf numFmtId="0" fontId="6" fillId="0" borderId="98" xfId="0" applyFont="1" applyBorder="1" applyAlignment="1">
      <alignment wrapText="1"/>
    </xf>
    <xf numFmtId="164" fontId="6" fillId="0" borderId="112" xfId="7" applyNumberFormat="1" applyFont="1" applyBorder="1"/>
    <xf numFmtId="0" fontId="3" fillId="3" borderId="63"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2" xfId="7" applyNumberFormat="1" applyFont="1" applyFill="1" applyBorder="1"/>
    <xf numFmtId="164" fontId="4" fillId="0" borderId="98" xfId="7" applyNumberFormat="1" applyFont="1" applyFill="1" applyBorder="1"/>
    <xf numFmtId="164" fontId="4" fillId="0" borderId="98" xfId="7" applyNumberFormat="1" applyFont="1" applyFill="1" applyBorder="1" applyAlignment="1">
      <alignment vertical="center"/>
    </xf>
    <xf numFmtId="0" fontId="14" fillId="0" borderId="98"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2" xfId="0" applyFont="1" applyFill="1" applyBorder="1"/>
    <xf numFmtId="0" fontId="6" fillId="0" borderId="22" xfId="0" applyFont="1" applyBorder="1"/>
    <xf numFmtId="0" fontId="6" fillId="0" borderId="23" xfId="0" applyFont="1" applyBorder="1" applyAlignment="1">
      <alignment wrapText="1"/>
    </xf>
    <xf numFmtId="169" fontId="26" fillId="36" borderId="115" xfId="20" applyBorder="1"/>
    <xf numFmtId="10" fontId="6" fillId="0" borderId="24" xfId="20961" applyNumberFormat="1" applyFont="1" applyBorder="1"/>
    <xf numFmtId="0" fontId="9" fillId="2" borderId="106" xfId="0" applyFont="1" applyFill="1" applyBorder="1" applyAlignment="1">
      <alignment horizontal="right" vertical="center"/>
    </xf>
    <xf numFmtId="0" fontId="9" fillId="2" borderId="94" xfId="0" applyFont="1" applyFill="1" applyBorder="1" applyAlignment="1">
      <alignment vertical="center"/>
    </xf>
    <xf numFmtId="193" fontId="9" fillId="2" borderId="94" xfId="0" applyNumberFormat="1" applyFont="1" applyFill="1" applyBorder="1" applyAlignment="1" applyProtection="1">
      <alignment vertical="center"/>
      <protection locked="0"/>
    </xf>
    <xf numFmtId="0" fontId="9" fillId="0" borderId="98" xfId="0" applyFont="1" applyBorder="1" applyAlignment="1">
      <alignment horizontal="left" vertical="center" wrapText="1"/>
    </xf>
    <xf numFmtId="0" fontId="6" fillId="3" borderId="0" xfId="0" applyFont="1" applyFill="1" applyAlignment="1">
      <alignment horizontal="center"/>
    </xf>
    <xf numFmtId="0" fontId="106" fillId="0" borderId="86" xfId="0" applyFont="1" applyBorder="1" applyAlignment="1">
      <alignment horizontal="left" vertical="center"/>
    </xf>
    <xf numFmtId="0" fontId="106" fillId="0" borderId="84" xfId="0" applyFont="1" applyBorder="1" applyAlignment="1">
      <alignment vertical="center" wrapText="1"/>
    </xf>
    <xf numFmtId="0" fontId="106" fillId="0" borderId="84" xfId="0" applyFont="1" applyBorder="1" applyAlignment="1">
      <alignment horizontal="left" vertical="center" wrapText="1"/>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28" xfId="0" applyFont="1" applyBorder="1" applyAlignment="1">
      <alignment horizontal="left" vertical="center" wrapText="1"/>
    </xf>
    <xf numFmtId="0" fontId="125" fillId="0" borderId="0" xfId="0" applyFont="1"/>
    <xf numFmtId="49" fontId="106" fillId="0" borderId="98" xfId="0" applyNumberFormat="1" applyFont="1" applyBorder="1" applyAlignment="1">
      <alignment horizontal="right" vertical="center"/>
    </xf>
    <xf numFmtId="0" fontId="126" fillId="0" borderId="0" xfId="0" applyFont="1"/>
    <xf numFmtId="0" fontId="117" fillId="0" borderId="0" xfId="0" applyFont="1" applyAlignment="1">
      <alignment horizontal="left" indent="1"/>
    </xf>
    <xf numFmtId="0" fontId="117" fillId="0" borderId="0" xfId="0" applyFont="1" applyAlignment="1">
      <alignment horizontal="left" indent="2"/>
    </xf>
    <xf numFmtId="49" fontId="117" fillId="0" borderId="0" xfId="0" applyNumberFormat="1" applyFont="1" applyAlignment="1">
      <alignment horizontal="left" indent="3"/>
    </xf>
    <xf numFmtId="49" fontId="117" fillId="0" borderId="0" xfId="0" applyNumberFormat="1" applyFont="1" applyAlignment="1">
      <alignment horizontal="left" indent="1"/>
    </xf>
    <xf numFmtId="49" fontId="117" fillId="0" borderId="0" xfId="0" applyNumberFormat="1" applyFont="1" applyAlignment="1">
      <alignment horizontal="left" wrapText="1" indent="2"/>
    </xf>
    <xf numFmtId="49" fontId="117" fillId="0" borderId="0" xfId="0" applyNumberFormat="1" applyFont="1" applyAlignment="1">
      <alignment horizontal="left" wrapText="1" indent="3"/>
    </xf>
    <xf numFmtId="0" fontId="117" fillId="0" borderId="0" xfId="0" applyFont="1" applyAlignment="1">
      <alignment horizontal="left" wrapText="1" indent="1"/>
    </xf>
    <xf numFmtId="0" fontId="117" fillId="0" borderId="0" xfId="0" applyFont="1" applyAlignment="1">
      <alignment horizontal="left" vertical="top" wrapText="1"/>
    </xf>
    <xf numFmtId="193" fontId="7" fillId="3" borderId="112" xfId="2" applyNumberFormat="1" applyFont="1" applyFill="1" applyBorder="1" applyAlignment="1" applyProtection="1">
      <alignment vertical="top" wrapText="1"/>
      <protection locked="0"/>
    </xf>
    <xf numFmtId="0" fontId="9" fillId="0" borderId="98" xfId="0" applyFont="1" applyBorder="1" applyAlignment="1">
      <alignment horizontal="center" vertical="center" wrapText="1"/>
    </xf>
    <xf numFmtId="0" fontId="3" fillId="0" borderId="98" xfId="0" applyFont="1" applyBorder="1" applyAlignment="1">
      <alignment horizontal="center" vertical="center"/>
    </xf>
    <xf numFmtId="0" fontId="130" fillId="3" borderId="98" xfId="21414" applyFont="1" applyFill="1" applyBorder="1" applyAlignment="1">
      <alignment horizontal="left" vertical="center" wrapText="1"/>
    </xf>
    <xf numFmtId="0" fontId="0" fillId="0" borderId="98" xfId="0" applyBorder="1"/>
    <xf numFmtId="0" fontId="131" fillId="0" borderId="98" xfId="21414" applyFont="1" applyBorder="1" applyAlignment="1">
      <alignment horizontal="left" vertical="center" wrapText="1" indent="1"/>
    </xf>
    <xf numFmtId="0" fontId="132" fillId="3" borderId="98" xfId="21414" applyFont="1" applyFill="1" applyBorder="1" applyAlignment="1">
      <alignment horizontal="left" vertical="center" wrapText="1"/>
    </xf>
    <xf numFmtId="0" fontId="131" fillId="3" borderId="98" xfId="21414" applyFont="1" applyFill="1" applyBorder="1" applyAlignment="1">
      <alignment horizontal="left" vertical="center" wrapText="1" indent="1"/>
    </xf>
    <xf numFmtId="0" fontId="130" fillId="0" borderId="135" xfId="0" applyFont="1" applyBorder="1" applyAlignment="1">
      <alignment horizontal="left" vertical="center" wrapText="1"/>
    </xf>
    <xf numFmtId="0" fontId="132" fillId="0" borderId="135" xfId="0" applyFont="1" applyBorder="1" applyAlignment="1">
      <alignment horizontal="left" vertical="center" wrapText="1"/>
    </xf>
    <xf numFmtId="0" fontId="133" fillId="3" borderId="135" xfId="0" applyFont="1" applyFill="1" applyBorder="1" applyAlignment="1">
      <alignment horizontal="left" vertical="center" wrapText="1" indent="1"/>
    </xf>
    <xf numFmtId="0" fontId="132" fillId="3" borderId="135" xfId="0" applyFont="1" applyFill="1" applyBorder="1" applyAlignment="1">
      <alignment horizontal="left" vertical="center" wrapText="1"/>
    </xf>
    <xf numFmtId="0" fontId="132" fillId="3" borderId="136" xfId="0" applyFont="1" applyFill="1" applyBorder="1" applyAlignment="1">
      <alignment horizontal="left" vertical="center" wrapText="1"/>
    </xf>
    <xf numFmtId="0" fontId="133" fillId="0" borderId="135" xfId="0" applyFont="1" applyBorder="1" applyAlignment="1">
      <alignment horizontal="left" vertical="center" wrapText="1" indent="1"/>
    </xf>
    <xf numFmtId="0" fontId="133" fillId="0" borderId="98" xfId="21414" applyFont="1" applyBorder="1" applyAlignment="1">
      <alignment horizontal="left" vertical="center" wrapText="1" indent="1"/>
    </xf>
    <xf numFmtId="0" fontId="132" fillId="0" borderId="98" xfId="21414" applyFont="1" applyBorder="1" applyAlignment="1">
      <alignment horizontal="left" vertical="center" wrapText="1"/>
    </xf>
    <xf numFmtId="0" fontId="134" fillId="0" borderId="98" xfId="21414" applyFont="1" applyBorder="1" applyAlignment="1">
      <alignment horizontal="center" vertical="center" wrapText="1"/>
    </xf>
    <xf numFmtId="0" fontId="132" fillId="3" borderId="137" xfId="0" applyFont="1" applyFill="1" applyBorder="1" applyAlignment="1">
      <alignment horizontal="left" vertical="center" wrapText="1"/>
    </xf>
    <xf numFmtId="0" fontId="0" fillId="0" borderId="138" xfId="0" applyBorder="1"/>
    <xf numFmtId="0" fontId="131" fillId="3" borderId="138" xfId="21414" applyFont="1" applyFill="1" applyBorder="1" applyAlignment="1">
      <alignment horizontal="left" vertical="center" wrapText="1" indent="1"/>
    </xf>
    <xf numFmtId="0" fontId="131" fillId="3" borderId="135" xfId="0" applyFont="1" applyFill="1" applyBorder="1" applyAlignment="1">
      <alignment horizontal="left" vertical="center" wrapText="1" indent="1"/>
    </xf>
    <xf numFmtId="0" fontId="131" fillId="0" borderId="138" xfId="21414" applyFont="1" applyBorder="1" applyAlignment="1">
      <alignment horizontal="left" vertical="center" wrapText="1" indent="1"/>
    </xf>
    <xf numFmtId="0" fontId="131" fillId="0" borderId="135" xfId="0" applyFont="1" applyBorder="1" applyAlignment="1">
      <alignment horizontal="left" vertical="center" wrapText="1" indent="1"/>
    </xf>
    <xf numFmtId="0" fontId="131" fillId="0" borderId="136" xfId="0" applyFont="1" applyBorder="1" applyAlignment="1">
      <alignment horizontal="left" vertical="center" wrapText="1" indent="1"/>
    </xf>
    <xf numFmtId="0" fontId="132" fillId="0" borderId="138" xfId="21414" applyFont="1" applyBorder="1" applyAlignment="1">
      <alignment horizontal="left" vertical="center" wrapText="1"/>
    </xf>
    <xf numFmtId="0" fontId="132" fillId="3" borderId="138" xfId="21414" applyFont="1" applyFill="1" applyBorder="1" applyAlignment="1">
      <alignment horizontal="left" vertical="center" wrapText="1"/>
    </xf>
    <xf numFmtId="0" fontId="134" fillId="0" borderId="138" xfId="21414" applyFont="1" applyBorder="1" applyAlignment="1">
      <alignment horizontal="center" vertical="center" wrapText="1"/>
    </xf>
    <xf numFmtId="0" fontId="135" fillId="0" borderId="138" xfId="0" applyFont="1" applyBorder="1" applyAlignment="1">
      <alignment horizontal="left"/>
    </xf>
    <xf numFmtId="0" fontId="132" fillId="0" borderId="138" xfId="0" applyFont="1" applyBorder="1" applyAlignment="1">
      <alignment horizontal="left" vertical="center" wrapText="1"/>
    </xf>
    <xf numFmtId="0" fontId="0" fillId="0" borderId="0" xfId="0" applyAlignment="1">
      <alignment horizontal="left" vertical="center"/>
    </xf>
    <xf numFmtId="0" fontId="9" fillId="0" borderId="138" xfId="0" applyFont="1" applyBorder="1" applyAlignment="1">
      <alignment horizontal="center" vertical="center" wrapText="1"/>
    </xf>
    <xf numFmtId="0" fontId="132" fillId="0" borderId="143" xfId="0" applyFont="1" applyBorder="1" applyAlignment="1">
      <alignment horizontal="justify" vertical="center" wrapText="1"/>
    </xf>
    <xf numFmtId="0" fontId="131" fillId="0" borderId="137" xfId="0" applyFont="1" applyBorder="1" applyAlignment="1">
      <alignment horizontal="left" vertical="center" wrapText="1" indent="1"/>
    </xf>
    <xf numFmtId="0" fontId="132" fillId="0" borderId="135" xfId="0" applyFont="1" applyBorder="1" applyAlignment="1">
      <alignment horizontal="justify" vertical="center" wrapText="1"/>
    </xf>
    <xf numFmtId="0" fontId="130" fillId="0" borderId="135" xfId="0" applyFont="1" applyBorder="1" applyAlignment="1">
      <alignment horizontal="justify" vertical="center" wrapText="1"/>
    </xf>
    <xf numFmtId="0" fontId="132" fillId="3" borderId="135" xfId="0" applyFont="1" applyFill="1" applyBorder="1" applyAlignment="1">
      <alignment horizontal="justify" vertical="center" wrapText="1"/>
    </xf>
    <xf numFmtId="0" fontId="132" fillId="0" borderId="136" xfId="0" applyFont="1" applyBorder="1" applyAlignment="1">
      <alignment horizontal="justify" vertical="center" wrapText="1"/>
    </xf>
    <xf numFmtId="0" fontId="132" fillId="0" borderId="137" xfId="0" applyFont="1" applyBorder="1" applyAlignment="1">
      <alignment horizontal="justify" vertical="center" wrapText="1"/>
    </xf>
    <xf numFmtId="0" fontId="132" fillId="0" borderId="138" xfId="21414" applyFont="1" applyBorder="1" applyAlignment="1">
      <alignment horizontal="justify" vertical="center" wrapText="1"/>
    </xf>
    <xf numFmtId="0" fontId="133" fillId="0" borderId="129" xfId="0" applyFont="1" applyBorder="1" applyAlignment="1">
      <alignment horizontal="left" vertical="center" wrapText="1" indent="1"/>
    </xf>
    <xf numFmtId="0" fontId="130" fillId="0" borderId="135" xfId="0" applyFont="1" applyBorder="1" applyAlignment="1">
      <alignment vertical="center" wrapText="1"/>
    </xf>
    <xf numFmtId="0" fontId="132" fillId="0" borderId="135" xfId="0" applyFont="1" applyBorder="1" applyAlignment="1">
      <alignment vertical="center" wrapText="1"/>
    </xf>
    <xf numFmtId="0" fontId="132" fillId="0" borderId="138" xfId="21414" applyFont="1" applyBorder="1" applyAlignment="1">
      <alignment vertical="center" wrapText="1"/>
    </xf>
    <xf numFmtId="0" fontId="9" fillId="0" borderId="112" xfId="0" applyFont="1" applyBorder="1" applyAlignment="1">
      <alignment horizontal="center" vertical="center" wrapText="1"/>
    </xf>
    <xf numFmtId="0" fontId="0" fillId="0" borderId="138" xfId="0" applyBorder="1" applyAlignment="1">
      <alignment horizontal="center"/>
    </xf>
    <xf numFmtId="193" fontId="9" fillId="0" borderId="138" xfId="0" applyNumberFormat="1" applyFont="1" applyBorder="1" applyAlignment="1">
      <alignment horizontal="right"/>
    </xf>
    <xf numFmtId="193" fontId="9" fillId="35" borderId="138" xfId="0" applyNumberFormat="1" applyFont="1" applyFill="1" applyBorder="1" applyAlignment="1">
      <alignment horizontal="right"/>
    </xf>
    <xf numFmtId="193" fontId="9" fillId="35" borderId="112" xfId="0" applyNumberFormat="1" applyFont="1" applyFill="1" applyBorder="1" applyAlignment="1">
      <alignment horizontal="right"/>
    </xf>
    <xf numFmtId="0" fontId="15" fillId="0" borderId="138" xfId="0" applyFont="1" applyBorder="1" applyAlignment="1">
      <alignment vertical="center" wrapText="1"/>
    </xf>
    <xf numFmtId="0" fontId="7" fillId="0" borderId="138" xfId="0" applyFont="1" applyBorder="1" applyAlignment="1">
      <alignment horizontal="left" vertical="center" wrapText="1" indent="1"/>
    </xf>
    <xf numFmtId="0" fontId="3" fillId="0" borderId="138" xfId="0" applyFont="1" applyBorder="1" applyAlignment="1">
      <alignment vertical="center"/>
    </xf>
    <xf numFmtId="0" fontId="136" fillId="0" borderId="138" xfId="0" applyFont="1" applyBorder="1" applyAlignment="1" applyProtection="1">
      <alignment horizontal="left" vertical="center" indent="1"/>
      <protection locked="0"/>
    </xf>
    <xf numFmtId="0" fontId="137" fillId="0" borderId="138" xfId="0" applyFont="1" applyBorder="1" applyAlignment="1" applyProtection="1">
      <alignment horizontal="left" vertical="center" indent="3"/>
      <protection locked="0"/>
    </xf>
    <xf numFmtId="0" fontId="138" fillId="0" borderId="138" xfId="0" applyFont="1" applyBorder="1" applyAlignment="1" applyProtection="1">
      <alignment horizontal="left" vertical="center" indent="3"/>
      <protection locked="0"/>
    </xf>
    <xf numFmtId="0" fontId="3" fillId="0" borderId="138" xfId="0" applyFont="1" applyBorder="1"/>
    <xf numFmtId="0" fontId="0" fillId="0" borderId="0" xfId="0" applyAlignment="1">
      <alignment horizontal="center"/>
    </xf>
    <xf numFmtId="193" fontId="9" fillId="0" borderId="0" xfId="0" applyNumberFormat="1" applyFont="1" applyAlignment="1">
      <alignment horizontal="right"/>
    </xf>
    <xf numFmtId="49" fontId="106" fillId="0" borderId="138" xfId="0" applyNumberFormat="1" applyFont="1" applyBorder="1" applyAlignment="1">
      <alignment horizontal="right" vertical="center"/>
    </xf>
    <xf numFmtId="0" fontId="0" fillId="0" borderId="138" xfId="0" applyBorder="1" applyAlignment="1">
      <alignment horizontal="center" vertical="center"/>
    </xf>
    <xf numFmtId="43" fontId="4" fillId="0" borderId="98" xfId="7" applyFont="1" applyBorder="1" applyAlignment="1">
      <alignment vertical="center"/>
    </xf>
    <xf numFmtId="0" fontId="0" fillId="0" borderId="142" xfId="0" applyBorder="1" applyAlignment="1">
      <alignment horizontal="center"/>
    </xf>
    <xf numFmtId="0" fontId="131" fillId="0" borderId="142" xfId="21414" applyFont="1" applyBorder="1" applyAlignment="1">
      <alignment horizontal="left" vertical="center" wrapText="1" indent="1"/>
    </xf>
    <xf numFmtId="0" fontId="131" fillId="3" borderId="138" xfId="0" applyFont="1" applyFill="1" applyBorder="1" applyAlignment="1">
      <alignment horizontal="left" vertical="center" wrapText="1" indent="1"/>
    </xf>
    <xf numFmtId="167" fontId="23" fillId="0" borderId="138" xfId="0" applyNumberFormat="1" applyFont="1" applyBorder="1" applyAlignment="1">
      <alignment horizontal="center"/>
    </xf>
    <xf numFmtId="0" fontId="23" fillId="0" borderId="138" xfId="0" applyFont="1" applyBorder="1"/>
    <xf numFmtId="0" fontId="131" fillId="0" borderId="138" xfId="0" applyFont="1" applyBorder="1" applyAlignment="1">
      <alignment horizontal="left" vertical="center" wrapText="1" indent="1"/>
    </xf>
    <xf numFmtId="0" fontId="133" fillId="3" borderId="138" xfId="0" applyFont="1" applyFill="1" applyBorder="1" applyAlignment="1">
      <alignment horizontal="left" vertical="center" wrapText="1" indent="1"/>
    </xf>
    <xf numFmtId="0" fontId="133" fillId="0" borderId="138" xfId="0" applyFont="1" applyBorder="1" applyAlignment="1">
      <alignment horizontal="left" vertical="center" wrapText="1" indent="1"/>
    </xf>
    <xf numFmtId="167" fontId="22" fillId="0" borderId="56" xfId="0" applyNumberFormat="1" applyFont="1" applyBorder="1" applyAlignment="1">
      <alignment horizontal="center"/>
    </xf>
    <xf numFmtId="167" fontId="18" fillId="0" borderId="58" xfId="0" applyNumberFormat="1" applyFont="1" applyBorder="1" applyAlignment="1">
      <alignment horizontal="center"/>
    </xf>
    <xf numFmtId="193" fontId="23" fillId="0" borderId="12" xfId="0" applyNumberFormat="1" applyFont="1" applyBorder="1" applyAlignment="1">
      <alignment horizontal="center" vertical="center"/>
    </xf>
    <xf numFmtId="193" fontId="19" fillId="0" borderId="12" xfId="0" applyNumberFormat="1" applyFont="1" applyBorder="1" applyAlignment="1">
      <alignment horizontal="center" vertical="center"/>
    </xf>
    <xf numFmtId="193" fontId="23" fillId="0" borderId="13" xfId="0" applyNumberFormat="1" applyFont="1" applyBorder="1" applyAlignment="1">
      <alignment horizontal="center" vertical="center"/>
    </xf>
    <xf numFmtId="193" fontId="22" fillId="0" borderId="14" xfId="0" applyNumberFormat="1" applyFont="1" applyBorder="1" applyAlignment="1">
      <alignment horizontal="center" vertical="center"/>
    </xf>
    <xf numFmtId="193" fontId="23" fillId="0" borderId="138" xfId="0" applyNumberFormat="1" applyFont="1" applyBorder="1" applyAlignment="1">
      <alignment horizontal="center" vertical="center"/>
    </xf>
    <xf numFmtId="0" fontId="23" fillId="0" borderId="138" xfId="0" applyFont="1" applyBorder="1" applyAlignment="1">
      <alignment horizontal="center"/>
    </xf>
    <xf numFmtId="0" fontId="23" fillId="0" borderId="138" xfId="0" applyFont="1" applyBorder="1" applyAlignment="1">
      <alignment horizontal="center" vertical="center"/>
    </xf>
    <xf numFmtId="193" fontId="22" fillId="0" borderId="30" xfId="0" applyNumberFormat="1" applyFont="1" applyBorder="1" applyAlignment="1">
      <alignment horizontal="center" vertical="center"/>
    </xf>
    <xf numFmtId="193" fontId="104" fillId="0" borderId="12" xfId="0" applyNumberFormat="1" applyFont="1" applyBorder="1" applyAlignment="1">
      <alignment horizontal="center" vertical="center"/>
    </xf>
    <xf numFmtId="193" fontId="22" fillId="0" borderId="12" xfId="0" applyNumberFormat="1" applyFont="1" applyBorder="1" applyAlignment="1">
      <alignment horizontal="center" vertical="center"/>
    </xf>
    <xf numFmtId="193" fontId="22" fillId="0" borderId="15" xfId="0" applyNumberFormat="1" applyFont="1" applyBorder="1" applyAlignment="1">
      <alignment horizontal="center" vertical="center"/>
    </xf>
    <xf numFmtId="193" fontId="22" fillId="0" borderId="13" xfId="0" applyNumberFormat="1" applyFont="1" applyBorder="1" applyAlignment="1">
      <alignment horizontal="center" vertical="center"/>
    </xf>
    <xf numFmtId="193" fontId="22" fillId="0" borderId="138" xfId="0" applyNumberFormat="1" applyFont="1" applyBorder="1" applyAlignment="1">
      <alignment horizontal="center" vertical="center"/>
    </xf>
    <xf numFmtId="0" fontId="22" fillId="0" borderId="138" xfId="0" applyFont="1" applyBorder="1" applyAlignment="1">
      <alignment horizontal="center" vertical="center"/>
    </xf>
    <xf numFmtId="0" fontId="120" fillId="0" borderId="138" xfId="0" applyFont="1" applyBorder="1"/>
    <xf numFmtId="49" fontId="122" fillId="0" borderId="138" xfId="5" applyNumberFormat="1" applyFont="1" applyBorder="1" applyAlignment="1" applyProtection="1">
      <alignment horizontal="right" vertical="center"/>
      <protection locked="0"/>
    </xf>
    <xf numFmtId="0" fontId="121" fillId="3" borderId="138" xfId="13" applyFont="1" applyFill="1" applyBorder="1" applyAlignment="1" applyProtection="1">
      <alignment horizontal="left" vertical="center" wrapText="1"/>
      <protection locked="0"/>
    </xf>
    <xf numFmtId="49" fontId="121" fillId="3" borderId="138" xfId="5" applyNumberFormat="1" applyFont="1" applyFill="1" applyBorder="1" applyAlignment="1" applyProtection="1">
      <alignment horizontal="right" vertical="center"/>
      <protection locked="0"/>
    </xf>
    <xf numFmtId="0" fontId="121" fillId="0" borderId="138" xfId="13" applyFont="1" applyBorder="1" applyAlignment="1" applyProtection="1">
      <alignment horizontal="left" vertical="center" wrapText="1"/>
      <protection locked="0"/>
    </xf>
    <xf numFmtId="49" fontId="121" fillId="0" borderId="138" xfId="5" applyNumberFormat="1" applyFont="1" applyBorder="1" applyAlignment="1" applyProtection="1">
      <alignment horizontal="right" vertical="center"/>
      <protection locked="0"/>
    </xf>
    <xf numFmtId="0" fontId="123" fillId="0" borderId="138" xfId="13" applyFont="1" applyBorder="1" applyAlignment="1" applyProtection="1">
      <alignment horizontal="left" vertical="center" wrapText="1"/>
      <protection locked="0"/>
    </xf>
    <xf numFmtId="0" fontId="120" fillId="0" borderId="138" xfId="0" applyFont="1" applyBorder="1" applyAlignment="1">
      <alignment horizontal="center" vertical="center" wrapText="1"/>
    </xf>
    <xf numFmtId="166" fontId="116" fillId="35" borderId="146" xfId="21413" applyFont="1" applyFill="1" applyBorder="1"/>
    <xf numFmtId="0" fontId="116" fillId="0" borderId="146" xfId="0" applyFont="1" applyBorder="1"/>
    <xf numFmtId="0" fontId="116" fillId="0" borderId="146" xfId="0" applyFont="1" applyBorder="1" applyAlignment="1">
      <alignment horizontal="left" indent="8"/>
    </xf>
    <xf numFmtId="0" fontId="116" fillId="0" borderId="146" xfId="0" applyFont="1" applyBorder="1" applyAlignment="1">
      <alignment wrapText="1"/>
    </xf>
    <xf numFmtId="0" fontId="119" fillId="0" borderId="146" xfId="0" applyFont="1" applyBorder="1"/>
    <xf numFmtId="49" fontId="122" fillId="0" borderId="146" xfId="5" applyNumberFormat="1" applyFont="1" applyBorder="1" applyAlignment="1" applyProtection="1">
      <alignment horizontal="right" vertical="center" wrapText="1"/>
      <protection locked="0"/>
    </xf>
    <xf numFmtId="49" fontId="121" fillId="3" borderId="146" xfId="5" applyNumberFormat="1" applyFont="1" applyFill="1" applyBorder="1" applyAlignment="1" applyProtection="1">
      <alignment horizontal="right" vertical="center" wrapText="1"/>
      <protection locked="0"/>
    </xf>
    <xf numFmtId="49" fontId="121" fillId="0" borderId="146" xfId="5" applyNumberFormat="1" applyFont="1" applyBorder="1" applyAlignment="1" applyProtection="1">
      <alignment horizontal="right" vertical="center" wrapText="1"/>
      <protection locked="0"/>
    </xf>
    <xf numFmtId="0" fontId="116" fillId="0" borderId="146"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14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46" xfId="0" applyFont="1" applyBorder="1" applyAlignment="1">
      <alignment horizontal="left" vertical="center" wrapText="1"/>
    </xf>
    <xf numFmtId="0" fontId="119" fillId="0" borderId="146" xfId="0" applyFont="1" applyBorder="1" applyAlignment="1">
      <alignment horizontal="left" wrapText="1" indent="1"/>
    </xf>
    <xf numFmtId="0" fontId="119" fillId="0" borderId="146" xfId="0" applyFont="1" applyBorder="1" applyAlignment="1">
      <alignment horizontal="left" vertical="center" indent="1"/>
    </xf>
    <xf numFmtId="0" fontId="116" fillId="0" borderId="146" xfId="0" applyFont="1" applyBorder="1" applyAlignment="1">
      <alignment horizontal="left" wrapText="1" indent="1"/>
    </xf>
    <xf numFmtId="0" fontId="116" fillId="0" borderId="146" xfId="0" applyFont="1" applyBorder="1" applyAlignment="1">
      <alignment horizontal="left" indent="1"/>
    </xf>
    <xf numFmtId="0" fontId="116" fillId="0" borderId="146" xfId="0" applyFont="1" applyBorder="1" applyAlignment="1">
      <alignment horizontal="left" wrapText="1" indent="4"/>
    </xf>
    <xf numFmtId="0" fontId="116" fillId="0" borderId="146" xfId="0" applyFont="1" applyBorder="1" applyAlignment="1">
      <alignment horizontal="left" indent="3"/>
    </xf>
    <xf numFmtId="0" fontId="119" fillId="0" borderId="146" xfId="0" applyFont="1" applyBorder="1" applyAlignment="1">
      <alignment horizontal="left" indent="1"/>
    </xf>
    <xf numFmtId="0" fontId="120" fillId="0" borderId="146" xfId="0" applyFont="1" applyBorder="1" applyAlignment="1">
      <alignment horizontal="center" vertical="center" wrapText="1"/>
    </xf>
    <xf numFmtId="0" fontId="116" fillId="78" borderId="146" xfId="0" applyFont="1" applyFill="1" applyBorder="1"/>
    <xf numFmtId="0" fontId="119" fillId="0" borderId="7" xfId="0" applyFont="1" applyBorder="1"/>
    <xf numFmtId="0" fontId="116" fillId="0" borderId="146" xfId="0" applyFont="1" applyBorder="1" applyAlignment="1">
      <alignment horizontal="left" wrapText="1" indent="2"/>
    </xf>
    <xf numFmtId="0" fontId="116" fillId="0" borderId="146" xfId="0" applyFont="1" applyBorder="1" applyAlignment="1">
      <alignment horizontal="left" wrapText="1"/>
    </xf>
    <xf numFmtId="0" fontId="119" fillId="80" borderId="146" xfId="0" applyFont="1" applyFill="1" applyBorder="1"/>
    <xf numFmtId="0" fontId="116" fillId="0" borderId="14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3"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45"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44" xfId="0" applyFont="1" applyBorder="1" applyAlignment="1">
      <alignment horizontal="center" vertical="center" wrapText="1"/>
    </xf>
    <xf numFmtId="49" fontId="116" fillId="0" borderId="152" xfId="0" applyNumberFormat="1" applyFont="1" applyBorder="1" applyAlignment="1">
      <alignment horizontal="left" wrapText="1" indent="1"/>
    </xf>
    <xf numFmtId="0" fontId="116" fillId="0" borderId="154" xfId="0" applyFont="1" applyBorder="1" applyAlignment="1">
      <alignment horizontal="left" wrapText="1" indent="1"/>
    </xf>
    <xf numFmtId="49" fontId="116" fillId="0" borderId="155" xfId="0" applyNumberFormat="1" applyFont="1" applyBorder="1" applyAlignment="1">
      <alignment horizontal="left" wrapText="1" indent="1"/>
    </xf>
    <xf numFmtId="0" fontId="116" fillId="0" borderId="156" xfId="0" applyFont="1" applyBorder="1" applyAlignment="1">
      <alignment horizontal="left" wrapText="1" indent="1"/>
    </xf>
    <xf numFmtId="49" fontId="116" fillId="0" borderId="156" xfId="0" applyNumberFormat="1" applyFont="1" applyBorder="1" applyAlignment="1">
      <alignment horizontal="left" wrapText="1" indent="3"/>
    </xf>
    <xf numFmtId="49" fontId="116" fillId="0" borderId="155" xfId="0" applyNumberFormat="1" applyFont="1" applyBorder="1" applyAlignment="1">
      <alignment horizontal="left" wrapText="1" indent="3"/>
    </xf>
    <xf numFmtId="49" fontId="116" fillId="0" borderId="156" xfId="0" applyNumberFormat="1" applyFont="1" applyBorder="1" applyAlignment="1">
      <alignment horizontal="left" wrapText="1" indent="2"/>
    </xf>
    <xf numFmtId="49" fontId="116" fillId="0" borderId="155" xfId="0" applyNumberFormat="1" applyFont="1" applyBorder="1" applyAlignment="1">
      <alignment horizontal="left" wrapText="1" indent="2"/>
    </xf>
    <xf numFmtId="49" fontId="116" fillId="0" borderId="155" xfId="0" applyNumberFormat="1" applyFont="1" applyBorder="1" applyAlignment="1">
      <alignment horizontal="left" vertical="top" wrapText="1" indent="2"/>
    </xf>
    <xf numFmtId="49" fontId="116" fillId="0" borderId="155" xfId="0" applyNumberFormat="1" applyFont="1" applyBorder="1" applyAlignment="1">
      <alignment horizontal="left" indent="1"/>
    </xf>
    <xf numFmtId="0" fontId="116" fillId="0" borderId="156" xfId="0" applyFont="1" applyBorder="1" applyAlignment="1">
      <alignment horizontal="left" indent="1"/>
    </xf>
    <xf numFmtId="49" fontId="116" fillId="0" borderId="156" xfId="0" applyNumberFormat="1" applyFont="1" applyBorder="1" applyAlignment="1">
      <alignment horizontal="left" indent="1"/>
    </xf>
    <xf numFmtId="49" fontId="116" fillId="0" borderId="156" xfId="0" applyNumberFormat="1" applyFont="1" applyBorder="1" applyAlignment="1">
      <alignment horizontal="left" indent="3"/>
    </xf>
    <xf numFmtId="49" fontId="116" fillId="0" borderId="155" xfId="0" applyNumberFormat="1" applyFont="1" applyBorder="1" applyAlignment="1">
      <alignment horizontal="left" indent="3"/>
    </xf>
    <xf numFmtId="0" fontId="116" fillId="0" borderId="156" xfId="0" applyFont="1" applyBorder="1" applyAlignment="1">
      <alignment horizontal="left" indent="2"/>
    </xf>
    <xf numFmtId="0" fontId="116" fillId="0" borderId="155" xfId="0" applyFont="1" applyBorder="1" applyAlignment="1">
      <alignment horizontal="left" indent="2"/>
    </xf>
    <xf numFmtId="0" fontId="116" fillId="0" borderId="155" xfId="0" applyFont="1" applyBorder="1" applyAlignment="1">
      <alignment horizontal="left" indent="1"/>
    </xf>
    <xf numFmtId="0" fontId="119" fillId="0" borderId="64" xfId="0" applyFont="1" applyBorder="1"/>
    <xf numFmtId="0" fontId="116" fillId="0" borderId="69" xfId="0" applyFont="1" applyBorder="1"/>
    <xf numFmtId="0" fontId="116" fillId="0" borderId="0" xfId="0" applyFont="1" applyAlignment="1">
      <alignment horizontal="left"/>
    </xf>
    <xf numFmtId="0" fontId="119" fillId="0" borderId="146" xfId="0" applyFont="1" applyBorder="1" applyAlignment="1">
      <alignment horizontal="left" vertical="center" wrapText="1"/>
    </xf>
    <xf numFmtId="0" fontId="9" fillId="0" borderId="0" xfId="0" applyFont="1" applyAlignment="1">
      <alignment wrapText="1"/>
    </xf>
    <xf numFmtId="0" fontId="119" fillId="0" borderId="14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3" xfId="0" applyFont="1" applyBorder="1" applyAlignment="1">
      <alignment horizontal="left" vertical="center" wrapText="1" indent="1" readingOrder="1"/>
    </xf>
    <xf numFmtId="0" fontId="121" fillId="0" borderId="146" xfId="0" applyFont="1" applyBorder="1" applyAlignment="1">
      <alignment horizontal="left" indent="3"/>
    </xf>
    <xf numFmtId="0" fontId="119" fillId="0" borderId="146" xfId="0" applyFont="1" applyBorder="1" applyAlignment="1">
      <alignment vertical="center" wrapText="1" readingOrder="1"/>
    </xf>
    <xf numFmtId="0" fontId="121" fillId="0" borderId="146" xfId="0" applyFont="1" applyBorder="1" applyAlignment="1">
      <alignment horizontal="left" indent="2"/>
    </xf>
    <xf numFmtId="0" fontId="116" fillId="0" borderId="134" xfId="0" applyFont="1" applyBorder="1" applyAlignment="1">
      <alignment vertical="center" wrapText="1" readingOrder="1"/>
    </xf>
    <xf numFmtId="0" fontId="121" fillId="0" borderId="147" xfId="0" applyFont="1" applyBorder="1" applyAlignment="1">
      <alignment horizontal="left" indent="2"/>
    </xf>
    <xf numFmtId="0" fontId="116" fillId="0" borderId="133" xfId="0" applyFont="1" applyBorder="1" applyAlignment="1">
      <alignment vertical="center" wrapText="1" readingOrder="1"/>
    </xf>
    <xf numFmtId="0" fontId="116" fillId="0" borderId="132" xfId="0" applyFont="1" applyBorder="1" applyAlignment="1">
      <alignment vertical="center" wrapText="1" readingOrder="1"/>
    </xf>
    <xf numFmtId="0" fontId="139" fillId="0" borderId="7" xfId="0" applyFont="1" applyBorder="1"/>
    <xf numFmtId="0" fontId="106" fillId="0" borderId="146" xfId="0" applyFont="1" applyBorder="1" applyAlignment="1">
      <alignment vertical="center" wrapText="1"/>
    </xf>
    <xf numFmtId="0" fontId="106" fillId="0" borderId="146" xfId="0" applyFont="1" applyBorder="1" applyAlignment="1">
      <alignment horizontal="left" vertical="center" wrapText="1"/>
    </xf>
    <xf numFmtId="0" fontId="106" fillId="0" borderId="146" xfId="0" applyFont="1" applyBorder="1" applyAlignment="1">
      <alignment horizontal="left" indent="2"/>
    </xf>
    <xf numFmtId="0" fontId="106" fillId="0" borderId="146" xfId="0" applyFont="1" applyBorder="1" applyAlignment="1">
      <alignment horizontal="left" vertical="center" indent="1"/>
    </xf>
    <xf numFmtId="0" fontId="106" fillId="0" borderId="146" xfId="0" applyFont="1" applyBorder="1" applyAlignment="1">
      <alignment horizontal="left" vertical="center" wrapText="1" indent="1"/>
    </xf>
    <xf numFmtId="0" fontId="106" fillId="0" borderId="146" xfId="0" applyFont="1" applyBorder="1" applyAlignment="1">
      <alignment horizontal="right" vertical="center"/>
    </xf>
    <xf numFmtId="49" fontId="106" fillId="0" borderId="146" xfId="0" applyNumberFormat="1" applyFont="1" applyBorder="1" applyAlignment="1">
      <alignment horizontal="right" vertical="center"/>
    </xf>
    <xf numFmtId="49" fontId="106" fillId="0" borderId="146" xfId="0" applyNumberFormat="1" applyFont="1" applyBorder="1" applyAlignment="1">
      <alignment vertical="top" wrapText="1"/>
    </xf>
    <xf numFmtId="49" fontId="106" fillId="0" borderId="146" xfId="0" applyNumberFormat="1" applyFont="1" applyBorder="1" applyAlignment="1">
      <alignment horizontal="left" vertical="top" wrapText="1" indent="2"/>
    </xf>
    <xf numFmtId="49" fontId="106" fillId="0" borderId="146" xfId="0" applyNumberFormat="1" applyFont="1" applyBorder="1" applyAlignment="1">
      <alignment horizontal="left" vertical="center" wrapText="1" indent="3"/>
    </xf>
    <xf numFmtId="49" fontId="106" fillId="0" borderId="146" xfId="0" applyNumberFormat="1" applyFont="1" applyBorder="1" applyAlignment="1">
      <alignment horizontal="left" wrapText="1" indent="2"/>
    </xf>
    <xf numFmtId="49" fontId="106" fillId="0" borderId="146" xfId="0" applyNumberFormat="1" applyFont="1" applyBorder="1" applyAlignment="1">
      <alignment horizontal="left" vertical="top" wrapText="1"/>
    </xf>
    <xf numFmtId="49" fontId="106" fillId="0" borderId="146" xfId="0" applyNumberFormat="1" applyFont="1" applyBorder="1" applyAlignment="1">
      <alignment horizontal="left" wrapText="1" indent="3"/>
    </xf>
    <xf numFmtId="49" fontId="106" fillId="0" borderId="146" xfId="0" applyNumberFormat="1" applyFont="1" applyBorder="1" applyAlignment="1">
      <alignment vertical="center"/>
    </xf>
    <xf numFmtId="49" fontId="106" fillId="0" borderId="146" xfId="0" applyNumberFormat="1" applyFont="1" applyBorder="1" applyAlignment="1">
      <alignment horizontal="left" indent="3"/>
    </xf>
    <xf numFmtId="0" fontId="106" fillId="0" borderId="146" xfId="0" applyFont="1" applyBorder="1" applyAlignment="1">
      <alignment horizontal="left" indent="1"/>
    </xf>
    <xf numFmtId="0" fontId="106" fillId="0" borderId="146" xfId="0" applyFont="1" applyBorder="1" applyAlignment="1">
      <alignment horizontal="left" wrapText="1" indent="2"/>
    </xf>
    <xf numFmtId="0" fontId="106" fillId="0" borderId="146" xfId="0" applyFont="1" applyBorder="1" applyAlignment="1">
      <alignment horizontal="left" vertical="top" wrapText="1"/>
    </xf>
    <xf numFmtId="0" fontId="105" fillId="0" borderId="7" xfId="0" applyFont="1" applyBorder="1" applyAlignment="1">
      <alignment wrapText="1"/>
    </xf>
    <xf numFmtId="0" fontId="106" fillId="0" borderId="146" xfId="0" applyFont="1" applyBorder="1" applyAlignment="1">
      <alignment horizontal="left" vertical="top" wrapText="1" indent="2"/>
    </xf>
    <xf numFmtId="0" fontId="106" fillId="0" borderId="146" xfId="0" applyFont="1" applyBorder="1" applyAlignment="1">
      <alignment horizontal="left" wrapText="1"/>
    </xf>
    <xf numFmtId="0" fontId="106" fillId="0" borderId="146" xfId="12672" applyFont="1" applyBorder="1" applyAlignment="1">
      <alignment horizontal="left" vertical="center" wrapText="1" indent="2"/>
    </xf>
    <xf numFmtId="0" fontId="106" fillId="0" borderId="146" xfId="0" applyFont="1" applyBorder="1" applyAlignment="1">
      <alignment wrapText="1"/>
    </xf>
    <xf numFmtId="0" fontId="106" fillId="0" borderId="146" xfId="0" applyFont="1" applyBorder="1"/>
    <xf numFmtId="0" fontId="106" fillId="0" borderId="146" xfId="12672" applyFont="1" applyBorder="1" applyAlignment="1">
      <alignment horizontal="left" vertical="center" wrapText="1"/>
    </xf>
    <xf numFmtId="0" fontId="105" fillId="0" borderId="146" xfId="0" applyFont="1" applyBorder="1" applyAlignment="1">
      <alignment wrapText="1"/>
    </xf>
    <xf numFmtId="0" fontId="106" fillId="0" borderId="148" xfId="0" applyFont="1" applyBorder="1" applyAlignment="1">
      <alignment horizontal="left" vertical="center" wrapText="1"/>
    </xf>
    <xf numFmtId="0" fontId="106" fillId="3" borderId="146" xfId="5" applyFont="1" applyFill="1" applyBorder="1" applyAlignment="1" applyProtection="1">
      <alignment horizontal="right" vertical="center"/>
      <protection locked="0"/>
    </xf>
    <xf numFmtId="2" fontId="106" fillId="3" borderId="146" xfId="5" applyNumberFormat="1" applyFont="1" applyFill="1" applyBorder="1" applyAlignment="1" applyProtection="1">
      <alignment horizontal="right" vertical="center"/>
      <protection locked="0"/>
    </xf>
    <xf numFmtId="0" fontId="106" fillId="0" borderId="146" xfId="0" applyFont="1" applyBorder="1" applyAlignment="1">
      <alignment vertical="center"/>
    </xf>
    <xf numFmtId="0" fontId="106" fillId="0" borderId="148" xfId="13" applyFont="1" applyBorder="1" applyAlignment="1" applyProtection="1">
      <alignment horizontal="left" vertical="top" wrapText="1"/>
      <protection locked="0"/>
    </xf>
    <xf numFmtId="0" fontId="106" fillId="0" borderId="149" xfId="13" applyFont="1" applyBorder="1" applyAlignment="1" applyProtection="1">
      <alignment horizontal="left" vertical="top" wrapText="1"/>
      <protection locked="0"/>
    </xf>
    <xf numFmtId="0" fontId="106" fillId="0" borderId="147" xfId="0" applyFont="1" applyBorder="1" applyAlignment="1">
      <alignment vertical="center" wrapText="1"/>
    </xf>
    <xf numFmtId="0" fontId="125" fillId="0" borderId="0" xfId="0" applyFont="1" applyAlignment="1">
      <alignment horizontal="left" indent="2"/>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25" fillId="0" borderId="0" xfId="0" applyFont="1" applyAlignment="1">
      <alignment horizontal="left" vertical="center" wrapText="1"/>
    </xf>
    <xf numFmtId="0" fontId="116" fillId="0" borderId="0" xfId="0" applyFont="1" applyAlignment="1">
      <alignment horizontal="left" vertical="center" wrapText="1"/>
    </xf>
    <xf numFmtId="0" fontId="106" fillId="0" borderId="147" xfId="0" applyFont="1" applyBorder="1" applyAlignment="1">
      <alignment horizontal="left" indent="2"/>
    </xf>
    <xf numFmtId="0" fontId="106" fillId="0" borderId="134" xfId="0" applyFont="1" applyBorder="1" applyAlignment="1">
      <alignment horizontal="left" vertical="center" wrapText="1" readingOrder="1"/>
    </xf>
    <xf numFmtId="0" fontId="106" fillId="0" borderId="146" xfId="0" applyFont="1" applyBorder="1" applyAlignment="1">
      <alignment horizontal="left" vertical="center" wrapText="1" readingOrder="1"/>
    </xf>
    <xf numFmtId="167" fontId="19" fillId="81" borderId="57" xfId="0" applyNumberFormat="1" applyFont="1" applyFill="1" applyBorder="1" applyAlignment="1">
      <alignment horizontal="center"/>
    </xf>
    <xf numFmtId="0" fontId="11" fillId="0" borderId="98" xfId="17" applyFill="1" applyBorder="1" applyAlignment="1" applyProtection="1">
      <alignment horizontal="left" vertical="top" wrapText="1"/>
    </xf>
    <xf numFmtId="0" fontId="106" fillId="0" borderId="0" xfId="0" applyFont="1" applyAlignment="1">
      <alignment wrapText="1"/>
    </xf>
    <xf numFmtId="0" fontId="142" fillId="0" borderId="0" xfId="0" applyFont="1"/>
    <xf numFmtId="0" fontId="143" fillId="0" borderId="0" xfId="0" applyFont="1" applyAlignment="1">
      <alignment vertical="top"/>
    </xf>
    <xf numFmtId="0" fontId="143" fillId="0" borderId="0" xfId="0" applyFont="1" applyAlignment="1">
      <alignment vertical="top" wrapText="1"/>
    </xf>
    <xf numFmtId="0" fontId="150" fillId="0" borderId="0" xfId="0" applyFont="1" applyAlignment="1">
      <alignment vertical="top" wrapText="1"/>
    </xf>
    <xf numFmtId="0" fontId="7" fillId="0" borderId="0" xfId="11" applyFont="1"/>
    <xf numFmtId="0" fontId="149" fillId="0" borderId="0" xfId="11" applyFont="1"/>
    <xf numFmtId="0" fontId="144" fillId="82" borderId="146" xfId="0" applyFont="1" applyFill="1" applyBorder="1" applyAlignment="1">
      <alignment horizontal="left" vertical="center"/>
    </xf>
    <xf numFmtId="49" fontId="145" fillId="0" borderId="146" xfId="0" applyNumberFormat="1" applyFont="1" applyBorder="1" applyAlignment="1">
      <alignment horizontal="left" vertical="center"/>
    </xf>
    <xf numFmtId="0" fontId="145" fillId="0" borderId="146" xfId="0" applyFont="1" applyBorder="1" applyAlignment="1">
      <alignment horizontal="left" vertical="center"/>
    </xf>
    <xf numFmtId="0" fontId="144" fillId="0" borderId="146" xfId="0" applyFont="1" applyBorder="1" applyAlignment="1">
      <alignment horizontal="left" vertical="center"/>
    </xf>
    <xf numFmtId="0" fontId="144" fillId="83" borderId="17" xfId="0" applyFont="1" applyFill="1" applyBorder="1" applyAlignment="1">
      <alignment horizontal="center" vertical="center"/>
    </xf>
    <xf numFmtId="0" fontId="144" fillId="83" borderId="18" xfId="0" applyFont="1" applyFill="1" applyBorder="1" applyAlignment="1">
      <alignment horizontal="center" vertical="center"/>
    </xf>
    <xf numFmtId="194" fontId="144" fillId="82" borderId="155" xfId="7" applyNumberFormat="1" applyFont="1" applyFill="1" applyBorder="1" applyAlignment="1">
      <alignment horizontal="left" vertical="center"/>
    </xf>
    <xf numFmtId="194" fontId="145" fillId="0" borderId="155" xfId="7" applyNumberFormat="1" applyFont="1" applyFill="1" applyBorder="1" applyAlignment="1">
      <alignment horizontal="left" vertical="center"/>
    </xf>
    <xf numFmtId="10" fontId="7" fillId="0" borderId="155" xfId="0" applyNumberFormat="1" applyFont="1" applyBorder="1" applyAlignment="1">
      <alignment horizontal="right" vertical="center" wrapText="1"/>
    </xf>
    <xf numFmtId="0" fontId="148" fillId="84" borderId="153" xfId="0" applyFont="1" applyFill="1" applyBorder="1" applyAlignment="1">
      <alignment horizontal="left" vertical="center"/>
    </xf>
    <xf numFmtId="10" fontId="149" fillId="86" borderId="152" xfId="0" applyNumberFormat="1" applyFont="1" applyFill="1" applyBorder="1" applyAlignment="1">
      <alignment horizontal="right" vertical="center" wrapText="1"/>
    </xf>
    <xf numFmtId="0" fontId="0" fillId="0" borderId="1" xfId="0" applyBorder="1"/>
    <xf numFmtId="0" fontId="4" fillId="85" borderId="146" xfId="0" applyFont="1" applyFill="1" applyBorder="1" applyAlignment="1">
      <alignment horizontal="center" vertical="center" wrapText="1"/>
    </xf>
    <xf numFmtId="0" fontId="6" fillId="86" borderId="146" xfId="0" applyFont="1" applyFill="1" applyBorder="1" applyAlignment="1">
      <alignment vertical="center" wrapText="1"/>
    </xf>
    <xf numFmtId="194" fontId="6" fillId="86" borderId="146" xfId="7" applyNumberFormat="1" applyFont="1" applyFill="1" applyBorder="1" applyAlignment="1">
      <alignment vertical="center"/>
    </xf>
    <xf numFmtId="194" fontId="6" fillId="86" borderId="155" xfId="7" applyNumberFormat="1" applyFont="1" applyFill="1" applyBorder="1" applyAlignment="1">
      <alignment vertical="center"/>
    </xf>
    <xf numFmtId="0" fontId="145" fillId="82" borderId="146" xfId="0" applyFont="1" applyFill="1" applyBorder="1" applyAlignment="1">
      <alignment horizontal="left" vertical="center" wrapText="1" indent="3"/>
    </xf>
    <xf numFmtId="194" fontId="6" fillId="35" borderId="146" xfId="7" applyNumberFormat="1" applyFont="1" applyFill="1" applyBorder="1" applyAlignment="1">
      <alignment vertical="center"/>
    </xf>
    <xf numFmtId="0" fontId="152" fillId="82" borderId="146" xfId="0" applyFont="1" applyFill="1" applyBorder="1" applyAlignment="1">
      <alignment horizontal="left" vertical="center" wrapText="1" indent="5"/>
    </xf>
    <xf numFmtId="0" fontId="153" fillId="83" borderId="146" xfId="0" applyFont="1" applyFill="1" applyBorder="1" applyAlignment="1">
      <alignment horizontal="left" vertical="center" wrapText="1" indent="1"/>
    </xf>
    <xf numFmtId="194" fontId="153" fillId="83" borderId="146" xfId="7" applyNumberFormat="1" applyFont="1" applyFill="1" applyBorder="1" applyAlignment="1">
      <alignment vertical="center"/>
    </xf>
    <xf numFmtId="194" fontId="153" fillId="84" borderId="155" xfId="7" applyNumberFormat="1" applyFont="1" applyFill="1" applyBorder="1" applyAlignment="1">
      <alignment vertical="center"/>
    </xf>
    <xf numFmtId="194" fontId="154" fillId="82" borderId="146" xfId="7" applyNumberFormat="1" applyFont="1" applyFill="1" applyBorder="1" applyAlignment="1">
      <alignment vertical="center"/>
    </xf>
    <xf numFmtId="194" fontId="154" fillId="84" borderId="155" xfId="7" applyNumberFormat="1" applyFont="1" applyFill="1" applyBorder="1" applyAlignment="1">
      <alignment vertical="center"/>
    </xf>
    <xf numFmtId="0" fontId="152" fillId="82" borderId="153" xfId="0" applyFont="1" applyFill="1" applyBorder="1" applyAlignment="1">
      <alignment horizontal="left" vertical="center" wrapText="1" indent="5"/>
    </xf>
    <xf numFmtId="194" fontId="154" fillId="82" borderId="153" xfId="7" applyNumberFormat="1" applyFont="1" applyFill="1" applyBorder="1" applyAlignment="1">
      <alignment vertical="center"/>
    </xf>
    <xf numFmtId="194" fontId="154" fillId="84" borderId="152" xfId="7" applyNumberFormat="1" applyFont="1" applyFill="1" applyBorder="1" applyAlignment="1">
      <alignment vertical="center"/>
    </xf>
    <xf numFmtId="0" fontId="7" fillId="0" borderId="146" xfId="13" applyFont="1" applyBorder="1" applyAlignment="1" applyProtection="1">
      <alignment wrapText="1"/>
      <protection locked="0"/>
    </xf>
    <xf numFmtId="0" fontId="7" fillId="0" borderId="3" xfId="13" applyFont="1" applyBorder="1" applyAlignment="1" applyProtection="1">
      <alignment vertical="center" wrapText="1"/>
      <protection locked="0"/>
    </xf>
    <xf numFmtId="49" fontId="155" fillId="0" borderId="98" xfId="0" applyNumberFormat="1" applyFont="1" applyBorder="1" applyAlignment="1">
      <alignment horizontal="right" vertical="center"/>
    </xf>
    <xf numFmtId="0" fontId="155" fillId="0" borderId="146" xfId="12672" applyFont="1" applyBorder="1" applyAlignment="1">
      <alignment horizontal="left" vertical="center" wrapText="1"/>
    </xf>
    <xf numFmtId="0" fontId="155" fillId="0" borderId="147" xfId="0" applyFont="1" applyBorder="1" applyAlignment="1">
      <alignment horizontal="left" vertical="top" wrapText="1"/>
    </xf>
    <xf numFmtId="0" fontId="155" fillId="0" borderId="146" xfId="0" applyFont="1" applyBorder="1" applyAlignment="1">
      <alignment vertical="center" wrapText="1"/>
    </xf>
    <xf numFmtId="0" fontId="132" fillId="0" borderId="146" xfId="21414" applyFont="1" applyBorder="1" applyAlignment="1">
      <alignment horizontal="left" vertical="center" wrapText="1"/>
    </xf>
    <xf numFmtId="0" fontId="0" fillId="0" borderId="146" xfId="0" applyBorder="1"/>
    <xf numFmtId="193" fontId="9" fillId="0" borderId="146" xfId="0" applyNumberFormat="1" applyFont="1" applyBorder="1" applyAlignment="1">
      <alignment horizontal="right"/>
    </xf>
    <xf numFmtId="0" fontId="4" fillId="0" borderId="146" xfId="0" applyFont="1" applyBorder="1"/>
    <xf numFmtId="0" fontId="11" fillId="0" borderId="146" xfId="17" applyFill="1" applyBorder="1" applyAlignment="1" applyProtection="1"/>
    <xf numFmtId="0" fontId="139" fillId="3" borderId="146" xfId="5" applyFont="1" applyFill="1" applyBorder="1" applyProtection="1">
      <protection locked="0"/>
    </xf>
    <xf numFmtId="0" fontId="139" fillId="0" borderId="146" xfId="21416" applyFont="1" applyBorder="1" applyAlignment="1" applyProtection="1">
      <alignment horizontal="center" vertical="top" wrapText="1"/>
      <protection locked="0"/>
    </xf>
    <xf numFmtId="0" fontId="156" fillId="3" borderId="146" xfId="21416" applyFont="1" applyFill="1" applyBorder="1" applyAlignment="1" applyProtection="1">
      <alignment wrapText="1"/>
      <protection locked="0"/>
    </xf>
    <xf numFmtId="3" fontId="139" fillId="80" borderId="146" xfId="5" applyNumberFormat="1" applyFont="1" applyFill="1" applyBorder="1"/>
    <xf numFmtId="0" fontId="137" fillId="3" borderId="146" xfId="21416" applyFont="1" applyFill="1" applyBorder="1" applyAlignment="1" applyProtection="1">
      <alignment horizontal="right" wrapText="1"/>
      <protection locked="0"/>
    </xf>
    <xf numFmtId="3" fontId="139" fillId="0" borderId="146" xfId="5" applyNumberFormat="1" applyFont="1" applyBorder="1"/>
    <xf numFmtId="0" fontId="157" fillId="0" borderId="0" xfId="21415" applyFont="1" applyAlignment="1" applyProtection="1">
      <alignment vertical="center"/>
      <protection locked="0"/>
    </xf>
    <xf numFmtId="0" fontId="112" fillId="76" borderId="149" xfId="21412" applyFont="1" applyFill="1" applyBorder="1" applyAlignment="1" applyProtection="1">
      <alignment vertical="center" wrapText="1"/>
      <protection locked="0"/>
    </xf>
    <xf numFmtId="0" fontId="62" fillId="76" borderId="148" xfId="21412" applyFont="1" applyFill="1" applyBorder="1" applyProtection="1">
      <alignment vertical="center"/>
      <protection locked="0"/>
    </xf>
    <xf numFmtId="0" fontId="113" fillId="69" borderId="147" xfId="21412" applyFont="1" applyFill="1" applyBorder="1" applyAlignment="1" applyProtection="1">
      <alignment horizontal="center" vertical="center"/>
      <protection locked="0"/>
    </xf>
    <xf numFmtId="0" fontId="113" fillId="0" borderId="148" xfId="21412" applyFont="1" applyBorder="1" applyAlignment="1" applyProtection="1">
      <alignment horizontal="left" vertical="center" wrapText="1"/>
      <protection locked="0"/>
    </xf>
    <xf numFmtId="164" fontId="113" fillId="0" borderId="146" xfId="948" applyNumberFormat="1" applyFont="1" applyFill="1" applyBorder="1" applyAlignment="1" applyProtection="1">
      <alignment horizontal="right" vertical="center"/>
      <protection locked="0"/>
    </xf>
    <xf numFmtId="0" fontId="112"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top" wrapText="1"/>
      <protection locked="0"/>
    </xf>
    <xf numFmtId="164" fontId="113" fillId="77" borderId="146" xfId="948" applyNumberFormat="1" applyFont="1" applyFill="1" applyBorder="1" applyAlignment="1" applyProtection="1">
      <alignment horizontal="right" vertical="center"/>
    </xf>
    <xf numFmtId="0" fontId="112" fillId="76" borderId="149" xfId="21412" applyFont="1" applyFill="1" applyBorder="1" applyProtection="1">
      <alignment vertical="center"/>
      <protection locked="0"/>
    </xf>
    <xf numFmtId="164" fontId="62" fillId="76" borderId="148" xfId="948" applyNumberFormat="1" applyFont="1" applyFill="1" applyBorder="1" applyAlignment="1" applyProtection="1">
      <alignment horizontal="right" vertical="center"/>
      <protection locked="0"/>
    </xf>
    <xf numFmtId="0" fontId="114" fillId="69" borderId="147" xfId="21412" applyFont="1" applyFill="1" applyBorder="1" applyAlignment="1" applyProtection="1">
      <alignment horizontal="center" vertical="center"/>
      <protection locked="0"/>
    </xf>
    <xf numFmtId="0" fontId="113" fillId="69" borderId="146" xfId="21412" applyFont="1" applyFill="1" applyBorder="1" applyAlignment="1" applyProtection="1">
      <alignment vertical="center" wrapText="1"/>
      <protection locked="0"/>
    </xf>
    <xf numFmtId="0" fontId="113" fillId="69" borderId="146" xfId="21412" applyFont="1" applyFill="1" applyBorder="1" applyAlignment="1" applyProtection="1">
      <alignment horizontal="left" vertical="center" wrapText="1"/>
      <protection locked="0"/>
    </xf>
    <xf numFmtId="0" fontId="113" fillId="0" borderId="146" xfId="21412" applyFont="1" applyBorder="1" applyAlignment="1" applyProtection="1">
      <alignment horizontal="left" vertical="center" wrapText="1"/>
      <protection locked="0"/>
    </xf>
    <xf numFmtId="0" fontId="114" fillId="3" borderId="147" xfId="21412" applyFont="1" applyFill="1" applyBorder="1" applyAlignment="1" applyProtection="1">
      <alignment horizontal="center" vertical="center"/>
      <protection locked="0"/>
    </xf>
    <xf numFmtId="0" fontId="113" fillId="0" borderId="146" xfId="21412" applyFont="1" applyBorder="1" applyAlignment="1" applyProtection="1">
      <alignment vertical="center" wrapText="1"/>
      <protection locked="0"/>
    </xf>
    <xf numFmtId="0" fontId="115"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center" wrapText="1"/>
      <protection locked="0"/>
    </xf>
    <xf numFmtId="164" fontId="112" fillId="76" borderId="148" xfId="948" applyNumberFormat="1" applyFont="1" applyFill="1" applyBorder="1" applyAlignment="1" applyProtection="1">
      <alignment horizontal="right" vertical="center"/>
      <protection locked="0"/>
    </xf>
    <xf numFmtId="0" fontId="113" fillId="69" borderId="148" xfId="21412" applyFont="1" applyFill="1" applyBorder="1" applyAlignment="1" applyProtection="1">
      <alignment vertical="center" wrapText="1"/>
      <protection locked="0"/>
    </xf>
    <xf numFmtId="0" fontId="62" fillId="76" borderId="149" xfId="21412" applyFont="1" applyFill="1" applyBorder="1" applyProtection="1">
      <alignment vertical="center"/>
      <protection locked="0"/>
    </xf>
    <xf numFmtId="164" fontId="113" fillId="3" borderId="146" xfId="948" applyNumberFormat="1" applyFont="1" applyFill="1" applyBorder="1" applyAlignment="1" applyProtection="1">
      <alignment horizontal="right" vertical="center"/>
      <protection locked="0"/>
    </xf>
    <xf numFmtId="0" fontId="114" fillId="3" borderId="146" xfId="21412" applyFont="1" applyFill="1" applyBorder="1" applyAlignment="1" applyProtection="1">
      <alignment horizontal="center" vertical="center"/>
      <protection locked="0"/>
    </xf>
    <xf numFmtId="0" fontId="113" fillId="69" borderId="148" xfId="21412" applyFont="1" applyFill="1" applyBorder="1" applyAlignment="1" applyProtection="1">
      <alignment horizontal="left" vertical="center" wrapText="1"/>
      <protection locked="0"/>
    </xf>
    <xf numFmtId="0" fontId="156" fillId="3" borderId="0" xfId="21415" applyFont="1" applyFill="1" applyAlignment="1" applyProtection="1">
      <alignment vertical="center"/>
      <protection locked="0"/>
    </xf>
    <xf numFmtId="0" fontId="139" fillId="3" borderId="146" xfId="5" applyFont="1" applyFill="1" applyBorder="1" applyAlignment="1" applyProtection="1">
      <alignment vertical="center" wrapText="1"/>
      <protection locked="0"/>
    </xf>
    <xf numFmtId="0" fontId="139" fillId="0" borderId="146" xfId="21416" applyFont="1" applyBorder="1" applyAlignment="1" applyProtection="1">
      <alignment horizontal="center" vertical="center" wrapText="1"/>
      <protection locked="0"/>
    </xf>
    <xf numFmtId="3" fontId="139" fillId="3" borderId="146" xfId="1" applyNumberFormat="1" applyFont="1" applyFill="1" applyBorder="1" applyAlignment="1" applyProtection="1">
      <alignment horizontal="center" vertical="center" wrapText="1"/>
      <protection locked="0"/>
    </xf>
    <xf numFmtId="9" fontId="139" fillId="3" borderId="146" xfId="15" applyNumberFormat="1" applyFont="1" applyFill="1" applyBorder="1" applyAlignment="1" applyProtection="1">
      <alignment horizontal="center" vertical="center" wrapText="1"/>
      <protection locked="0"/>
    </xf>
    <xf numFmtId="0" fontId="139" fillId="3" borderId="146" xfId="21416" applyFont="1" applyFill="1" applyBorder="1" applyAlignment="1" applyProtection="1">
      <alignment horizontal="center" vertical="center" wrapText="1"/>
      <protection locked="0"/>
    </xf>
    <xf numFmtId="0" fontId="156" fillId="3" borderId="146" xfId="21416" applyFont="1" applyFill="1" applyBorder="1" applyProtection="1">
      <protection locked="0"/>
    </xf>
    <xf numFmtId="0" fontId="159" fillId="3" borderId="146" xfId="21416" applyFont="1" applyFill="1" applyBorder="1" applyAlignment="1" applyProtection="1">
      <alignment horizontal="right"/>
      <protection locked="0"/>
    </xf>
    <xf numFmtId="195" fontId="139" fillId="80" borderId="146" xfId="5" applyNumberFormat="1" applyFont="1" applyFill="1" applyBorder="1" applyProtection="1">
      <protection locked="0"/>
    </xf>
    <xf numFmtId="164" fontId="139" fillId="80" borderId="146" xfId="1" applyNumberFormat="1" applyFont="1" applyFill="1" applyBorder="1" applyAlignment="1" applyProtection="1"/>
    <xf numFmtId="0" fontId="139" fillId="3" borderId="146" xfId="21416" applyFont="1" applyFill="1" applyBorder="1" applyAlignment="1" applyProtection="1">
      <alignment horizontal="left" vertical="center"/>
      <protection locked="0"/>
    </xf>
    <xf numFmtId="3" fontId="139" fillId="3" borderId="146" xfId="5" applyNumberFormat="1" applyFont="1" applyFill="1" applyBorder="1" applyProtection="1">
      <protection locked="0"/>
    </xf>
    <xf numFmtId="0" fontId="137" fillId="3" borderId="146" xfId="21416" applyFont="1" applyFill="1" applyBorder="1" applyAlignment="1" applyProtection="1">
      <alignment horizontal="right"/>
      <protection locked="0"/>
    </xf>
    <xf numFmtId="0" fontId="139" fillId="0" borderId="146" xfId="21416" applyFont="1" applyBorder="1" applyAlignment="1" applyProtection="1">
      <alignment horizontal="left" vertical="center"/>
      <protection locked="0"/>
    </xf>
    <xf numFmtId="0" fontId="156" fillId="3" borderId="146" xfId="16" applyFont="1" applyFill="1" applyBorder="1" applyProtection="1">
      <protection locked="0"/>
    </xf>
    <xf numFmtId="3" fontId="156" fillId="76" borderId="146" xfId="16" applyNumberFormat="1" applyFont="1" applyFill="1" applyBorder="1"/>
    <xf numFmtId="0" fontId="163" fillId="0" borderId="0" xfId="0" applyFont="1" applyAlignment="1">
      <alignment horizontal="left" vertical="center" wrapText="1"/>
    </xf>
    <xf numFmtId="193" fontId="7" fillId="0" borderId="146" xfId="0" applyNumberFormat="1" applyFont="1" applyBorder="1" applyAlignment="1" applyProtection="1">
      <alignment vertical="center" wrapText="1"/>
      <protection locked="0"/>
    </xf>
    <xf numFmtId="193" fontId="4" fillId="0" borderId="146" xfId="0" applyNumberFormat="1" applyFont="1" applyBorder="1" applyAlignment="1" applyProtection="1">
      <alignment vertical="center" wrapText="1"/>
      <protection locked="0"/>
    </xf>
    <xf numFmtId="193" fontId="7" fillId="0" borderId="146" xfId="0" applyNumberFormat="1" applyFont="1" applyBorder="1" applyAlignment="1" applyProtection="1">
      <alignment horizontal="right" vertical="center" wrapText="1"/>
      <protection locked="0"/>
    </xf>
    <xf numFmtId="10" fontId="4" fillId="0" borderId="146" xfId="20961" applyNumberFormat="1" applyFont="1" applyFill="1" applyBorder="1" applyAlignment="1" applyProtection="1">
      <alignment horizontal="right" vertical="center" wrapText="1"/>
      <protection locked="0"/>
    </xf>
    <xf numFmtId="10" fontId="4" fillId="0" borderId="146" xfId="20961" applyNumberFormat="1" applyFont="1" applyBorder="1" applyAlignment="1" applyProtection="1">
      <alignment vertical="center" wrapText="1"/>
      <protection locked="0"/>
    </xf>
    <xf numFmtId="10" fontId="4" fillId="87" borderId="146" xfId="20961" applyNumberFormat="1" applyFont="1" applyFill="1" applyBorder="1" applyAlignment="1" applyProtection="1">
      <alignment horizontal="right" vertical="center" wrapText="1"/>
      <protection locked="0"/>
    </xf>
    <xf numFmtId="10" fontId="4" fillId="87" borderId="146" xfId="20961" applyNumberFormat="1" applyFont="1" applyFill="1" applyBorder="1" applyAlignment="1" applyProtection="1">
      <alignment vertical="center" wrapText="1"/>
      <protection locked="0"/>
    </xf>
    <xf numFmtId="10" fontId="9" fillId="2" borderId="146" xfId="20961" applyNumberFormat="1" applyFont="1" applyFill="1" applyBorder="1" applyAlignment="1" applyProtection="1">
      <alignment vertical="center"/>
      <protection locked="0"/>
    </xf>
    <xf numFmtId="10" fontId="17" fillId="2" borderId="146" xfId="20961" applyNumberFormat="1" applyFont="1" applyFill="1" applyBorder="1" applyAlignment="1" applyProtection="1">
      <alignment vertical="center"/>
      <protection locked="0"/>
    </xf>
    <xf numFmtId="193" fontId="9" fillId="0" borderId="146" xfId="0" applyNumberFormat="1" applyFont="1" applyBorder="1" applyAlignment="1" applyProtection="1">
      <alignment vertical="center"/>
      <protection locked="0"/>
    </xf>
    <xf numFmtId="193" fontId="9" fillId="2" borderId="146" xfId="0" applyNumberFormat="1" applyFont="1" applyFill="1" applyBorder="1" applyAlignment="1" applyProtection="1">
      <alignment vertical="center"/>
      <protection locked="0"/>
    </xf>
    <xf numFmtId="193" fontId="17" fillId="2" borderId="146" xfId="0" applyNumberFormat="1" applyFont="1" applyFill="1" applyBorder="1" applyAlignment="1" applyProtection="1">
      <alignment vertical="center"/>
      <protection locked="0"/>
    </xf>
    <xf numFmtId="10" fontId="9" fillId="0" borderId="146" xfId="20961" applyNumberFormat="1" applyFont="1" applyFill="1" applyBorder="1" applyAlignment="1" applyProtection="1">
      <alignment vertical="center"/>
      <protection locked="0"/>
    </xf>
    <xf numFmtId="193" fontId="9" fillId="2" borderId="147" xfId="0" applyNumberFormat="1" applyFont="1" applyFill="1" applyBorder="1" applyAlignment="1" applyProtection="1">
      <alignment vertical="center"/>
      <protection locked="0"/>
    </xf>
    <xf numFmtId="193" fontId="17" fillId="2" borderId="147" xfId="0" applyNumberFormat="1" applyFont="1" applyFill="1" applyBorder="1" applyAlignment="1" applyProtection="1">
      <alignment vertical="center"/>
      <protection locked="0"/>
    </xf>
    <xf numFmtId="10" fontId="9" fillId="2" borderId="153" xfId="20961" applyNumberFormat="1" applyFont="1" applyFill="1" applyBorder="1" applyAlignment="1" applyProtection="1">
      <alignment vertical="center"/>
      <protection locked="0"/>
    </xf>
    <xf numFmtId="10" fontId="17" fillId="2" borderId="153" xfId="20961" applyNumberFormat="1" applyFont="1" applyFill="1" applyBorder="1" applyAlignment="1" applyProtection="1">
      <alignment vertical="center"/>
      <protection locked="0"/>
    </xf>
    <xf numFmtId="164" fontId="0" fillId="0" borderId="146" xfId="7" applyNumberFormat="1" applyFont="1" applyBorder="1"/>
    <xf numFmtId="43" fontId="3" fillId="0" borderId="98" xfId="7" applyFont="1" applyBorder="1"/>
    <xf numFmtId="164" fontId="3" fillId="0" borderId="98" xfId="7" applyNumberFormat="1" applyFont="1" applyBorder="1"/>
    <xf numFmtId="164" fontId="0" fillId="35" borderId="98" xfId="7" applyNumberFormat="1" applyFont="1" applyFill="1" applyBorder="1"/>
    <xf numFmtId="164" fontId="0" fillId="35" borderId="98" xfId="7" applyNumberFormat="1" applyFont="1" applyFill="1" applyBorder="1" applyAlignment="1">
      <alignment vertical="center"/>
    </xf>
    <xf numFmtId="164" fontId="0" fillId="35" borderId="138" xfId="7" applyNumberFormat="1" applyFont="1" applyFill="1" applyBorder="1"/>
    <xf numFmtId="164" fontId="0" fillId="0" borderId="98" xfId="7" applyNumberFormat="1" applyFont="1" applyBorder="1"/>
    <xf numFmtId="164" fontId="0" fillId="0" borderId="138" xfId="7" applyNumberFormat="1" applyFont="1" applyBorder="1"/>
    <xf numFmtId="164" fontId="3" fillId="0" borderId="146" xfId="7" applyNumberFormat="1" applyFont="1" applyBorder="1"/>
    <xf numFmtId="164" fontId="3" fillId="0" borderId="138" xfId="7" applyNumberFormat="1" applyFont="1" applyBorder="1"/>
    <xf numFmtId="164" fontId="3" fillId="0" borderId="98" xfId="7" applyNumberFormat="1" applyFont="1" applyBorder="1" applyAlignment="1">
      <alignment vertical="center"/>
    </xf>
    <xf numFmtId="193" fontId="10" fillId="0" borderId="146" xfId="0" applyNumberFormat="1" applyFont="1" applyBorder="1" applyAlignment="1">
      <alignment horizontal="right"/>
    </xf>
    <xf numFmtId="164" fontId="9" fillId="35" borderId="112" xfId="7" applyNumberFormat="1" applyFont="1" applyFill="1" applyBorder="1" applyAlignment="1">
      <alignment horizontal="right"/>
    </xf>
    <xf numFmtId="3" fontId="21" fillId="0" borderId="146" xfId="0" applyNumberFormat="1" applyFont="1" applyBorder="1" applyAlignment="1">
      <alignment vertical="center" wrapText="1"/>
    </xf>
    <xf numFmtId="3" fontId="21" fillId="0" borderId="149" xfId="0" applyNumberFormat="1" applyFont="1" applyBorder="1" applyAlignment="1">
      <alignment vertical="center" wrapText="1"/>
    </xf>
    <xf numFmtId="0" fontId="9" fillId="0" borderId="156" xfId="0" applyFont="1" applyBorder="1" applyAlignment="1">
      <alignment vertical="center"/>
    </xf>
    <xf numFmtId="0" fontId="13" fillId="0" borderId="149" xfId="0" applyFont="1" applyBorder="1" applyAlignment="1">
      <alignment wrapText="1"/>
    </xf>
    <xf numFmtId="10" fontId="4" fillId="0" borderId="155" xfId="20961" applyNumberFormat="1" applyFont="1" applyBorder="1"/>
    <xf numFmtId="10" fontId="0" fillId="0" borderId="0" xfId="20961" applyNumberFormat="1" applyFont="1"/>
    <xf numFmtId="10" fontId="4" fillId="87" borderId="98" xfId="20961" applyNumberFormat="1" applyFont="1" applyFill="1" applyBorder="1" applyAlignment="1" applyProtection="1">
      <alignment horizontal="right" vertical="center" wrapText="1"/>
      <protection locked="0"/>
    </xf>
    <xf numFmtId="10" fontId="9" fillId="2" borderId="98" xfId="20961" applyNumberFormat="1" applyFont="1" applyFill="1" applyBorder="1" applyAlignment="1" applyProtection="1">
      <alignment vertical="center"/>
      <protection locked="0"/>
    </xf>
    <xf numFmtId="10" fontId="9" fillId="2" borderId="23" xfId="20961" applyNumberFormat="1" applyFont="1" applyFill="1" applyBorder="1" applyAlignment="1" applyProtection="1">
      <alignment vertical="center"/>
      <protection locked="0"/>
    </xf>
    <xf numFmtId="193" fontId="10" fillId="0" borderId="138" xfId="0" applyNumberFormat="1" applyFont="1" applyBorder="1" applyAlignment="1">
      <alignment horizontal="right"/>
    </xf>
    <xf numFmtId="164" fontId="9" fillId="0" borderId="138" xfId="7" applyNumberFormat="1" applyFont="1" applyBorder="1" applyAlignment="1">
      <alignment horizontal="right"/>
    </xf>
    <xf numFmtId="164" fontId="4" fillId="0" borderId="138" xfId="7" applyNumberFormat="1" applyFont="1" applyFill="1" applyBorder="1" applyAlignment="1">
      <alignment vertical="center" wrapText="1"/>
    </xf>
    <xf numFmtId="164" fontId="4" fillId="0" borderId="138" xfId="7" applyNumberFormat="1" applyFont="1" applyBorder="1" applyAlignment="1">
      <alignment vertical="center"/>
    </xf>
    <xf numFmtId="164" fontId="6" fillId="0" borderId="138" xfId="7" applyNumberFormat="1" applyFont="1" applyFill="1" applyBorder="1" applyAlignment="1">
      <alignment vertical="center" wrapText="1"/>
    </xf>
    <xf numFmtId="164" fontId="6" fillId="0" borderId="138" xfId="7" applyNumberFormat="1" applyFont="1" applyBorder="1" applyAlignment="1">
      <alignment vertical="center"/>
    </xf>
    <xf numFmtId="164" fontId="6" fillId="0" borderId="98" xfId="7" applyNumberFormat="1" applyFont="1" applyBorder="1" applyAlignment="1">
      <alignment vertical="center"/>
    </xf>
    <xf numFmtId="193" fontId="0" fillId="0" borderId="0" xfId="0" applyNumberFormat="1"/>
    <xf numFmtId="193" fontId="24" fillId="3" borderId="20" xfId="2" applyNumberFormat="1" applyFont="1" applyFill="1" applyBorder="1" applyAlignment="1" applyProtection="1">
      <alignment vertical="top" wrapText="1"/>
      <protection locked="0"/>
    </xf>
    <xf numFmtId="164" fontId="4" fillId="0" borderId="112" xfId="7" applyNumberFormat="1" applyFont="1" applyBorder="1" applyAlignment="1">
      <alignment horizontal="right" vertical="center" wrapText="1"/>
    </xf>
    <xf numFmtId="164" fontId="6" fillId="35" borderId="112" xfId="7" applyNumberFormat="1" applyFont="1" applyFill="1" applyBorder="1" applyAlignment="1">
      <alignment horizontal="right" vertical="center" wrapText="1"/>
    </xf>
    <xf numFmtId="164" fontId="109" fillId="0" borderId="112" xfId="7" applyNumberFormat="1" applyFont="1" applyBorder="1" applyAlignment="1">
      <alignment horizontal="right" vertical="center" wrapText="1"/>
    </xf>
    <xf numFmtId="164" fontId="6" fillId="35" borderId="112"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0" fontId="23" fillId="0" borderId="146" xfId="0" applyFont="1" applyBorder="1"/>
    <xf numFmtId="164" fontId="4" fillId="0" borderId="3" xfId="7" applyNumberFormat="1" applyFont="1" applyBorder="1"/>
    <xf numFmtId="164" fontId="4" fillId="35" borderId="24" xfId="7" applyNumberFormat="1" applyFont="1" applyFill="1" applyBorder="1"/>
    <xf numFmtId="193" fontId="4" fillId="0" borderId="0" xfId="0" applyNumberFormat="1" applyFont="1"/>
    <xf numFmtId="164" fontId="4" fillId="0" borderId="99" xfId="7" applyNumberFormat="1" applyFont="1" applyBorder="1" applyAlignment="1">
      <alignment vertical="center"/>
    </xf>
    <xf numFmtId="164" fontId="4" fillId="0" borderId="112" xfId="7" applyNumberFormat="1" applyFont="1" applyBorder="1" applyAlignment="1">
      <alignment vertical="center"/>
    </xf>
    <xf numFmtId="164" fontId="4" fillId="3" borderId="96" xfId="7" applyNumberFormat="1" applyFont="1" applyFill="1" applyBorder="1" applyAlignment="1">
      <alignment vertical="center"/>
    </xf>
    <xf numFmtId="164" fontId="4" fillId="3" borderId="21" xfId="7" applyNumberFormat="1" applyFont="1" applyFill="1" applyBorder="1" applyAlignment="1">
      <alignment vertical="center"/>
    </xf>
    <xf numFmtId="164" fontId="4" fillId="0" borderId="23" xfId="7" applyNumberFormat="1" applyFont="1" applyBorder="1" applyAlignment="1">
      <alignment vertical="center"/>
    </xf>
    <xf numFmtId="164" fontId="4" fillId="0" borderId="25" xfId="7" applyNumberFormat="1" applyFont="1" applyBorder="1" applyAlignment="1">
      <alignment vertical="center"/>
    </xf>
    <xf numFmtId="164" fontId="6" fillId="0" borderId="99" xfId="7" applyNumberFormat="1" applyFont="1" applyBorder="1" applyAlignment="1">
      <alignment vertical="center"/>
    </xf>
    <xf numFmtId="164" fontId="6" fillId="0" borderId="23" xfId="7" applyNumberFormat="1" applyFont="1" applyBorder="1" applyAlignment="1">
      <alignment vertical="center"/>
    </xf>
    <xf numFmtId="164" fontId="6" fillId="0" borderId="25" xfId="7" applyNumberFormat="1" applyFont="1" applyBorder="1" applyAlignment="1">
      <alignment vertical="center"/>
    </xf>
    <xf numFmtId="164" fontId="4" fillId="0" borderId="53" xfId="7" applyNumberFormat="1" applyFont="1" applyBorder="1" applyAlignment="1">
      <alignment vertical="center"/>
    </xf>
    <xf numFmtId="164" fontId="6" fillId="0" borderId="64" xfId="7" applyNumberFormat="1" applyFont="1" applyBorder="1" applyAlignment="1">
      <alignment vertical="center"/>
    </xf>
    <xf numFmtId="164" fontId="6" fillId="0" borderId="112" xfId="7" applyNumberFormat="1" applyFont="1" applyBorder="1" applyAlignment="1">
      <alignment vertical="center"/>
    </xf>
    <xf numFmtId="164" fontId="4" fillId="3" borderId="26" xfId="7" applyNumberFormat="1" applyFont="1" applyFill="1" applyBorder="1" applyAlignment="1">
      <alignment vertical="center"/>
    </xf>
    <xf numFmtId="164" fontId="6" fillId="3" borderId="26" xfId="0" applyNumberFormat="1" applyFont="1" applyFill="1" applyBorder="1" applyAlignment="1">
      <alignment vertical="center"/>
    </xf>
    <xf numFmtId="164" fontId="4" fillId="3" borderId="145" xfId="7" applyNumberFormat="1" applyFont="1" applyFill="1" applyBorder="1" applyAlignment="1">
      <alignment vertical="center"/>
    </xf>
    <xf numFmtId="10" fontId="4" fillId="3" borderId="93" xfId="20961" applyNumberFormat="1" applyFont="1" applyFill="1" applyBorder="1" applyAlignment="1">
      <alignment vertical="center"/>
    </xf>
    <xf numFmtId="164" fontId="9" fillId="0" borderId="98" xfId="7" applyNumberFormat="1" applyFont="1" applyFill="1" applyBorder="1" applyAlignment="1" applyProtection="1">
      <alignment vertical="center"/>
      <protection locked="0"/>
    </xf>
    <xf numFmtId="10" fontId="9" fillId="0" borderId="98" xfId="20961" applyNumberFormat="1" applyFont="1" applyFill="1" applyBorder="1" applyAlignment="1" applyProtection="1">
      <alignment vertical="center"/>
      <protection locked="0"/>
    </xf>
    <xf numFmtId="0" fontId="102" fillId="0" borderId="146" xfId="0" applyFont="1" applyBorder="1"/>
    <xf numFmtId="0" fontId="11" fillId="0" borderId="146" xfId="17" applyBorder="1" applyAlignment="1" applyProtection="1"/>
    <xf numFmtId="164" fontId="6" fillId="3" borderId="50" xfId="0" applyNumberFormat="1" applyFont="1" applyFill="1" applyBorder="1" applyAlignment="1">
      <alignment vertical="center"/>
    </xf>
    <xf numFmtId="164" fontId="4" fillId="3" borderId="162" xfId="7" applyNumberFormat="1" applyFont="1" applyFill="1" applyBorder="1" applyAlignment="1">
      <alignment vertical="center"/>
    </xf>
    <xf numFmtId="10" fontId="4" fillId="3" borderId="161" xfId="20961" applyNumberFormat="1" applyFont="1" applyFill="1" applyBorder="1" applyAlignment="1">
      <alignment vertical="center"/>
    </xf>
    <xf numFmtId="164" fontId="139" fillId="3" borderId="146" xfId="7" applyNumberFormat="1" applyFont="1" applyFill="1" applyBorder="1" applyProtection="1">
      <protection locked="0"/>
    </xf>
    <xf numFmtId="10" fontId="113" fillId="77" borderId="146" xfId="20961" applyNumberFormat="1" applyFont="1" applyFill="1" applyBorder="1" applyAlignment="1" applyProtection="1">
      <alignment horizontal="right" vertical="center"/>
    </xf>
    <xf numFmtId="3" fontId="139" fillId="0" borderId="0" xfId="5" applyNumberFormat="1" applyFont="1"/>
    <xf numFmtId="164" fontId="4" fillId="0" borderId="98" xfId="7" applyNumberFormat="1" applyFont="1" applyBorder="1" applyAlignment="1"/>
    <xf numFmtId="164" fontId="4" fillId="0" borderId="98" xfId="7" applyNumberFormat="1" applyFont="1" applyBorder="1" applyAlignment="1">
      <alignment horizontal="center"/>
    </xf>
    <xf numFmtId="164" fontId="6" fillId="0" borderId="98" xfId="7" applyNumberFormat="1" applyFont="1" applyBorder="1"/>
    <xf numFmtId="164" fontId="120" fillId="0" borderId="138" xfId="7" applyNumberFormat="1" applyFont="1" applyBorder="1"/>
    <xf numFmtId="164" fontId="117" fillId="0" borderId="138" xfId="7" applyNumberFormat="1" applyFont="1" applyBorder="1"/>
    <xf numFmtId="164" fontId="116" fillId="0" borderId="146" xfId="7" applyNumberFormat="1" applyFont="1" applyBorder="1"/>
    <xf numFmtId="164" fontId="119" fillId="0" borderId="146" xfId="7" applyNumberFormat="1" applyFont="1" applyBorder="1"/>
    <xf numFmtId="164" fontId="102" fillId="0" borderId="146" xfId="7" applyNumberFormat="1" applyFont="1" applyBorder="1"/>
    <xf numFmtId="164" fontId="164" fillId="0" borderId="146" xfId="7" applyNumberFormat="1" applyFont="1" applyBorder="1"/>
    <xf numFmtId="164" fontId="103" fillId="0" borderId="146" xfId="7" applyNumberFormat="1" applyFont="1" applyBorder="1"/>
    <xf numFmtId="164" fontId="165" fillId="0" borderId="146" xfId="7" applyNumberFormat="1" applyFont="1" applyBorder="1"/>
    <xf numFmtId="164" fontId="119" fillId="0" borderId="146" xfId="0" applyNumberFormat="1" applyFont="1" applyBorder="1" applyAlignment="1">
      <alignment horizontal="left" indent="1"/>
    </xf>
    <xf numFmtId="164" fontId="119" fillId="0" borderId="146" xfId="0" applyNumberFormat="1" applyFont="1" applyBorder="1"/>
    <xf numFmtId="164" fontId="116" fillId="0" borderId="146" xfId="7" applyNumberFormat="1" applyFont="1" applyBorder="1" applyAlignment="1">
      <alignment horizontal="left" indent="1"/>
    </xf>
    <xf numFmtId="164" fontId="116" fillId="0" borderId="146" xfId="7" applyNumberFormat="1" applyFont="1" applyBorder="1" applyAlignment="1">
      <alignment horizontal="center" vertical="center" wrapText="1"/>
    </xf>
    <xf numFmtId="164" fontId="116" fillId="0" borderId="146" xfId="7" applyNumberFormat="1" applyFont="1" applyBorder="1" applyAlignment="1">
      <alignment horizontal="center" vertical="center"/>
    </xf>
    <xf numFmtId="164" fontId="119" fillId="0" borderId="146" xfId="0" applyNumberFormat="1" applyFont="1" applyBorder="1" applyAlignment="1">
      <alignment horizontal="left" vertical="center" wrapText="1"/>
    </xf>
    <xf numFmtId="164" fontId="121" fillId="0" borderId="146" xfId="7" applyNumberFormat="1" applyFont="1" applyBorder="1"/>
    <xf numFmtId="164" fontId="6" fillId="0" borderId="98" xfId="7" applyNumberFormat="1" applyFont="1" applyFill="1" applyBorder="1"/>
    <xf numFmtId="164" fontId="6" fillId="0" borderId="98" xfId="7" applyNumberFormat="1" applyFont="1" applyFill="1" applyBorder="1" applyAlignment="1">
      <alignment vertical="center"/>
    </xf>
    <xf numFmtId="164" fontId="0" fillId="0" borderId="0" xfId="0" applyNumberFormat="1"/>
    <xf numFmtId="164" fontId="4" fillId="0" borderId="112" xfId="7" applyNumberFormat="1" applyFont="1" applyFill="1" applyBorder="1"/>
    <xf numFmtId="164" fontId="4" fillId="0" borderId="0" xfId="7" applyNumberFormat="1" applyFont="1" applyFill="1" applyBorder="1"/>
    <xf numFmtId="164" fontId="0" fillId="0" borderId="0" xfId="7" applyNumberFormat="1" applyFont="1"/>
    <xf numFmtId="164" fontId="119" fillId="0" borderId="69" xfId="7" applyNumberFormat="1" applyFont="1" applyBorder="1"/>
    <xf numFmtId="164" fontId="116" fillId="0" borderId="155" xfId="7" applyNumberFormat="1" applyFont="1" applyBorder="1"/>
    <xf numFmtId="164" fontId="116" fillId="0" borderId="69" xfId="7" applyNumberFormat="1" applyFont="1" applyBorder="1"/>
    <xf numFmtId="164" fontId="119" fillId="0" borderId="156" xfId="7" applyNumberFormat="1" applyFont="1" applyBorder="1" applyAlignment="1">
      <alignment horizontal="left" indent="2"/>
    </xf>
    <xf numFmtId="164" fontId="116" fillId="79" borderId="156" xfId="7" applyNumberFormat="1" applyFont="1" applyFill="1" applyBorder="1"/>
    <xf numFmtId="164" fontId="116" fillId="79" borderId="146" xfId="7" applyNumberFormat="1" applyFont="1" applyFill="1" applyBorder="1"/>
    <xf numFmtId="164" fontId="116" fillId="79" borderId="155" xfId="7" applyNumberFormat="1" applyFont="1" applyFill="1" applyBorder="1"/>
    <xf numFmtId="164" fontId="116" fillId="0" borderId="153" xfId="7" applyNumberFormat="1" applyFont="1" applyBorder="1"/>
    <xf numFmtId="164" fontId="116" fillId="0" borderId="152" xfId="7" applyNumberFormat="1" applyFont="1" applyBorder="1"/>
    <xf numFmtId="164" fontId="166" fillId="0" borderId="146" xfId="7" applyNumberFormat="1" applyFont="1" applyBorder="1"/>
    <xf numFmtId="43" fontId="121" fillId="0" borderId="146" xfId="7" applyFont="1" applyBorder="1"/>
    <xf numFmtId="43" fontId="121" fillId="0" borderId="147" xfId="7" applyFont="1" applyBorder="1"/>
    <xf numFmtId="164" fontId="121" fillId="0" borderId="147" xfId="7" applyNumberFormat="1" applyFont="1" applyBorder="1"/>
    <xf numFmtId="164" fontId="139" fillId="0" borderId="0" xfId="7" applyNumberFormat="1" applyFont="1"/>
    <xf numFmtId="10" fontId="121" fillId="0" borderId="146" xfId="20961" applyNumberFormat="1" applyFont="1" applyBorder="1"/>
    <xf numFmtId="10" fontId="4" fillId="0" borderId="155" xfId="20961" applyNumberFormat="1" applyFont="1" applyFill="1" applyBorder="1"/>
    <xf numFmtId="0" fontId="13" fillId="0" borderId="145" xfId="0" applyFont="1" applyBorder="1" applyAlignment="1">
      <alignment wrapText="1"/>
    </xf>
    <xf numFmtId="10" fontId="4" fillId="0" borderId="107" xfId="20961" applyNumberFormat="1" applyFont="1" applyFill="1" applyBorder="1"/>
    <xf numFmtId="0" fontId="13" fillId="0" borderId="25" xfId="0" applyFont="1" applyBorder="1" applyAlignment="1">
      <alignment wrapText="1"/>
    </xf>
    <xf numFmtId="10" fontId="4" fillId="0" borderId="152" xfId="20961" applyNumberFormat="1" applyFont="1" applyFill="1" applyBorder="1"/>
    <xf numFmtId="0" fontId="9" fillId="0" borderId="106" xfId="0" applyFont="1" applyBorder="1"/>
    <xf numFmtId="0" fontId="4" fillId="0" borderId="0" xfId="0" applyFont="1" applyAlignment="1">
      <alignment horizontal="center"/>
    </xf>
    <xf numFmtId="9" fontId="4" fillId="35" borderId="24" xfId="20961" applyFont="1" applyFill="1" applyBorder="1"/>
    <xf numFmtId="38" fontId="113" fillId="0" borderId="146" xfId="948" applyNumberFormat="1" applyFont="1" applyFill="1" applyBorder="1" applyAlignment="1" applyProtection="1">
      <alignment horizontal="right" vertical="center"/>
      <protection locked="0"/>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2" xfId="0" applyFont="1" applyBorder="1" applyAlignment="1">
      <alignment horizontal="center" vertical="center" wrapText="1"/>
    </xf>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141" fillId="0" borderId="159" xfId="0" applyFont="1" applyBorder="1" applyAlignment="1">
      <alignment horizontal="center" vertical="center"/>
    </xf>
    <xf numFmtId="0" fontId="141" fillId="0" borderId="29" xfId="0" applyFont="1" applyBorder="1" applyAlignment="1">
      <alignment horizontal="center" vertical="center"/>
    </xf>
    <xf numFmtId="0" fontId="141" fillId="0" borderId="160" xfId="0" applyFont="1" applyBorder="1" applyAlignment="1">
      <alignment horizontal="center" vertical="center"/>
    </xf>
    <xf numFmtId="0" fontId="0" fillId="0" borderId="99" xfId="0" applyBorder="1" applyAlignment="1">
      <alignment horizontal="center"/>
    </xf>
    <xf numFmtId="0" fontId="0" fillId="0" borderId="96" xfId="0" applyBorder="1" applyAlignment="1">
      <alignment horizontal="center"/>
    </xf>
    <xf numFmtId="0" fontId="0" fillId="0" borderId="97" xfId="0" applyBorder="1" applyAlignment="1">
      <alignment horizontal="center"/>
    </xf>
    <xf numFmtId="0" fontId="0" fillId="0" borderId="139" xfId="0" applyBorder="1" applyAlignment="1">
      <alignment horizontal="center"/>
    </xf>
    <xf numFmtId="0" fontId="0" fillId="0" borderId="140" xfId="0" applyBorder="1" applyAlignment="1">
      <alignment horizontal="center"/>
    </xf>
    <xf numFmtId="0" fontId="0" fillId="0" borderId="141" xfId="0" applyBorder="1" applyAlignment="1">
      <alignment horizontal="center"/>
    </xf>
    <xf numFmtId="0" fontId="0" fillId="0" borderId="138" xfId="0" applyBorder="1" applyAlignment="1">
      <alignment horizontal="center" vertical="center"/>
    </xf>
    <xf numFmtId="0" fontId="128" fillId="0" borderId="94" xfId="0" applyFont="1" applyBorder="1" applyAlignment="1">
      <alignment horizontal="center" vertical="center"/>
    </xf>
    <xf numFmtId="0" fontId="128" fillId="0" borderId="7"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28" fillId="0" borderId="14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28" xfId="0" applyBorder="1" applyAlignment="1">
      <alignment horizontal="center" vertical="center"/>
    </xf>
    <xf numFmtId="0" fontId="0" fillId="0" borderId="11" xfId="0" applyBorder="1" applyAlignment="1">
      <alignment horizontal="center" vertical="center"/>
    </xf>
    <xf numFmtId="0" fontId="0" fillId="0" borderId="138" xfId="0" applyBorder="1" applyAlignment="1">
      <alignment horizontal="center" vertical="center" wrapText="1"/>
    </xf>
    <xf numFmtId="0" fontId="10" fillId="0" borderId="17" xfId="0" applyFont="1" applyBorder="1" applyAlignment="1">
      <alignment horizontal="center"/>
    </xf>
    <xf numFmtId="0" fontId="10" fillId="0" borderId="18" xfId="0" applyFont="1" applyBorder="1" applyAlignment="1">
      <alignment horizontal="center"/>
    </xf>
    <xf numFmtId="0" fontId="13" fillId="0" borderId="3" xfId="0" applyFont="1" applyBorder="1" applyAlignment="1">
      <alignment wrapText="1"/>
    </xf>
    <xf numFmtId="0" fontId="4" fillId="0" borderId="20" xfId="0" applyFont="1" applyBorder="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99" xfId="0" applyFont="1" applyBorder="1" applyAlignment="1">
      <alignment horizontal="center"/>
    </xf>
    <xf numFmtId="0" fontId="4" fillId="0" borderId="21" xfId="0" applyFont="1" applyBorder="1" applyAlignment="1">
      <alignment horizontal="center"/>
    </xf>
    <xf numFmtId="0" fontId="6" fillId="35" borderId="116"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3" xfId="0" applyFont="1" applyFill="1" applyBorder="1" applyAlignment="1">
      <alignment horizontal="center" vertical="center" wrapText="1"/>
    </xf>
    <xf numFmtId="0" fontId="6" fillId="35" borderId="97"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46" xfId="0" applyFont="1" applyFill="1" applyBorder="1" applyAlignment="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lignment horizontal="center" vertical="center" wrapText="1"/>
    </xf>
    <xf numFmtId="0" fontId="6" fillId="86" borderId="155" xfId="0" applyFont="1" applyFill="1" applyBorder="1" applyAlignment="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4" fontId="15" fillId="0" borderId="90" xfId="1" applyNumberFormat="1" applyFont="1" applyFill="1" applyBorder="1" applyAlignment="1" applyProtection="1">
      <alignment horizontal="center" vertical="center" wrapText="1"/>
      <protection locked="0"/>
    </xf>
    <xf numFmtId="164" fontId="15" fillId="0" borderId="91"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05" xfId="0" applyFont="1" applyBorder="1" applyAlignment="1">
      <alignment horizontal="center" vertical="center" wrapText="1"/>
    </xf>
    <xf numFmtId="0" fontId="14" fillId="0" borderId="54" xfId="0" applyFont="1" applyBorder="1" applyAlignment="1">
      <alignment horizontal="left" vertical="center"/>
    </xf>
    <xf numFmtId="0" fontId="14" fillId="0" borderId="55" xfId="0" applyFont="1" applyBorder="1" applyAlignment="1">
      <alignment horizontal="left" vertical="center"/>
    </xf>
    <xf numFmtId="0" fontId="119" fillId="0" borderId="119" xfId="0" applyFont="1" applyBorder="1" applyAlignment="1">
      <alignment horizontal="left" vertical="center" wrapText="1"/>
    </xf>
    <xf numFmtId="0" fontId="119" fillId="0" borderId="120" xfId="0" applyFont="1" applyBorder="1" applyAlignment="1">
      <alignment horizontal="left" vertical="center" wrapText="1"/>
    </xf>
    <xf numFmtId="0" fontId="119" fillId="0" borderId="122" xfId="0" applyFont="1" applyBorder="1" applyAlignment="1">
      <alignment horizontal="left" vertical="center" wrapText="1"/>
    </xf>
    <xf numFmtId="0" fontId="119" fillId="0" borderId="123" xfId="0" applyFont="1" applyBorder="1" applyAlignment="1">
      <alignment horizontal="left" vertical="center" wrapText="1"/>
    </xf>
    <xf numFmtId="0" fontId="119" fillId="0" borderId="125" xfId="0" applyFont="1" applyBorder="1" applyAlignment="1">
      <alignment horizontal="left" vertical="center" wrapText="1"/>
    </xf>
    <xf numFmtId="0" fontId="119" fillId="0" borderId="126" xfId="0" applyFont="1" applyBorder="1" applyAlignment="1">
      <alignment horizontal="left" vertical="center" wrapText="1"/>
    </xf>
    <xf numFmtId="0" fontId="120" fillId="0" borderId="145" xfId="0" applyFont="1" applyBorder="1" applyAlignment="1">
      <alignment horizontal="center" vertical="center" wrapText="1"/>
    </xf>
    <xf numFmtId="0" fontId="120" fillId="0" borderId="144" xfId="0" applyFont="1" applyBorder="1" applyAlignment="1">
      <alignment horizontal="center" vertical="center" wrapText="1"/>
    </xf>
    <xf numFmtId="0" fontId="120" fillId="0" borderId="121" xfId="0" applyFont="1" applyBorder="1" applyAlignment="1">
      <alignment horizontal="center" vertical="center" wrapText="1"/>
    </xf>
    <xf numFmtId="0" fontId="120" fillId="0" borderId="53"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6" xfId="0" applyFont="1" applyBorder="1" applyAlignment="1">
      <alignment horizontal="center" vertical="center" wrapText="1"/>
    </xf>
    <xf numFmtId="0" fontId="116" fillId="0" borderId="149" xfId="0" applyFont="1" applyBorder="1" applyAlignment="1">
      <alignment horizontal="center" vertical="center" wrapText="1"/>
    </xf>
    <xf numFmtId="0" fontId="116" fillId="0" borderId="148" xfId="0" applyFont="1" applyBorder="1" applyAlignment="1">
      <alignment horizontal="center" vertical="center" wrapText="1"/>
    </xf>
    <xf numFmtId="0" fontId="124" fillId="0" borderId="146" xfId="0" applyFont="1" applyBorder="1" applyAlignment="1">
      <alignment horizontal="center" vertical="center"/>
    </xf>
    <xf numFmtId="0" fontId="118" fillId="0" borderId="145" xfId="0" applyFont="1" applyBorder="1" applyAlignment="1">
      <alignment horizontal="center" vertical="center"/>
    </xf>
    <xf numFmtId="0" fontId="118" fillId="0" borderId="150" xfId="0" applyFont="1" applyBorder="1" applyAlignment="1">
      <alignment horizontal="center" vertical="center"/>
    </xf>
    <xf numFmtId="0" fontId="118" fillId="0" borderId="53" xfId="0" applyFont="1" applyBorder="1" applyAlignment="1">
      <alignment horizontal="center" vertical="center"/>
    </xf>
    <xf numFmtId="0" fontId="118" fillId="0" borderId="11" xfId="0" applyFont="1" applyBorder="1" applyAlignment="1">
      <alignment horizontal="center" vertical="center"/>
    </xf>
    <xf numFmtId="0" fontId="119" fillId="0" borderId="146" xfId="0" applyFont="1" applyBorder="1" applyAlignment="1">
      <alignment horizontal="center" vertical="center" wrapText="1"/>
    </xf>
    <xf numFmtId="0" fontId="119" fillId="0" borderId="145" xfId="0" applyFont="1" applyBorder="1" applyAlignment="1">
      <alignment horizontal="center" vertical="center" wrapText="1"/>
    </xf>
    <xf numFmtId="0" fontId="119" fillId="0" borderId="150" xfId="0" applyFont="1" applyBorder="1" applyAlignment="1">
      <alignment horizontal="center" vertical="center" wrapText="1"/>
    </xf>
    <xf numFmtId="0" fontId="119" fillId="0" borderId="127" xfId="0" applyFont="1" applyBorder="1" applyAlignment="1">
      <alignment horizontal="center" vertical="center" wrapText="1"/>
    </xf>
    <xf numFmtId="0" fontId="119" fillId="0" borderId="128" xfId="0" applyFont="1" applyBorder="1" applyAlignment="1">
      <alignment horizontal="center" vertical="center" wrapText="1"/>
    </xf>
    <xf numFmtId="0" fontId="119" fillId="0" borderId="53"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51" xfId="0" applyFont="1" applyBorder="1" applyAlignment="1">
      <alignment horizontal="center" vertical="center" wrapText="1"/>
    </xf>
    <xf numFmtId="0" fontId="119" fillId="0" borderId="12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45" xfId="0" applyFont="1" applyBorder="1" applyAlignment="1">
      <alignment horizontal="center" vertical="center" wrapText="1"/>
    </xf>
    <xf numFmtId="0" fontId="116" fillId="0" borderId="144" xfId="0" applyFont="1" applyBorder="1" applyAlignment="1">
      <alignment horizontal="center" vertical="center" wrapText="1"/>
    </xf>
    <xf numFmtId="0" fontId="116" fillId="0" borderId="15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55" xfId="0" applyFont="1" applyBorder="1" applyAlignment="1">
      <alignment horizontal="center" vertical="center" wrapText="1"/>
    </xf>
    <xf numFmtId="0" fontId="116" fillId="0" borderId="54" xfId="0" applyFont="1" applyBorder="1" applyAlignment="1">
      <alignment horizontal="center" vertical="center" wrapText="1"/>
    </xf>
    <xf numFmtId="0" fontId="116" fillId="0" borderId="55" xfId="0" applyFont="1" applyBorder="1" applyAlignment="1">
      <alignment horizontal="center" vertical="center" wrapText="1"/>
    </xf>
    <xf numFmtId="0" fontId="116" fillId="0" borderId="105" xfId="0" applyFont="1" applyBorder="1" applyAlignment="1">
      <alignment horizontal="center" vertical="center" wrapText="1"/>
    </xf>
    <xf numFmtId="0" fontId="119" fillId="0" borderId="54" xfId="0" applyFont="1" applyBorder="1" applyAlignment="1">
      <alignment horizontal="left" vertical="top" wrapText="1"/>
    </xf>
    <xf numFmtId="0" fontId="119" fillId="0" borderId="105" xfId="0" applyFont="1" applyBorder="1" applyAlignment="1">
      <alignment horizontal="left" vertical="top" wrapText="1"/>
    </xf>
    <xf numFmtId="0" fontId="119" fillId="0" borderId="63" xfId="0" applyFont="1" applyBorder="1" applyAlignment="1">
      <alignment horizontal="left" vertical="top" wrapText="1"/>
    </xf>
    <xf numFmtId="0" fontId="119" fillId="0" borderId="92" xfId="0" applyFont="1" applyBorder="1" applyAlignment="1">
      <alignment horizontal="left" vertical="top" wrapText="1"/>
    </xf>
    <xf numFmtId="0" fontId="119" fillId="0" borderId="118" xfId="0" applyFont="1" applyBorder="1" applyAlignment="1">
      <alignment horizontal="left" vertical="top" wrapText="1"/>
    </xf>
    <xf numFmtId="0" fontId="119" fillId="0" borderId="157" xfId="0" applyFont="1" applyBorder="1" applyAlignment="1">
      <alignment horizontal="left" vertical="top" wrapText="1"/>
    </xf>
    <xf numFmtId="0" fontId="119" fillId="0" borderId="158" xfId="0" applyFont="1" applyBorder="1" applyAlignment="1">
      <alignment horizontal="center" vertical="center" wrapText="1"/>
    </xf>
    <xf numFmtId="0" fontId="119" fillId="0" borderId="69" xfId="0" applyFont="1" applyBorder="1" applyAlignment="1">
      <alignment horizontal="center" vertical="center" wrapText="1"/>
    </xf>
    <xf numFmtId="0" fontId="116" fillId="0" borderId="145" xfId="0" applyFont="1" applyBorder="1" applyAlignment="1">
      <alignment horizontal="center" vertical="top" wrapText="1"/>
    </xf>
    <xf numFmtId="0" fontId="116" fillId="0" borderId="144" xfId="0" applyFont="1" applyBorder="1" applyAlignment="1">
      <alignment horizontal="center" vertical="top" wrapText="1"/>
    </xf>
    <xf numFmtId="0" fontId="116" fillId="0" borderId="151" xfId="0" applyFont="1" applyBorder="1" applyAlignment="1">
      <alignment horizontal="center" vertical="top" wrapText="1"/>
    </xf>
    <xf numFmtId="0" fontId="116" fillId="0" borderId="148" xfId="0" applyFont="1" applyBorder="1" applyAlignment="1">
      <alignment horizontal="center" vertical="top" wrapText="1"/>
    </xf>
    <xf numFmtId="0" fontId="105" fillId="0" borderId="130" xfId="0" applyFont="1" applyBorder="1" applyAlignment="1">
      <alignment horizontal="left" vertical="top" wrapText="1"/>
    </xf>
    <xf numFmtId="0" fontId="105" fillId="0" borderId="131" xfId="0" applyFont="1" applyBorder="1" applyAlignment="1">
      <alignment horizontal="left" vertical="top" wrapText="1"/>
    </xf>
    <xf numFmtId="0" fontId="122" fillId="0" borderId="146" xfId="0" applyFont="1" applyBorder="1" applyAlignment="1">
      <alignment horizontal="center" vertical="center"/>
    </xf>
    <xf numFmtId="0" fontId="121" fillId="0" borderId="146" xfId="0" applyFont="1" applyBorder="1" applyAlignment="1">
      <alignment horizontal="center" vertical="center" wrapText="1"/>
    </xf>
    <xf numFmtId="0" fontId="121" fillId="0" borderId="147" xfId="0" applyFont="1" applyBorder="1" applyAlignment="1">
      <alignment horizontal="center" vertical="center" wrapText="1"/>
    </xf>
    <xf numFmtId="0" fontId="105" fillId="0" borderId="70" xfId="0" applyFont="1" applyBorder="1" applyAlignment="1">
      <alignment horizontal="center" vertical="center"/>
    </xf>
    <xf numFmtId="0" fontId="105" fillId="0" borderId="71" xfId="0" applyFont="1" applyBorder="1" applyAlignment="1">
      <alignment horizontal="center" vertical="center"/>
    </xf>
    <xf numFmtId="0" fontId="105" fillId="0" borderId="72" xfId="0" applyFont="1" applyBorder="1" applyAlignment="1">
      <alignment horizontal="center" vertical="center"/>
    </xf>
    <xf numFmtId="0" fontId="106" fillId="0" borderId="98" xfId="0" applyFont="1" applyBorder="1" applyAlignment="1">
      <alignment horizontal="left"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5" fillId="75" borderId="75" xfId="0" applyFont="1" applyFill="1" applyBorder="1" applyAlignment="1">
      <alignment horizontal="center" vertical="center" wrapText="1"/>
    </xf>
    <xf numFmtId="0" fontId="106" fillId="0" borderId="53"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99" xfId="0" applyFont="1" applyBorder="1" applyAlignment="1">
      <alignment horizontal="left" vertical="center" wrapText="1"/>
    </xf>
    <xf numFmtId="0" fontId="106" fillId="0" borderId="97" xfId="0" applyFont="1" applyBorder="1" applyAlignment="1">
      <alignment horizontal="left" vertical="center" wrapText="1"/>
    </xf>
    <xf numFmtId="0" fontId="155" fillId="3" borderId="99" xfId="0" applyFont="1" applyFill="1" applyBorder="1" applyAlignment="1">
      <alignment vertical="center" wrapText="1"/>
    </xf>
    <xf numFmtId="0" fontId="155" fillId="3" borderId="97" xfId="0" applyFont="1" applyFill="1" applyBorder="1" applyAlignment="1">
      <alignment vertical="center" wrapText="1"/>
    </xf>
    <xf numFmtId="0" fontId="106" fillId="3" borderId="99" xfId="0" applyFont="1" applyFill="1" applyBorder="1" applyAlignment="1">
      <alignment vertical="center" wrapText="1"/>
    </xf>
    <xf numFmtId="0" fontId="106" fillId="3" borderId="97" xfId="0" applyFont="1" applyFill="1" applyBorder="1" applyAlignment="1">
      <alignment vertical="center" wrapText="1"/>
    </xf>
    <xf numFmtId="0" fontId="106" fillId="0" borderId="99" xfId="0" applyFont="1" applyBorder="1" applyAlignment="1">
      <alignment horizontal="left"/>
    </xf>
    <xf numFmtId="0" fontId="106" fillId="0" borderId="97" xfId="0" applyFont="1" applyBorder="1" applyAlignment="1">
      <alignment horizontal="left"/>
    </xf>
    <xf numFmtId="0" fontId="106" fillId="0" borderId="99" xfId="0" applyFont="1" applyBorder="1" applyAlignment="1">
      <alignment vertical="center" wrapText="1"/>
    </xf>
    <xf numFmtId="0" fontId="106" fillId="0" borderId="97" xfId="0" applyFont="1" applyBorder="1" applyAlignment="1">
      <alignment vertical="center" wrapText="1"/>
    </xf>
    <xf numFmtId="0" fontId="106" fillId="0" borderId="139" xfId="0" applyFont="1" applyBorder="1" applyAlignment="1">
      <alignment horizontal="left" vertical="center" wrapText="1"/>
    </xf>
    <xf numFmtId="0" fontId="106" fillId="0" borderId="140" xfId="0" applyFont="1" applyBorder="1" applyAlignment="1">
      <alignment horizontal="left" vertical="center" wrapText="1"/>
    </xf>
    <xf numFmtId="0" fontId="106" fillId="0" borderId="141" xfId="0" applyFont="1" applyBorder="1" applyAlignment="1">
      <alignment horizontal="left" vertical="center" wrapText="1"/>
    </xf>
    <xf numFmtId="0" fontId="106" fillId="3" borderId="77" xfId="0" applyFont="1" applyFill="1" applyBorder="1" applyAlignment="1">
      <alignment horizontal="left" vertical="center" wrapText="1"/>
    </xf>
    <xf numFmtId="0" fontId="106" fillId="3" borderId="78" xfId="0" applyFont="1" applyFill="1" applyBorder="1" applyAlignment="1">
      <alignment horizontal="left" vertical="center" wrapText="1"/>
    </xf>
    <xf numFmtId="0" fontId="106" fillId="0" borderId="80" xfId="0" applyFont="1" applyBorder="1" applyAlignment="1">
      <alignment horizontal="left" vertical="center" wrapText="1"/>
    </xf>
    <xf numFmtId="0" fontId="106" fillId="0" borderId="81" xfId="0" applyFont="1" applyBorder="1" applyAlignment="1">
      <alignment horizontal="left" vertical="center" wrapText="1"/>
    </xf>
    <xf numFmtId="0" fontId="106" fillId="0" borderId="53" xfId="0" applyFont="1" applyBorder="1" applyAlignment="1">
      <alignment vertical="center" wrapText="1"/>
    </xf>
    <xf numFmtId="0" fontId="106" fillId="0" borderId="11" xfId="0" applyFont="1" applyBorder="1" applyAlignment="1">
      <alignment vertical="center" wrapText="1"/>
    </xf>
    <xf numFmtId="0" fontId="106" fillId="0" borderId="77" xfId="0" applyFont="1" applyBorder="1" applyAlignment="1">
      <alignment horizontal="left" vertical="center" wrapText="1"/>
    </xf>
    <xf numFmtId="0" fontId="106" fillId="0" borderId="78" xfId="0" applyFont="1" applyBorder="1" applyAlignment="1">
      <alignment horizontal="left" vertical="center" wrapText="1"/>
    </xf>
    <xf numFmtId="0" fontId="155" fillId="3" borderId="99" xfId="0" applyFont="1" applyFill="1" applyBorder="1" applyAlignment="1">
      <alignment horizontal="left" vertical="center" wrapText="1"/>
    </xf>
    <xf numFmtId="0" fontId="155" fillId="3" borderId="97" xfId="0" applyFont="1" applyFill="1" applyBorder="1" applyAlignment="1">
      <alignment horizontal="left" vertical="center" wrapText="1"/>
    </xf>
    <xf numFmtId="0" fontId="106" fillId="3" borderId="99" xfId="0" applyFont="1" applyFill="1" applyBorder="1" applyAlignment="1">
      <alignment horizontal="left" vertical="center" wrapText="1"/>
    </xf>
    <xf numFmtId="0" fontId="106" fillId="3" borderId="97" xfId="0" applyFont="1" applyFill="1" applyBorder="1" applyAlignment="1">
      <alignment horizontal="left" vertical="center" wrapText="1"/>
    </xf>
    <xf numFmtId="0" fontId="106" fillId="0" borderId="149" xfId="0" applyFont="1" applyBorder="1" applyAlignment="1">
      <alignment horizontal="left" vertical="center" wrapText="1"/>
    </xf>
    <xf numFmtId="0" fontId="106" fillId="0" borderId="148" xfId="0" applyFont="1" applyBorder="1" applyAlignment="1">
      <alignment horizontal="left" vertical="center" wrapText="1"/>
    </xf>
    <xf numFmtId="0" fontId="105" fillId="75" borderId="82" xfId="0" applyFont="1" applyFill="1" applyBorder="1" applyAlignment="1">
      <alignment horizontal="center" vertical="center" wrapText="1"/>
    </xf>
    <xf numFmtId="0" fontId="105" fillId="75" borderId="0" xfId="0" applyFont="1" applyFill="1" applyAlignment="1">
      <alignment horizontal="center" vertical="center" wrapText="1"/>
    </xf>
    <xf numFmtId="0" fontId="105" fillId="75" borderId="83" xfId="0" applyFont="1" applyFill="1" applyBorder="1" applyAlignment="1">
      <alignment horizontal="center" vertical="center" wrapText="1"/>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89" xfId="0" applyFont="1" applyFill="1" applyBorder="1" applyAlignment="1">
      <alignment horizontal="center" vertical="center"/>
    </xf>
    <xf numFmtId="0" fontId="105" fillId="75" borderId="146" xfId="0" applyFont="1" applyFill="1" applyBorder="1" applyAlignment="1">
      <alignment horizontal="center" vertical="center" wrapText="1"/>
    </xf>
    <xf numFmtId="0" fontId="105" fillId="0" borderId="146" xfId="0" applyFont="1" applyBorder="1" applyAlignment="1">
      <alignment horizontal="center" vertical="center"/>
    </xf>
    <xf numFmtId="0" fontId="106" fillId="0" borderId="149" xfId="13" applyFont="1" applyBorder="1" applyAlignment="1" applyProtection="1">
      <alignment horizontal="left" vertical="top" wrapText="1"/>
      <protection locked="0"/>
    </xf>
    <xf numFmtId="0" fontId="106" fillId="0" borderId="148" xfId="13" applyFont="1" applyBorder="1" applyAlignment="1" applyProtection="1">
      <alignment horizontal="left" vertical="top" wrapText="1"/>
      <protection locked="0"/>
    </xf>
    <xf numFmtId="0" fontId="106" fillId="3" borderId="149" xfId="13" applyFont="1" applyFill="1" applyBorder="1" applyAlignment="1" applyProtection="1">
      <alignment horizontal="left" vertical="top" wrapText="1"/>
      <protection locked="0"/>
    </xf>
    <xf numFmtId="0" fontId="106" fillId="3" borderId="148" xfId="13" applyFont="1" applyFill="1" applyBorder="1" applyAlignment="1" applyProtection="1">
      <alignment horizontal="left" vertical="top" wrapText="1"/>
      <protection locked="0"/>
    </xf>
    <xf numFmtId="0" fontId="105" fillId="0" borderId="85" xfId="0" applyFont="1" applyBorder="1" applyAlignment="1">
      <alignment horizontal="center" vertical="center"/>
    </xf>
    <xf numFmtId="49" fontId="106" fillId="0" borderId="0" xfId="0" applyNumberFormat="1" applyFont="1" applyAlignment="1">
      <alignment horizontal="center" vertical="center"/>
    </xf>
    <xf numFmtId="0" fontId="105" fillId="75" borderId="149" xfId="0" applyFont="1" applyFill="1" applyBorder="1" applyAlignment="1">
      <alignment horizontal="center" vertical="center" wrapText="1"/>
    </xf>
    <xf numFmtId="0" fontId="105" fillId="75" borderId="148" xfId="0" applyFont="1" applyFill="1" applyBorder="1" applyAlignment="1">
      <alignment horizontal="center" vertical="center" wrapText="1"/>
    </xf>
    <xf numFmtId="0" fontId="106" fillId="0" borderId="146" xfId="0" applyFont="1" applyBorder="1" applyAlignment="1">
      <alignment horizontal="left" vertical="top" wrapText="1"/>
    </xf>
    <xf numFmtId="0" fontId="106" fillId="0" borderId="149" xfId="0" applyFont="1" applyBorder="1" applyAlignment="1">
      <alignment horizontal="left" vertical="top" wrapText="1"/>
    </xf>
    <xf numFmtId="0" fontId="106" fillId="0" borderId="146" xfId="0" applyFont="1" applyBorder="1" applyAlignment="1">
      <alignment horizontal="left" vertical="center" wrapText="1"/>
    </xf>
    <xf numFmtId="0" fontId="106" fillId="0" borderId="146" xfId="0" applyFont="1" applyBorder="1" applyAlignment="1">
      <alignment horizontal="center"/>
    </xf>
    <xf numFmtId="0" fontId="155" fillId="0" borderId="149" xfId="13" applyFont="1" applyBorder="1" applyAlignment="1" applyProtection="1">
      <alignment horizontal="left" vertical="top" wrapText="1"/>
      <protection locked="0"/>
    </xf>
    <xf numFmtId="0" fontId="155" fillId="0" borderId="148" xfId="13" applyFont="1" applyBorder="1" applyAlignment="1" applyProtection="1">
      <alignment horizontal="left" vertical="top" wrapText="1"/>
      <protection locked="0"/>
    </xf>
    <xf numFmtId="0" fontId="106" fillId="0" borderId="148" xfId="0" applyFont="1" applyBorder="1" applyAlignment="1">
      <alignment horizontal="left" vertical="top" wrapText="1"/>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PG1_I-BBB-QQ-YYYYMMDD-From2025-Q1%20&#4315;&#4312;&#4313;&#4320;&#4317;&#4305;&#4304;&#4316;&#4313;&#4308;&#4305;&#4312;%20-%20&#4313;&#4309;&#4304;&#4320;&#4322;&#4304;&#4314;&#4323;&#4320;&#4312;%20&#4318;&#4312;&#4314;&#4304;&#4320;%203%20(&#4325;&#4304;&#4320;&#4311;&#4323;&#4314;&#4308;&#4316;&#4317;&#4309;&#4304;&#4316;&#4312;).xlsx?9B77AD04" TargetMode="External"/><Relationship Id="rId1" Type="http://schemas.openxmlformats.org/officeDocument/2006/relationships/externalLinkPath" Target="file:///\\9B77AD04\PG1_I-BBB-QQ-YYYYMMDD-From2025-Q1%20&#4315;&#4312;&#4313;&#4320;&#4317;&#4305;&#4304;&#4316;&#4313;&#4308;&#4305;&#4312;%20-%20&#4313;&#4309;&#4304;&#4320;&#4322;&#4304;&#4314;&#4323;&#4320;&#4312;%20&#4318;&#4312;&#4314;&#4304;&#4320;%203%20(&#4325;&#4304;&#4320;&#4311;&#4323;&#4314;&#4308;&#4316;&#4317;&#4309;&#4304;&#4316;&#4312;).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Copy%20of%20PG1_I-BBB-QQ-YYYYMMDD-From2025-Q1%20&#4315;&#4312;&#4313;&#4320;&#4317;&#4305;&#4304;&#4316;&#4313;&#4308;&#4305;&#4312;%20-%20&#4313;&#4309;&#4304;&#4320;&#4322;&#4304;&#4314;&#4323;&#4320;&#4312;%20&#4318;&#4312;&#4314;&#4304;&#4320;%203%20(&#4325;&#4304;&#4320;&#4311;&#4323;&#4314;&#4308;&#4316;&#4317;&#4309;&#4304;&#4316;&#4312;).xlsx?9B77AD04" TargetMode="External"/><Relationship Id="rId1" Type="http://schemas.openxmlformats.org/officeDocument/2006/relationships/externalLinkPath" Target="file:///\\9B77AD04\Copy%20of%20PG1_I-BBB-QQ-YYYYMMDD-From2025-Q1%20&#4315;&#4312;&#4313;&#4320;&#4317;&#4305;&#4304;&#4316;&#4313;&#4308;&#4305;&#4312;%20-%20&#4313;&#4309;&#4304;&#4320;&#4322;&#4304;&#4314;&#4323;&#4320;&#4312;%20&#4318;&#4312;&#4314;&#4304;&#4320;%203%20(&#4325;&#4304;&#4320;&#4311;&#4323;&#4314;&#4308;&#4316;&#4317;&#4309;&#4304;&#4316;&#4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4">
          <cell r="E34" t="b">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8" dT="2026-04-16T06:31:41.03" personId="{00000000-0000-0000-0000-000000000000}" id="{049263DB-550A-4B35-80CF-992CC1BFBA43}">
    <text>მათ შორის არამატერიალური აქტივებიდან წარმოშობილი გადავადებული საგადასახადო ვალდებულება 4 824 963</text>
  </threadedComment>
  <threadedComment ref="C49" dT="2026-04-16T06:41:52.36" personId="{00000000-0000-0000-0000-000000000000}" id="{3E2D8FBE-9163-46A3-8FF5-C637C4C9C5BA}">
    <text>მათ შორის მეორად საზედამხედ-ველო კაპიტალში ჩასართავი ინსტრუმენტები -131 407 539 ლარი და
პირველად დამატებით კაპიტალში ჩასართავი ინსტრუმენტი - 26 998 000</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redo.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 Id="rId4" Type="http://schemas.microsoft.com/office/2017/10/relationships/threadedComment" Target="../threadedComments/threadedComment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activeCell="C2" sqref="C2:C5"/>
    </sheetView>
  </sheetViews>
  <sheetFormatPr defaultRowHeight="14.4"/>
  <cols>
    <col min="1" max="1" width="10.21875" style="1" customWidth="1"/>
    <col min="2" max="2" width="153" bestFit="1" customWidth="1"/>
    <col min="3" max="3" width="39.44140625" customWidth="1"/>
    <col min="7" max="7" width="25" customWidth="1"/>
  </cols>
  <sheetData>
    <row r="1" spans="1:3">
      <c r="A1" s="6"/>
      <c r="B1" s="93" t="s">
        <v>148</v>
      </c>
      <c r="C1" s="45"/>
    </row>
    <row r="2" spans="1:3" s="90" customFormat="1">
      <c r="A2" s="134">
        <v>1</v>
      </c>
      <c r="B2" s="91" t="s">
        <v>149</v>
      </c>
      <c r="C2" s="714" t="s">
        <v>1036</v>
      </c>
    </row>
    <row r="3" spans="1:3" s="90" customFormat="1">
      <c r="A3" s="134">
        <v>2</v>
      </c>
      <c r="B3" s="92" t="s">
        <v>150</v>
      </c>
      <c r="C3" s="714" t="s">
        <v>1037</v>
      </c>
    </row>
    <row r="4" spans="1:3" s="90" customFormat="1">
      <c r="A4" s="134">
        <v>3</v>
      </c>
      <c r="B4" s="92" t="s">
        <v>151</v>
      </c>
      <c r="C4" s="714" t="s">
        <v>1009</v>
      </c>
    </row>
    <row r="5" spans="1:3" s="90" customFormat="1">
      <c r="A5" s="135">
        <v>4</v>
      </c>
      <c r="B5" s="95" t="s">
        <v>152</v>
      </c>
      <c r="C5" s="715" t="s">
        <v>1038</v>
      </c>
    </row>
    <row r="6" spans="1:3" s="94" customFormat="1" ht="65.25" customHeight="1">
      <c r="A6" s="773" t="s">
        <v>309</v>
      </c>
      <c r="B6" s="774"/>
      <c r="C6" s="774"/>
    </row>
    <row r="7" spans="1:3">
      <c r="A7" s="234" t="s">
        <v>240</v>
      </c>
      <c r="B7" s="235" t="s">
        <v>153</v>
      </c>
    </row>
    <row r="8" spans="1:3">
      <c r="A8" s="236">
        <v>1</v>
      </c>
      <c r="B8" s="232" t="s">
        <v>128</v>
      </c>
    </row>
    <row r="9" spans="1:3">
      <c r="A9" s="236">
        <v>2</v>
      </c>
      <c r="B9" s="232" t="s">
        <v>154</v>
      </c>
    </row>
    <row r="10" spans="1:3">
      <c r="A10" s="236">
        <v>3</v>
      </c>
      <c r="B10" s="232" t="s">
        <v>155</v>
      </c>
    </row>
    <row r="11" spans="1:3">
      <c r="A11" s="236">
        <v>4</v>
      </c>
      <c r="B11" s="232" t="s">
        <v>156</v>
      </c>
    </row>
    <row r="12" spans="1:3">
      <c r="A12" s="236">
        <v>5</v>
      </c>
      <c r="B12" s="232" t="s">
        <v>96</v>
      </c>
    </row>
    <row r="13" spans="1:3">
      <c r="A13" s="236">
        <v>6</v>
      </c>
      <c r="B13" s="237" t="s">
        <v>80</v>
      </c>
    </row>
    <row r="14" spans="1:3">
      <c r="A14" s="236">
        <v>7</v>
      </c>
      <c r="B14" s="232" t="s">
        <v>157</v>
      </c>
    </row>
    <row r="15" spans="1:3">
      <c r="A15" s="236">
        <v>8</v>
      </c>
      <c r="B15" s="232" t="s">
        <v>160</v>
      </c>
    </row>
    <row r="16" spans="1:3">
      <c r="A16" s="236">
        <v>9</v>
      </c>
      <c r="B16" s="232" t="s">
        <v>74</v>
      </c>
    </row>
    <row r="17" spans="1:2">
      <c r="A17" s="238" t="s">
        <v>366</v>
      </c>
      <c r="B17" s="232" t="s">
        <v>346</v>
      </c>
    </row>
    <row r="18" spans="1:2">
      <c r="A18" s="236">
        <v>9.1999999999999993</v>
      </c>
      <c r="B18" s="590" t="s">
        <v>945</v>
      </c>
    </row>
    <row r="19" spans="1:2">
      <c r="A19" s="236">
        <v>9.3000000000000007</v>
      </c>
      <c r="B19" s="590" t="s">
        <v>946</v>
      </c>
    </row>
    <row r="20" spans="1:2">
      <c r="A20" s="236">
        <v>10</v>
      </c>
      <c r="B20" s="232" t="s">
        <v>161</v>
      </c>
    </row>
    <row r="21" spans="1:2">
      <c r="A21" s="236">
        <v>11</v>
      </c>
      <c r="B21" s="237" t="s">
        <v>144</v>
      </c>
    </row>
    <row r="22" spans="1:2">
      <c r="A22" s="236">
        <v>12</v>
      </c>
      <c r="B22" s="237" t="s">
        <v>141</v>
      </c>
    </row>
    <row r="23" spans="1:2">
      <c r="A23" s="236">
        <v>13</v>
      </c>
      <c r="B23" s="239" t="s">
        <v>285</v>
      </c>
    </row>
    <row r="24" spans="1:2">
      <c r="A24" s="236">
        <v>14</v>
      </c>
      <c r="B24" s="232" t="s">
        <v>339</v>
      </c>
    </row>
    <row r="25" spans="1:2">
      <c r="A25" s="236">
        <v>15</v>
      </c>
      <c r="B25" s="232" t="s">
        <v>73</v>
      </c>
    </row>
    <row r="26" spans="1:2">
      <c r="A26" s="236">
        <v>15.1</v>
      </c>
      <c r="B26" s="232" t="s">
        <v>375</v>
      </c>
    </row>
    <row r="27" spans="1:2">
      <c r="A27" s="589">
        <v>15.2</v>
      </c>
      <c r="B27" s="590" t="s">
        <v>969</v>
      </c>
    </row>
    <row r="28" spans="1:2">
      <c r="A28" s="236">
        <v>16</v>
      </c>
      <c r="B28" s="232" t="s">
        <v>422</v>
      </c>
    </row>
    <row r="29" spans="1:2">
      <c r="A29" s="236">
        <v>17</v>
      </c>
      <c r="B29" s="232" t="s">
        <v>646</v>
      </c>
    </row>
    <row r="30" spans="1:2">
      <c r="A30" s="236">
        <v>18</v>
      </c>
      <c r="B30" s="232" t="s">
        <v>905</v>
      </c>
    </row>
    <row r="31" spans="1:2">
      <c r="A31" s="236">
        <v>19</v>
      </c>
      <c r="B31" s="232" t="s">
        <v>906</v>
      </c>
    </row>
    <row r="32" spans="1:2">
      <c r="A32" s="236">
        <v>20</v>
      </c>
      <c r="B32" s="232" t="s">
        <v>907</v>
      </c>
    </row>
    <row r="33" spans="1:2">
      <c r="A33" s="236">
        <v>21</v>
      </c>
      <c r="B33" s="232" t="s">
        <v>515</v>
      </c>
    </row>
    <row r="34" spans="1:2">
      <c r="A34" s="236">
        <v>22</v>
      </c>
      <c r="B34" s="232" t="s">
        <v>908</v>
      </c>
    </row>
    <row r="35" spans="1:2" ht="26.4">
      <c r="A35" s="236">
        <v>23</v>
      </c>
      <c r="B35" s="545" t="s">
        <v>904</v>
      </c>
    </row>
    <row r="36" spans="1:2">
      <c r="A36" s="236">
        <v>24</v>
      </c>
      <c r="B36" s="232" t="s">
        <v>909</v>
      </c>
    </row>
    <row r="37" spans="1:2">
      <c r="A37" s="236">
        <v>25</v>
      </c>
      <c r="B37" s="232" t="s">
        <v>910</v>
      </c>
    </row>
    <row r="38" spans="1:2">
      <c r="A38" s="236">
        <v>26</v>
      </c>
      <c r="B38" s="232"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 ref="C5" r:id="rId1" xr:uid="{DF52D7CD-071C-4577-A85F-84040003AB4E}"/>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27" activePane="bottomRight" state="frozen"/>
      <selection pane="topRight" activeCell="B1" sqref="B1"/>
      <selection pane="bottomLeft" activeCell="A5" sqref="A5"/>
      <selection pane="bottomRight" activeCell="C34" sqref="C34"/>
    </sheetView>
  </sheetViews>
  <sheetFormatPr defaultRowHeight="14.4"/>
  <cols>
    <col min="1" max="1" width="9.5546875" style="1" bestFit="1" customWidth="1"/>
    <col min="2" max="2" width="132.44140625" style="1" customWidth="1"/>
    <col min="3" max="3" width="18.44140625" style="1" customWidth="1"/>
  </cols>
  <sheetData>
    <row r="1" spans="1:6">
      <c r="A1" s="13" t="s">
        <v>97</v>
      </c>
      <c r="B1" s="12" t="str">
        <f>Info!C2</f>
        <v>სს "კრედო ბანკი"</v>
      </c>
      <c r="D1" s="1"/>
      <c r="E1" s="1"/>
      <c r="F1" s="1"/>
    </row>
    <row r="2" spans="1:6" s="13" customFormat="1" ht="15.75" customHeight="1">
      <c r="A2" s="13" t="s">
        <v>98</v>
      </c>
      <c r="B2" s="275">
        <f>'1. key ratios'!B2</f>
        <v>46112</v>
      </c>
    </row>
    <row r="3" spans="1:6" s="13" customFormat="1" ht="15.75" customHeight="1"/>
    <row r="4" spans="1:6" ht="15" thickBot="1">
      <c r="A4" s="1" t="s">
        <v>246</v>
      </c>
      <c r="B4" s="22" t="s">
        <v>74</v>
      </c>
    </row>
    <row r="5" spans="1:6">
      <c r="A5" s="64" t="s">
        <v>25</v>
      </c>
      <c r="B5" s="65"/>
      <c r="C5" s="66" t="s">
        <v>26</v>
      </c>
    </row>
    <row r="6" spans="1:6">
      <c r="A6" s="67">
        <v>1</v>
      </c>
      <c r="B6" s="41" t="s">
        <v>27</v>
      </c>
      <c r="C6" s="144">
        <f>SUM(C7:C11)</f>
        <v>493764071.67602873</v>
      </c>
    </row>
    <row r="7" spans="1:6">
      <c r="A7" s="67">
        <v>2</v>
      </c>
      <c r="B7" s="38" t="s">
        <v>28</v>
      </c>
      <c r="C7" s="145">
        <v>5270620</v>
      </c>
    </row>
    <row r="8" spans="1:6">
      <c r="A8" s="67">
        <v>3</v>
      </c>
      <c r="B8" s="33" t="s">
        <v>29</v>
      </c>
      <c r="C8" s="145">
        <v>41797125.479999997</v>
      </c>
    </row>
    <row r="9" spans="1:6">
      <c r="A9" s="67">
        <v>4</v>
      </c>
      <c r="B9" s="33" t="s">
        <v>30</v>
      </c>
      <c r="C9" s="145">
        <v>0</v>
      </c>
    </row>
    <row r="10" spans="1:6">
      <c r="A10" s="67">
        <v>5</v>
      </c>
      <c r="B10" s="33" t="s">
        <v>31</v>
      </c>
      <c r="C10" s="145">
        <v>0</v>
      </c>
    </row>
    <row r="11" spans="1:6">
      <c r="A11" s="67">
        <v>6</v>
      </c>
      <c r="B11" s="39" t="s">
        <v>32</v>
      </c>
      <c r="C11" s="145">
        <v>446696326.19602871</v>
      </c>
    </row>
    <row r="12" spans="1:6" s="2" customFormat="1">
      <c r="A12" s="67">
        <v>7</v>
      </c>
      <c r="B12" s="41" t="s">
        <v>33</v>
      </c>
      <c r="C12" s="146">
        <f>SUM(C13:C28)</f>
        <v>37595408.789999999</v>
      </c>
    </row>
    <row r="13" spans="1:6" s="2" customFormat="1">
      <c r="A13" s="67">
        <v>8</v>
      </c>
      <c r="B13" s="40" t="s">
        <v>34</v>
      </c>
      <c r="C13" s="147"/>
    </row>
    <row r="14" spans="1:6" s="2" customFormat="1" ht="27.6">
      <c r="A14" s="67">
        <v>9</v>
      </c>
      <c r="B14" s="34" t="s">
        <v>35</v>
      </c>
      <c r="C14" s="147"/>
    </row>
    <row r="15" spans="1:6" s="2" customFormat="1">
      <c r="A15" s="67">
        <v>10</v>
      </c>
      <c r="B15" s="35" t="s">
        <v>36</v>
      </c>
      <c r="C15" s="686">
        <v>37595408.789999999</v>
      </c>
    </row>
    <row r="16" spans="1:6" s="2" customFormat="1">
      <c r="A16" s="67">
        <v>11</v>
      </c>
      <c r="B16" s="36" t="s">
        <v>37</v>
      </c>
      <c r="C16" s="147"/>
    </row>
    <row r="17" spans="1:3" s="2" customFormat="1">
      <c r="A17" s="67">
        <v>12</v>
      </c>
      <c r="B17" s="35" t="s">
        <v>38</v>
      </c>
      <c r="C17" s="147"/>
    </row>
    <row r="18" spans="1:3" s="2" customFormat="1">
      <c r="A18" s="67">
        <v>13</v>
      </c>
      <c r="B18" s="35" t="s">
        <v>39</v>
      </c>
      <c r="C18" s="147"/>
    </row>
    <row r="19" spans="1:3" s="2" customFormat="1">
      <c r="A19" s="67">
        <v>14</v>
      </c>
      <c r="B19" s="35" t="s">
        <v>40</v>
      </c>
      <c r="C19" s="147"/>
    </row>
    <row r="20" spans="1:3" s="2" customFormat="1" ht="27.6">
      <c r="A20" s="67">
        <v>15</v>
      </c>
      <c r="B20" s="35" t="s">
        <v>41</v>
      </c>
      <c r="C20" s="147"/>
    </row>
    <row r="21" spans="1:3" s="2" customFormat="1" ht="27.6">
      <c r="A21" s="67">
        <v>16</v>
      </c>
      <c r="B21" s="34" t="s">
        <v>42</v>
      </c>
      <c r="C21" s="147"/>
    </row>
    <row r="22" spans="1:3" s="2" customFormat="1">
      <c r="A22" s="67">
        <v>17</v>
      </c>
      <c r="B22" s="68" t="s">
        <v>43</v>
      </c>
      <c r="C22" s="147"/>
    </row>
    <row r="23" spans="1:3" s="2" customFormat="1">
      <c r="A23" s="67">
        <v>18</v>
      </c>
      <c r="B23" s="580" t="s">
        <v>694</v>
      </c>
      <c r="C23" s="337"/>
    </row>
    <row r="24" spans="1:3" s="2" customFormat="1" ht="27.6">
      <c r="A24" s="67">
        <v>19</v>
      </c>
      <c r="B24" s="34" t="s">
        <v>44</v>
      </c>
      <c r="C24" s="147"/>
    </row>
    <row r="25" spans="1:3" s="2" customFormat="1" ht="27.6">
      <c r="A25" s="67">
        <v>20</v>
      </c>
      <c r="B25" s="34" t="s">
        <v>45</v>
      </c>
      <c r="C25" s="147"/>
    </row>
    <row r="26" spans="1:3" s="2" customFormat="1" ht="27.6">
      <c r="A26" s="67">
        <v>21</v>
      </c>
      <c r="B26" s="36" t="s">
        <v>46</v>
      </c>
      <c r="C26" s="147"/>
    </row>
    <row r="27" spans="1:3" s="2" customFormat="1">
      <c r="A27" s="67">
        <v>22</v>
      </c>
      <c r="B27" s="36" t="s">
        <v>47</v>
      </c>
      <c r="C27" s="147"/>
    </row>
    <row r="28" spans="1:3" s="2" customFormat="1" ht="27.6">
      <c r="A28" s="67">
        <v>23</v>
      </c>
      <c r="B28" s="36" t="s">
        <v>48</v>
      </c>
      <c r="C28" s="147"/>
    </row>
    <row r="29" spans="1:3" s="2" customFormat="1">
      <c r="A29" s="67">
        <v>24</v>
      </c>
      <c r="B29" s="42" t="s">
        <v>22</v>
      </c>
      <c r="C29" s="146">
        <f>C6-C12</f>
        <v>456168662.88602871</v>
      </c>
    </row>
    <row r="30" spans="1:3" s="2" customFormat="1">
      <c r="A30" s="69"/>
      <c r="B30" s="37"/>
      <c r="C30" s="147"/>
    </row>
    <row r="31" spans="1:3" s="2" customFormat="1">
      <c r="A31" s="69">
        <v>25</v>
      </c>
      <c r="B31" s="42" t="s">
        <v>49</v>
      </c>
      <c r="C31" s="146">
        <f>C32+C35</f>
        <v>26998000.000000004</v>
      </c>
    </row>
    <row r="32" spans="1:3" s="2" customFormat="1">
      <c r="A32" s="69">
        <v>26</v>
      </c>
      <c r="B32" s="33" t="s">
        <v>50</v>
      </c>
      <c r="C32" s="148">
        <f>C33+C34</f>
        <v>26998000.000000004</v>
      </c>
    </row>
    <row r="33" spans="1:3" s="2" customFormat="1">
      <c r="A33" s="69">
        <v>27</v>
      </c>
      <c r="B33" s="88" t="s">
        <v>51</v>
      </c>
      <c r="C33" s="147"/>
    </row>
    <row r="34" spans="1:3" s="2" customFormat="1">
      <c r="A34" s="69">
        <v>28</v>
      </c>
      <c r="B34" s="88" t="s">
        <v>52</v>
      </c>
      <c r="C34" s="147">
        <v>26998000.000000004</v>
      </c>
    </row>
    <row r="35" spans="1:3" s="2" customFormat="1">
      <c r="A35" s="69">
        <v>29</v>
      </c>
      <c r="B35" s="33" t="s">
        <v>53</v>
      </c>
      <c r="C35" s="147"/>
    </row>
    <row r="36" spans="1:3" s="2" customFormat="1">
      <c r="A36" s="69">
        <v>30</v>
      </c>
      <c r="B36" s="42" t="s">
        <v>54</v>
      </c>
      <c r="C36" s="146">
        <f>SUM(C37:C41)</f>
        <v>0</v>
      </c>
    </row>
    <row r="37" spans="1:3" s="2" customFormat="1">
      <c r="A37" s="69">
        <v>31</v>
      </c>
      <c r="B37" s="34" t="s">
        <v>55</v>
      </c>
      <c r="C37" s="147"/>
    </row>
    <row r="38" spans="1:3" s="2" customFormat="1">
      <c r="A38" s="69">
        <v>32</v>
      </c>
      <c r="B38" s="35" t="s">
        <v>56</v>
      </c>
      <c r="C38" s="147"/>
    </row>
    <row r="39" spans="1:3" s="2" customFormat="1" ht="27.6">
      <c r="A39" s="69">
        <v>33</v>
      </c>
      <c r="B39" s="34" t="s">
        <v>57</v>
      </c>
      <c r="C39" s="147"/>
    </row>
    <row r="40" spans="1:3" s="2" customFormat="1" ht="27.6">
      <c r="A40" s="69">
        <v>34</v>
      </c>
      <c r="B40" s="34" t="s">
        <v>45</v>
      </c>
      <c r="C40" s="147"/>
    </row>
    <row r="41" spans="1:3" s="2" customFormat="1" ht="27.6">
      <c r="A41" s="69">
        <v>35</v>
      </c>
      <c r="B41" s="36" t="s">
        <v>58</v>
      </c>
      <c r="C41" s="147"/>
    </row>
    <row r="42" spans="1:3" s="2" customFormat="1">
      <c r="A42" s="69">
        <v>36</v>
      </c>
      <c r="B42" s="42" t="s">
        <v>23</v>
      </c>
      <c r="C42" s="146">
        <f>C31-C36</f>
        <v>26998000.000000004</v>
      </c>
    </row>
    <row r="43" spans="1:3" s="2" customFormat="1">
      <c r="A43" s="69"/>
      <c r="B43" s="37"/>
      <c r="C43" s="147"/>
    </row>
    <row r="44" spans="1:3" s="2" customFormat="1">
      <c r="A44" s="69">
        <v>37</v>
      </c>
      <c r="B44" s="43" t="s">
        <v>59</v>
      </c>
      <c r="C44" s="146">
        <f>SUM(C45:C47)</f>
        <v>131407539.36000001</v>
      </c>
    </row>
    <row r="45" spans="1:3" s="2" customFormat="1">
      <c r="A45" s="69">
        <v>38</v>
      </c>
      <c r="B45" s="33" t="s">
        <v>60</v>
      </c>
      <c r="C45" s="147">
        <v>131407539.36000001</v>
      </c>
    </row>
    <row r="46" spans="1:3" s="2" customFormat="1">
      <c r="A46" s="69">
        <v>39</v>
      </c>
      <c r="B46" s="33" t="s">
        <v>61</v>
      </c>
      <c r="C46" s="147"/>
    </row>
    <row r="47" spans="1:3" s="2" customFormat="1">
      <c r="A47" s="69">
        <v>40</v>
      </c>
      <c r="B47" s="581" t="s">
        <v>693</v>
      </c>
      <c r="C47" s="147"/>
    </row>
    <row r="48" spans="1:3" s="2" customFormat="1">
      <c r="A48" s="69">
        <v>41</v>
      </c>
      <c r="B48" s="43" t="s">
        <v>62</v>
      </c>
      <c r="C48" s="146">
        <f>SUM(C49:C52)</f>
        <v>0</v>
      </c>
    </row>
    <row r="49" spans="1:3" s="2" customFormat="1">
      <c r="A49" s="69">
        <v>42</v>
      </c>
      <c r="B49" s="34" t="s">
        <v>63</v>
      </c>
      <c r="C49" s="147"/>
    </row>
    <row r="50" spans="1:3" s="2" customFormat="1">
      <c r="A50" s="69">
        <v>43</v>
      </c>
      <c r="B50" s="35" t="s">
        <v>64</v>
      </c>
      <c r="C50" s="147"/>
    </row>
    <row r="51" spans="1:3" s="2" customFormat="1" ht="27.6">
      <c r="A51" s="69">
        <v>44</v>
      </c>
      <c r="B51" s="34" t="s">
        <v>65</v>
      </c>
      <c r="C51" s="147"/>
    </row>
    <row r="52" spans="1:3" s="2" customFormat="1" ht="27.6">
      <c r="A52" s="69">
        <v>45</v>
      </c>
      <c r="B52" s="34" t="s">
        <v>45</v>
      </c>
      <c r="C52" s="147"/>
    </row>
    <row r="53" spans="1:3" s="2" customFormat="1" ht="15" thickBot="1">
      <c r="A53" s="69">
        <v>46</v>
      </c>
      <c r="B53" s="70" t="s">
        <v>24</v>
      </c>
      <c r="C53" s="149">
        <f>C44-C48</f>
        <v>131407539.36000001</v>
      </c>
    </row>
    <row r="56" spans="1:3">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D23"/>
  <sheetViews>
    <sheetView zoomScale="80" zoomScaleNormal="80" workbookViewId="0">
      <selection activeCell="C13" sqref="C13"/>
    </sheetView>
  </sheetViews>
  <sheetFormatPr defaultColWidth="9.21875" defaultRowHeight="13.8"/>
  <cols>
    <col min="1" max="1" width="10.77734375" style="1" bestFit="1" customWidth="1"/>
    <col min="2" max="2" width="59" style="1" customWidth="1"/>
    <col min="3" max="3" width="16.77734375" style="1" bestFit="1" customWidth="1"/>
    <col min="4" max="4" width="22.21875" style="1" customWidth="1"/>
    <col min="5" max="16384" width="9.21875" style="1"/>
  </cols>
  <sheetData>
    <row r="1" spans="1:4">
      <c r="A1" s="13" t="s">
        <v>97</v>
      </c>
      <c r="B1" s="12" t="str">
        <f>Info!C2</f>
        <v>სს "კრედო ბანკი"</v>
      </c>
    </row>
    <row r="2" spans="1:4" s="13" customFormat="1" ht="15.75" customHeight="1">
      <c r="A2" s="13" t="s">
        <v>98</v>
      </c>
      <c r="B2" s="275">
        <f>'1. key ratios'!B2</f>
        <v>46112</v>
      </c>
    </row>
    <row r="3" spans="1:4" s="13" customFormat="1" ht="15.75" customHeight="1"/>
    <row r="4" spans="1:4" ht="14.4" thickBot="1">
      <c r="A4" s="1" t="s">
        <v>345</v>
      </c>
      <c r="B4" s="221" t="s">
        <v>346</v>
      </c>
    </row>
    <row r="5" spans="1:4" s="29" customFormat="1">
      <c r="A5" s="803" t="s">
        <v>347</v>
      </c>
      <c r="B5" s="804"/>
      <c r="C5" s="211" t="s">
        <v>348</v>
      </c>
      <c r="D5" s="212" t="s">
        <v>349</v>
      </c>
    </row>
    <row r="6" spans="1:4" s="222" customFormat="1">
      <c r="A6" s="213">
        <v>1</v>
      </c>
      <c r="B6" s="214" t="s">
        <v>350</v>
      </c>
      <c r="C6" s="214"/>
      <c r="D6" s="215"/>
    </row>
    <row r="7" spans="1:4" s="222" customFormat="1">
      <c r="A7" s="216" t="s">
        <v>351</v>
      </c>
      <c r="B7" s="217" t="s">
        <v>352</v>
      </c>
      <c r="C7" s="240">
        <v>4.4999999999999998E-2</v>
      </c>
      <c r="D7" s="687">
        <f>C7*'5. RWA'!$C$13</f>
        <v>150831550.56695047</v>
      </c>
    </row>
    <row r="8" spans="1:4" s="222" customFormat="1">
      <c r="A8" s="216" t="s">
        <v>353</v>
      </c>
      <c r="B8" s="217" t="s">
        <v>354</v>
      </c>
      <c r="C8" s="241">
        <v>0.06</v>
      </c>
      <c r="D8" s="687">
        <f>C8*'5. RWA'!$C$13</f>
        <v>201108734.08926728</v>
      </c>
    </row>
    <row r="9" spans="1:4" s="222" customFormat="1">
      <c r="A9" s="216" t="s">
        <v>355</v>
      </c>
      <c r="B9" s="217" t="s">
        <v>356</v>
      </c>
      <c r="C9" s="241">
        <v>0.08</v>
      </c>
      <c r="D9" s="687">
        <f>C9*'5. RWA'!$C$13</f>
        <v>268144978.78568974</v>
      </c>
    </row>
    <row r="10" spans="1:4" s="222" customFormat="1">
      <c r="A10" s="213" t="s">
        <v>357</v>
      </c>
      <c r="B10" s="214" t="s">
        <v>358</v>
      </c>
      <c r="C10" s="242"/>
      <c r="D10" s="688"/>
    </row>
    <row r="11" spans="1:4" s="223" customFormat="1">
      <c r="A11" s="218" t="s">
        <v>359</v>
      </c>
      <c r="B11" s="219" t="s">
        <v>996</v>
      </c>
      <c r="C11" s="243">
        <v>2.5000000000000001E-2</v>
      </c>
      <c r="D11" s="689">
        <f>C11*'5. RWA'!$C$13</f>
        <v>83795305.870528042</v>
      </c>
    </row>
    <row r="12" spans="1:4" s="223" customFormat="1">
      <c r="A12" s="218" t="s">
        <v>360</v>
      </c>
      <c r="B12" s="219" t="s">
        <v>361</v>
      </c>
      <c r="C12" s="243">
        <v>7.4999999999999997E-3</v>
      </c>
      <c r="D12" s="689">
        <f>C12*'5. RWA'!$C$13</f>
        <v>25138591.76115841</v>
      </c>
    </row>
    <row r="13" spans="1:4" s="223" customFormat="1">
      <c r="A13" s="218" t="s">
        <v>362</v>
      </c>
      <c r="B13" s="219" t="s">
        <v>363</v>
      </c>
      <c r="C13" s="243"/>
      <c r="D13" s="689">
        <f>C13*'5. RWA'!$C$13</f>
        <v>0</v>
      </c>
    </row>
    <row r="14" spans="1:4" s="222" customFormat="1">
      <c r="A14" s="213" t="s">
        <v>364</v>
      </c>
      <c r="B14" s="214" t="s">
        <v>409</v>
      </c>
      <c r="C14" s="244"/>
      <c r="D14" s="688"/>
    </row>
    <row r="15" spans="1:4" s="222" customFormat="1">
      <c r="A15" s="233" t="s">
        <v>367</v>
      </c>
      <c r="B15" s="219" t="s">
        <v>410</v>
      </c>
      <c r="C15" s="243">
        <v>4.1366380552623143E-2</v>
      </c>
      <c r="D15" s="689">
        <f>C15*'5. RWA'!$C$13</f>
        <v>138652340.44654876</v>
      </c>
    </row>
    <row r="16" spans="1:4" s="222" customFormat="1">
      <c r="A16" s="233" t="s">
        <v>368</v>
      </c>
      <c r="B16" s="219" t="s">
        <v>370</v>
      </c>
      <c r="C16" s="243">
        <v>4.7305193003977224E-2</v>
      </c>
      <c r="D16" s="689">
        <f>C16*'5. RWA'!$C$13</f>
        <v>158558124.68130538</v>
      </c>
    </row>
    <row r="17" spans="1:4" s="222" customFormat="1">
      <c r="A17" s="233" t="s">
        <v>369</v>
      </c>
      <c r="B17" s="219" t="s">
        <v>407</v>
      </c>
      <c r="C17" s="243">
        <v>5.5119419913653649E-2</v>
      </c>
      <c r="D17" s="689">
        <f>C17*'5. RWA'!$C$13</f>
        <v>184749946.04282728</v>
      </c>
    </row>
    <row r="18" spans="1:4" s="29" customFormat="1">
      <c r="A18" s="805" t="s">
        <v>408</v>
      </c>
      <c r="B18" s="806"/>
      <c r="C18" s="245" t="s">
        <v>348</v>
      </c>
      <c r="D18" s="690" t="s">
        <v>349</v>
      </c>
    </row>
    <row r="19" spans="1:4" s="222" customFormat="1">
      <c r="A19" s="220">
        <v>4</v>
      </c>
      <c r="B19" s="219" t="s">
        <v>22</v>
      </c>
      <c r="C19" s="243">
        <f>C7+C11+C12+C13+C15</f>
        <v>0.11886638055262316</v>
      </c>
      <c r="D19" s="687">
        <f>C19*'5. RWA'!$C$13</f>
        <v>398417788.64518577</v>
      </c>
    </row>
    <row r="20" spans="1:4" s="222" customFormat="1">
      <c r="A20" s="220">
        <v>5</v>
      </c>
      <c r="B20" s="219" t="s">
        <v>75</v>
      </c>
      <c r="C20" s="243">
        <f>C8+C11+C12+C13+C16</f>
        <v>0.13980519300397723</v>
      </c>
      <c r="D20" s="687">
        <f>C20*'5. RWA'!$C$13</f>
        <v>468600756.40225917</v>
      </c>
    </row>
    <row r="21" spans="1:4" s="222" customFormat="1" ht="14.4" thickBot="1">
      <c r="A21" s="224" t="s">
        <v>365</v>
      </c>
      <c r="B21" s="225" t="s">
        <v>74</v>
      </c>
      <c r="C21" s="246">
        <f>C9+C11+C12+C13+C17</f>
        <v>0.16761941991365367</v>
      </c>
      <c r="D21" s="691">
        <f>C21*'5. RWA'!$C$13</f>
        <v>561828822.46020353</v>
      </c>
    </row>
    <row r="23" spans="1:4">
      <c r="B23" s="17"/>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topLeftCell="A6" zoomScaleNormal="100" workbookViewId="0">
      <selection activeCell="B19" sqref="B19"/>
    </sheetView>
  </sheetViews>
  <sheetFormatPr defaultRowHeight="14.4"/>
  <cols>
    <col min="1" max="1" width="107.109375" bestFit="1" customWidth="1"/>
    <col min="2" max="2" width="50.88671875" bestFit="1" customWidth="1"/>
    <col min="3" max="3" width="28.109375" bestFit="1" customWidth="1"/>
    <col min="4" max="4" width="28.21875" customWidth="1"/>
    <col min="5" max="7" width="28.109375" customWidth="1"/>
  </cols>
  <sheetData>
    <row r="1" spans="1:2">
      <c r="A1" s="551" t="s">
        <v>97</v>
      </c>
      <c r="B1" s="12" t="str">
        <f>Info!C2</f>
        <v>სს "კრედო ბანკი"</v>
      </c>
    </row>
    <row r="2" spans="1:2">
      <c r="A2" s="551" t="s">
        <v>98</v>
      </c>
      <c r="B2" s="275">
        <f>'1. key ratios'!B2</f>
        <v>46112</v>
      </c>
    </row>
    <row r="3" spans="1:2">
      <c r="A3" s="552" t="s">
        <v>947</v>
      </c>
      <c r="B3" s="547" t="s">
        <v>918</v>
      </c>
    </row>
    <row r="4" spans="1:2" ht="15" thickBot="1"/>
    <row r="5" spans="1:2">
      <c r="A5" s="557"/>
      <c r="B5" s="558" t="s">
        <v>919</v>
      </c>
    </row>
    <row r="6" spans="1:2">
      <c r="A6" s="553" t="s">
        <v>920</v>
      </c>
      <c r="B6" s="559">
        <f>SUM(B7,B11)</f>
        <v>614574202.24602866</v>
      </c>
    </row>
    <row r="7" spans="1:2" ht="15.6">
      <c r="A7" s="553" t="s">
        <v>953</v>
      </c>
      <c r="B7" s="559">
        <f>SUM(B8:B10)</f>
        <v>614574202.24602866</v>
      </c>
    </row>
    <row r="8" spans="1:2">
      <c r="A8" s="554" t="s">
        <v>921</v>
      </c>
      <c r="B8" s="560">
        <f>'9. Capital'!C29</f>
        <v>456168662.88602871</v>
      </c>
    </row>
    <row r="9" spans="1:2">
      <c r="A9" s="554" t="s">
        <v>922</v>
      </c>
      <c r="B9" s="560">
        <f>'9. Capital'!C42</f>
        <v>26998000.000000004</v>
      </c>
    </row>
    <row r="10" spans="1:2">
      <c r="A10" s="554" t="s">
        <v>923</v>
      </c>
      <c r="B10" s="560">
        <f>'9. Capital'!C53</f>
        <v>131407539.36000001</v>
      </c>
    </row>
    <row r="11" spans="1:2">
      <c r="A11" s="553" t="s">
        <v>924</v>
      </c>
      <c r="B11" s="559">
        <f>SUM(B12:B13)</f>
        <v>0</v>
      </c>
    </row>
    <row r="12" spans="1:2" ht="15.6">
      <c r="A12" s="554" t="s">
        <v>954</v>
      </c>
      <c r="B12" s="560"/>
    </row>
    <row r="13" spans="1:2" ht="15.6">
      <c r="A13" s="554" t="s">
        <v>955</v>
      </c>
      <c r="B13" s="560"/>
    </row>
    <row r="14" spans="1:2">
      <c r="A14" s="553" t="s">
        <v>925</v>
      </c>
      <c r="B14" s="559">
        <f>SUM(B15:B16)</f>
        <v>614574202.24602866</v>
      </c>
    </row>
    <row r="15" spans="1:2">
      <c r="A15" s="555" t="s">
        <v>926</v>
      </c>
      <c r="B15" s="560"/>
    </row>
    <row r="16" spans="1:2">
      <c r="A16" s="555" t="s">
        <v>74</v>
      </c>
      <c r="B16" s="560">
        <f>B7</f>
        <v>614574202.24602866</v>
      </c>
    </row>
    <row r="17" spans="1:5">
      <c r="A17" s="553" t="s">
        <v>927</v>
      </c>
      <c r="B17" s="559"/>
    </row>
    <row r="18" spans="1:5">
      <c r="A18" s="555" t="s">
        <v>928</v>
      </c>
      <c r="B18" s="560">
        <f>'5. RWA'!C13</f>
        <v>3351812234.8211217</v>
      </c>
    </row>
    <row r="19" spans="1:5">
      <c r="A19" s="555" t="s">
        <v>929</v>
      </c>
      <c r="B19" s="560">
        <f>'15.1. LR'!C32</f>
        <v>4006795448.192626</v>
      </c>
    </row>
    <row r="20" spans="1:5">
      <c r="A20" s="553" t="s">
        <v>930</v>
      </c>
      <c r="B20" s="559"/>
    </row>
    <row r="21" spans="1:5">
      <c r="A21" s="556" t="s">
        <v>931</v>
      </c>
      <c r="B21" s="561">
        <f>IFERROR(B6/B18,0)</f>
        <v>0.1833557965632365</v>
      </c>
    </row>
    <row r="22" spans="1:5">
      <c r="A22" s="556" t="s">
        <v>932</v>
      </c>
      <c r="B22" s="561">
        <f>IFERROR(B6/B19,0)</f>
        <v>0.15338297404806353</v>
      </c>
    </row>
    <row r="23" spans="1:5" ht="15" thickBot="1">
      <c r="A23" s="562" t="s">
        <v>933</v>
      </c>
      <c r="B23" s="563">
        <f>IFERROR(B6/B14,0)</f>
        <v>1</v>
      </c>
    </row>
    <row r="24" spans="1:5" ht="16.5" customHeight="1">
      <c r="A24" s="550" t="s">
        <v>956</v>
      </c>
      <c r="B24" s="548"/>
      <c r="C24" s="548"/>
      <c r="D24" s="548"/>
      <c r="E24" s="548"/>
    </row>
    <row r="25" spans="1:5" ht="25.5" customHeight="1">
      <c r="A25" s="550" t="s">
        <v>957</v>
      </c>
    </row>
    <row r="26" spans="1:5" ht="57" customHeight="1">
      <c r="A26" s="550" t="s">
        <v>958</v>
      </c>
    </row>
    <row r="27" spans="1:5">
      <c r="A27" s="549"/>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topLeftCell="A4" zoomScaleNormal="100" workbookViewId="0">
      <selection activeCell="A9" sqref="A9"/>
    </sheetView>
  </sheetViews>
  <sheetFormatPr defaultRowHeight="14.4"/>
  <cols>
    <col min="1" max="1" width="82" customWidth="1"/>
    <col min="2" max="2" width="28.109375" bestFit="1" customWidth="1"/>
    <col min="3" max="3" width="28.21875" customWidth="1"/>
    <col min="4" max="6" width="28.109375" customWidth="1"/>
  </cols>
  <sheetData>
    <row r="1" spans="1:6">
      <c r="A1" s="551" t="s">
        <v>97</v>
      </c>
      <c r="B1" s="12" t="str">
        <f>Info!C2</f>
        <v>სს "კრედო ბანკი"</v>
      </c>
      <c r="C1" s="1"/>
    </row>
    <row r="2" spans="1:6">
      <c r="A2" s="551" t="s">
        <v>98</v>
      </c>
      <c r="B2" s="275">
        <f>'1. key ratios'!B2</f>
        <v>46112</v>
      </c>
      <c r="C2" s="1"/>
    </row>
    <row r="3" spans="1:6">
      <c r="A3" s="552" t="s">
        <v>948</v>
      </c>
      <c r="B3" s="547" t="s">
        <v>918</v>
      </c>
      <c r="C3" s="1"/>
    </row>
    <row r="5" spans="1:6">
      <c r="A5" s="549"/>
    </row>
    <row r="6" spans="1:6" ht="15" thickBot="1">
      <c r="A6" s="564"/>
      <c r="B6" s="564"/>
      <c r="C6" s="564"/>
      <c r="D6" s="564"/>
      <c r="E6" s="564"/>
      <c r="F6" s="564"/>
    </row>
    <row r="7" spans="1:6">
      <c r="A7" s="807"/>
      <c r="B7" s="809" t="s">
        <v>934</v>
      </c>
      <c r="C7" s="809"/>
      <c r="D7" s="809"/>
      <c r="E7" s="809"/>
      <c r="F7" s="810" t="s">
        <v>935</v>
      </c>
    </row>
    <row r="8" spans="1:6" ht="27.6">
      <c r="A8" s="808"/>
      <c r="B8" s="565" t="s">
        <v>936</v>
      </c>
      <c r="C8" s="565" t="s">
        <v>937</v>
      </c>
      <c r="D8" s="565" t="s">
        <v>938</v>
      </c>
      <c r="E8" s="565" t="s">
        <v>939</v>
      </c>
      <c r="F8" s="811"/>
    </row>
    <row r="9" spans="1:6">
      <c r="A9" s="566" t="s">
        <v>940</v>
      </c>
      <c r="B9" s="567">
        <f>B13+B17</f>
        <v>0</v>
      </c>
      <c r="C9" s="567">
        <f t="shared" ref="C9:E9" si="0">C13+C17</f>
        <v>0</v>
      </c>
      <c r="D9" s="567">
        <f t="shared" si="0"/>
        <v>0</v>
      </c>
      <c r="E9" s="567">
        <f t="shared" si="0"/>
        <v>0</v>
      </c>
      <c r="F9" s="568">
        <f>F13+F17</f>
        <v>0</v>
      </c>
    </row>
    <row r="10" spans="1:6">
      <c r="A10" s="569" t="s">
        <v>941</v>
      </c>
      <c r="B10" s="570">
        <f t="shared" ref="B10:E12" si="1">B14+B18</f>
        <v>0</v>
      </c>
      <c r="C10" s="570">
        <f t="shared" si="1"/>
        <v>0</v>
      </c>
      <c r="D10" s="570">
        <f t="shared" si="1"/>
        <v>0</v>
      </c>
      <c r="E10" s="570">
        <f t="shared" si="1"/>
        <v>0</v>
      </c>
      <c r="F10" s="568">
        <f>SUM(B10:E10)</f>
        <v>0</v>
      </c>
    </row>
    <row r="11" spans="1:6">
      <c r="A11" s="569" t="s">
        <v>942</v>
      </c>
      <c r="B11" s="570">
        <f t="shared" si="1"/>
        <v>0</v>
      </c>
      <c r="C11" s="570">
        <f t="shared" si="1"/>
        <v>0</v>
      </c>
      <c r="D11" s="570">
        <f t="shared" si="1"/>
        <v>0</v>
      </c>
      <c r="E11" s="570">
        <f t="shared" si="1"/>
        <v>0</v>
      </c>
      <c r="F11" s="568">
        <f t="shared" ref="F11:F12" si="2">SUM(B11:E11)</f>
        <v>0</v>
      </c>
    </row>
    <row r="12" spans="1:6">
      <c r="A12" s="571" t="s">
        <v>943</v>
      </c>
      <c r="B12" s="570">
        <f t="shared" si="1"/>
        <v>0</v>
      </c>
      <c r="C12" s="570">
        <f t="shared" si="1"/>
        <v>0</v>
      </c>
      <c r="D12" s="570">
        <f t="shared" si="1"/>
        <v>0</v>
      </c>
      <c r="E12" s="570">
        <f t="shared" si="1"/>
        <v>0</v>
      </c>
      <c r="F12" s="568">
        <f t="shared" si="2"/>
        <v>0</v>
      </c>
    </row>
    <row r="13" spans="1:6">
      <c r="A13" s="572" t="s">
        <v>944</v>
      </c>
      <c r="B13" s="573"/>
      <c r="C13" s="573"/>
      <c r="D13" s="573"/>
      <c r="E13" s="573"/>
      <c r="F13" s="574"/>
    </row>
    <row r="14" spans="1:6">
      <c r="A14" s="569" t="s">
        <v>941</v>
      </c>
      <c r="B14" s="575"/>
      <c r="C14" s="575"/>
      <c r="D14" s="575"/>
      <c r="E14" s="575"/>
      <c r="F14" s="576"/>
    </row>
    <row r="15" spans="1:6">
      <c r="A15" s="569" t="s">
        <v>942</v>
      </c>
      <c r="B15" s="575"/>
      <c r="C15" s="575"/>
      <c r="D15" s="575"/>
      <c r="E15" s="575"/>
      <c r="F15" s="576"/>
    </row>
    <row r="16" spans="1:6">
      <c r="A16" s="571" t="s">
        <v>943</v>
      </c>
      <c r="B16" s="575"/>
      <c r="C16" s="575"/>
      <c r="D16" s="575"/>
      <c r="E16" s="575"/>
      <c r="F16" s="576"/>
    </row>
    <row r="17" spans="1:6">
      <c r="A17" s="572" t="s">
        <v>924</v>
      </c>
      <c r="B17" s="573"/>
      <c r="C17" s="573"/>
      <c r="D17" s="573"/>
      <c r="E17" s="573"/>
      <c r="F17" s="576"/>
    </row>
    <row r="18" spans="1:6">
      <c r="A18" s="569" t="s">
        <v>941</v>
      </c>
      <c r="B18" s="575"/>
      <c r="C18" s="575"/>
      <c r="D18" s="575"/>
      <c r="E18" s="575"/>
      <c r="F18" s="576"/>
    </row>
    <row r="19" spans="1:6">
      <c r="A19" s="569" t="s">
        <v>942</v>
      </c>
      <c r="B19" s="575"/>
      <c r="C19" s="575"/>
      <c r="D19" s="575"/>
      <c r="E19" s="575"/>
      <c r="F19" s="576"/>
    </row>
    <row r="20" spans="1:6" ht="15" thickBot="1">
      <c r="A20" s="577" t="s">
        <v>943</v>
      </c>
      <c r="B20" s="578"/>
      <c r="C20" s="578"/>
      <c r="D20" s="578"/>
      <c r="E20" s="578"/>
      <c r="F20" s="579"/>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18" activePane="bottomRight" state="frozen"/>
      <selection pane="topRight" activeCell="B1" sqref="B1"/>
      <selection pane="bottomLeft" activeCell="A5" sqref="A5"/>
      <selection pane="bottomRight" activeCell="C32" activeCellId="2" sqref="C11 C26 C32"/>
    </sheetView>
  </sheetViews>
  <sheetFormatPr defaultRowHeight="14.4"/>
  <cols>
    <col min="1" max="1" width="10.77734375" style="30" customWidth="1"/>
    <col min="2" max="2" width="91.77734375" style="30" customWidth="1"/>
    <col min="3" max="3" width="53.21875" style="30" customWidth="1"/>
    <col min="4" max="4" width="32.21875" style="30" customWidth="1"/>
    <col min="5" max="5" width="9.44140625" customWidth="1"/>
  </cols>
  <sheetData>
    <row r="1" spans="1:6">
      <c r="A1" s="13" t="s">
        <v>97</v>
      </c>
      <c r="B1" s="14" t="str">
        <f>Info!C2</f>
        <v>სს "კრედო ბანკი"</v>
      </c>
      <c r="E1" s="1"/>
      <c r="F1" s="1"/>
    </row>
    <row r="2" spans="1:6" s="13" customFormat="1" ht="15.75" customHeight="1">
      <c r="A2" s="13" t="s">
        <v>98</v>
      </c>
      <c r="B2" s="275">
        <f>'1. key ratios'!B2</f>
        <v>46112</v>
      </c>
    </row>
    <row r="3" spans="1:6" s="13" customFormat="1" ht="15.75" customHeight="1">
      <c r="A3" s="19"/>
    </row>
    <row r="4" spans="1:6" s="13" customFormat="1" ht="15.75" customHeight="1" thickBot="1">
      <c r="A4" s="13" t="s">
        <v>247</v>
      </c>
      <c r="B4" s="110" t="s">
        <v>161</v>
      </c>
      <c r="D4" s="112" t="s">
        <v>76</v>
      </c>
    </row>
    <row r="5" spans="1:6" ht="27.6">
      <c r="A5" s="76" t="s">
        <v>25</v>
      </c>
      <c r="B5" s="77" t="s">
        <v>133</v>
      </c>
      <c r="C5" s="78" t="s">
        <v>826</v>
      </c>
      <c r="D5" s="111" t="s">
        <v>162</v>
      </c>
    </row>
    <row r="6" spans="1:6">
      <c r="A6" s="381">
        <v>1</v>
      </c>
      <c r="B6" s="340" t="s">
        <v>811</v>
      </c>
      <c r="C6" s="414">
        <f>SUM(C7:C9)</f>
        <v>524486548.09478569</v>
      </c>
      <c r="D6" s="71"/>
      <c r="E6" s="4"/>
    </row>
    <row r="7" spans="1:6">
      <c r="A7" s="381">
        <v>1.1000000000000001</v>
      </c>
      <c r="B7" s="342" t="s">
        <v>85</v>
      </c>
      <c r="C7" s="407">
        <v>97662066.570000008</v>
      </c>
      <c r="D7" s="72"/>
      <c r="E7" s="4"/>
    </row>
    <row r="8" spans="1:6">
      <c r="A8" s="381">
        <v>1.2</v>
      </c>
      <c r="B8" s="342" t="s">
        <v>86</v>
      </c>
      <c r="C8" s="407">
        <v>229529255.2555005</v>
      </c>
      <c r="D8" s="72"/>
      <c r="E8" s="4"/>
    </row>
    <row r="9" spans="1:6">
      <c r="A9" s="381">
        <v>1.3</v>
      </c>
      <c r="B9" s="342" t="s">
        <v>87</v>
      </c>
      <c r="C9" s="407">
        <v>197295226.26928523</v>
      </c>
      <c r="D9" s="72"/>
      <c r="E9" s="4"/>
    </row>
    <row r="10" spans="1:6">
      <c r="A10" s="381">
        <v>2</v>
      </c>
      <c r="B10" s="343" t="s">
        <v>698</v>
      </c>
      <c r="C10" s="416">
        <v>2531454.27</v>
      </c>
      <c r="D10" s="72"/>
      <c r="E10" s="4"/>
    </row>
    <row r="11" spans="1:6">
      <c r="A11" s="381">
        <v>2.1</v>
      </c>
      <c r="B11" s="344" t="s">
        <v>699</v>
      </c>
      <c r="C11" s="408">
        <v>2531454.27</v>
      </c>
      <c r="D11" s="73"/>
      <c r="E11" s="5"/>
    </row>
    <row r="12" spans="1:6" ht="23.55" customHeight="1">
      <c r="A12" s="381">
        <v>3</v>
      </c>
      <c r="B12" s="345" t="s">
        <v>700</v>
      </c>
      <c r="C12" s="415"/>
      <c r="D12" s="73"/>
      <c r="E12" s="5"/>
    </row>
    <row r="13" spans="1:6" ht="22.95" customHeight="1">
      <c r="A13" s="381">
        <v>4</v>
      </c>
      <c r="B13" s="346" t="s">
        <v>701</v>
      </c>
      <c r="C13" s="415"/>
      <c r="D13" s="73"/>
      <c r="E13" s="5"/>
    </row>
    <row r="14" spans="1:6">
      <c r="A14" s="381">
        <v>5</v>
      </c>
      <c r="B14" s="346" t="s">
        <v>702</v>
      </c>
      <c r="C14" s="415">
        <f>SUM(C15:C17)</f>
        <v>0</v>
      </c>
      <c r="D14" s="73"/>
      <c r="E14" s="5"/>
    </row>
    <row r="15" spans="1:6">
      <c r="A15" s="381">
        <v>5.0999999999999996</v>
      </c>
      <c r="B15" s="347" t="s">
        <v>703</v>
      </c>
      <c r="C15" s="407"/>
      <c r="D15" s="73"/>
      <c r="E15" s="4"/>
    </row>
    <row r="16" spans="1:6">
      <c r="A16" s="381">
        <v>5.2</v>
      </c>
      <c r="B16" s="347" t="s">
        <v>538</v>
      </c>
      <c r="C16" s="407"/>
      <c r="D16" s="72"/>
      <c r="E16" s="4"/>
    </row>
    <row r="17" spans="1:5">
      <c r="A17" s="381">
        <v>5.3</v>
      </c>
      <c r="B17" s="347" t="s">
        <v>704</v>
      </c>
      <c r="C17" s="407"/>
      <c r="D17" s="72"/>
      <c r="E17" s="4"/>
    </row>
    <row r="18" spans="1:5">
      <c r="A18" s="381">
        <v>6</v>
      </c>
      <c r="B18" s="345" t="s">
        <v>705</v>
      </c>
      <c r="C18" s="416">
        <f>SUM(C19:C20)</f>
        <v>3225262515.782042</v>
      </c>
      <c r="D18" s="72"/>
      <c r="E18" s="4"/>
    </row>
    <row r="19" spans="1:5">
      <c r="A19" s="381">
        <v>6.1</v>
      </c>
      <c r="B19" s="347" t="s">
        <v>538</v>
      </c>
      <c r="C19" s="408">
        <v>53383000.169999994</v>
      </c>
      <c r="D19" s="72"/>
      <c r="E19" s="4"/>
    </row>
    <row r="20" spans="1:5">
      <c r="A20" s="381">
        <v>6.2</v>
      </c>
      <c r="B20" s="347" t="s">
        <v>704</v>
      </c>
      <c r="C20" s="408">
        <v>3171879515.612042</v>
      </c>
      <c r="D20" s="72"/>
      <c r="E20" s="4"/>
    </row>
    <row r="21" spans="1:5">
      <c r="A21" s="381">
        <v>7</v>
      </c>
      <c r="B21" s="348" t="s">
        <v>706</v>
      </c>
      <c r="C21" s="415">
        <v>3589432.99</v>
      </c>
      <c r="D21" s="72"/>
      <c r="E21" s="4"/>
    </row>
    <row r="22" spans="1:5">
      <c r="A22" s="381">
        <v>8</v>
      </c>
      <c r="B22" s="349" t="s">
        <v>707</v>
      </c>
      <c r="C22" s="416"/>
      <c r="D22" s="72"/>
      <c r="E22" s="4"/>
    </row>
    <row r="23" spans="1:5">
      <c r="A23" s="381">
        <v>9</v>
      </c>
      <c r="B23" s="346" t="s">
        <v>708</v>
      </c>
      <c r="C23" s="416">
        <f>SUM(C24:C25)</f>
        <v>54883322.370000057</v>
      </c>
      <c r="D23" s="406"/>
      <c r="E23" s="4"/>
    </row>
    <row r="24" spans="1:5">
      <c r="A24" s="381">
        <v>9.1</v>
      </c>
      <c r="B24" s="350" t="s">
        <v>709</v>
      </c>
      <c r="C24" s="409">
        <v>54883322.370000057</v>
      </c>
      <c r="D24" s="74"/>
      <c r="E24" s="4"/>
    </row>
    <row r="25" spans="1:5">
      <c r="A25" s="381">
        <v>9.1999999999999993</v>
      </c>
      <c r="B25" s="350" t="s">
        <v>710</v>
      </c>
      <c r="C25" s="410"/>
      <c r="D25" s="405"/>
      <c r="E25" s="3"/>
    </row>
    <row r="26" spans="1:5">
      <c r="A26" s="381">
        <v>10</v>
      </c>
      <c r="B26" s="346" t="s">
        <v>36</v>
      </c>
      <c r="C26" s="417">
        <f>SUM(C27:C28)</f>
        <v>42420371.899999999</v>
      </c>
      <c r="D26" s="544" t="s">
        <v>1031</v>
      </c>
      <c r="E26" s="4"/>
    </row>
    <row r="27" spans="1:5">
      <c r="A27" s="381">
        <v>10.1</v>
      </c>
      <c r="B27" s="350" t="s">
        <v>711</v>
      </c>
      <c r="C27" s="407"/>
      <c r="D27" s="72"/>
      <c r="E27" s="4"/>
    </row>
    <row r="28" spans="1:5">
      <c r="A28" s="381">
        <v>10.199999999999999</v>
      </c>
      <c r="B28" s="350" t="s">
        <v>712</v>
      </c>
      <c r="C28" s="407">
        <v>42420371.899999999</v>
      </c>
      <c r="D28" s="72"/>
      <c r="E28" s="4"/>
    </row>
    <row r="29" spans="1:5">
      <c r="A29" s="381">
        <v>11</v>
      </c>
      <c r="B29" s="346" t="s">
        <v>713</v>
      </c>
      <c r="C29" s="416">
        <f>SUM(C30:C31)</f>
        <v>0</v>
      </c>
      <c r="D29" s="72"/>
      <c r="E29" s="4"/>
    </row>
    <row r="30" spans="1:5">
      <c r="A30" s="381">
        <v>11.1</v>
      </c>
      <c r="B30" s="350" t="s">
        <v>714</v>
      </c>
      <c r="C30" s="407"/>
      <c r="D30" s="72"/>
      <c r="E30" s="4"/>
    </row>
    <row r="31" spans="1:5">
      <c r="A31" s="381">
        <v>11.2</v>
      </c>
      <c r="B31" s="350" t="s">
        <v>715</v>
      </c>
      <c r="C31" s="407"/>
      <c r="D31" s="72"/>
      <c r="E31" s="4"/>
    </row>
    <row r="32" spans="1:5">
      <c r="A32" s="381">
        <v>13</v>
      </c>
      <c r="B32" s="346" t="s">
        <v>88</v>
      </c>
      <c r="C32" s="416">
        <v>59743133.56000001</v>
      </c>
      <c r="D32" s="72"/>
      <c r="E32" s="4"/>
    </row>
    <row r="33" spans="1:5">
      <c r="A33" s="381">
        <v>13.1</v>
      </c>
      <c r="B33" s="351" t="s">
        <v>716</v>
      </c>
      <c r="C33" s="407">
        <v>34805793.789999999</v>
      </c>
      <c r="D33" s="72"/>
      <c r="E33" s="4"/>
    </row>
    <row r="34" spans="1:5">
      <c r="A34" s="381">
        <v>13.2</v>
      </c>
      <c r="B34" s="351" t="s">
        <v>717</v>
      </c>
      <c r="C34" s="409"/>
      <c r="D34" s="74"/>
      <c r="E34" s="4"/>
    </row>
    <row r="35" spans="1:5">
      <c r="A35" s="381">
        <v>14</v>
      </c>
      <c r="B35" s="352" t="s">
        <v>718</v>
      </c>
      <c r="C35" s="418">
        <f>SUM(C6,C10,C12,C13,C14,C18,C21,C22,C23,C26,C29,C32)</f>
        <v>3912916778.9668274</v>
      </c>
      <c r="D35" s="74"/>
      <c r="E35" s="4"/>
    </row>
    <row r="36" spans="1:5">
      <c r="A36" s="381"/>
      <c r="B36" s="353" t="s">
        <v>93</v>
      </c>
      <c r="C36" s="150"/>
      <c r="D36" s="75"/>
      <c r="E36" s="4"/>
    </row>
    <row r="37" spans="1:5">
      <c r="A37" s="381">
        <v>15</v>
      </c>
      <c r="B37" s="354" t="s">
        <v>719</v>
      </c>
      <c r="C37" s="410">
        <v>8813229.4299999997</v>
      </c>
      <c r="D37" s="405"/>
      <c r="E37" s="3"/>
    </row>
    <row r="38" spans="1:5">
      <c r="A38" s="381">
        <v>15.1</v>
      </c>
      <c r="B38" s="356" t="s">
        <v>699</v>
      </c>
      <c r="C38" s="407">
        <v>8813229.4299999997</v>
      </c>
      <c r="D38" s="72"/>
      <c r="E38" s="4"/>
    </row>
    <row r="39" spans="1:5" ht="20.399999999999999">
      <c r="A39" s="381">
        <v>16</v>
      </c>
      <c r="B39" s="348" t="s">
        <v>720</v>
      </c>
      <c r="C39" s="416"/>
      <c r="D39" s="72"/>
      <c r="E39" s="4"/>
    </row>
    <row r="40" spans="1:5">
      <c r="A40" s="381">
        <v>17</v>
      </c>
      <c r="B40" s="348" t="s">
        <v>721</v>
      </c>
      <c r="C40" s="416">
        <f>SUM(C41:C44)</f>
        <v>3117032533.3973961</v>
      </c>
      <c r="D40" s="72"/>
      <c r="E40" s="4"/>
    </row>
    <row r="41" spans="1:5">
      <c r="A41" s="381">
        <v>17.100000000000001</v>
      </c>
      <c r="B41" s="357" t="s">
        <v>722</v>
      </c>
      <c r="C41" s="407">
        <v>1853276534.6373959</v>
      </c>
      <c r="D41" s="72"/>
      <c r="E41" s="4"/>
    </row>
    <row r="42" spans="1:5">
      <c r="A42" s="397">
        <v>17.2</v>
      </c>
      <c r="B42" s="398" t="s">
        <v>89</v>
      </c>
      <c r="C42" s="409">
        <v>1239358500.2400002</v>
      </c>
      <c r="D42" s="74"/>
      <c r="E42" s="4"/>
    </row>
    <row r="43" spans="1:5">
      <c r="A43" s="381">
        <v>17.3</v>
      </c>
      <c r="B43" s="399" t="s">
        <v>723</v>
      </c>
      <c r="C43" s="411">
        <v>0</v>
      </c>
      <c r="D43" s="400"/>
      <c r="E43" s="4"/>
    </row>
    <row r="44" spans="1:5">
      <c r="A44" s="381">
        <v>17.399999999999999</v>
      </c>
      <c r="B44" s="399" t="s">
        <v>724</v>
      </c>
      <c r="C44" s="411">
        <v>24397498.52</v>
      </c>
      <c r="D44" s="400"/>
      <c r="E44" s="4"/>
    </row>
    <row r="45" spans="1:5">
      <c r="A45" s="381">
        <v>18</v>
      </c>
      <c r="B45" s="365" t="s">
        <v>725</v>
      </c>
      <c r="C45" s="419">
        <v>2213912.61</v>
      </c>
      <c r="D45" s="400"/>
      <c r="E45" s="3"/>
    </row>
    <row r="46" spans="1:5">
      <c r="A46" s="381">
        <v>19</v>
      </c>
      <c r="B46" s="365" t="s">
        <v>726</v>
      </c>
      <c r="C46" s="416">
        <f>SUM(C47:C48)</f>
        <v>9069864.3300000019</v>
      </c>
      <c r="D46" s="401"/>
    </row>
    <row r="47" spans="1:5">
      <c r="A47" s="381">
        <v>19.100000000000001</v>
      </c>
      <c r="B47" s="402" t="s">
        <v>727</v>
      </c>
      <c r="C47" s="411">
        <v>2207732.6600000025</v>
      </c>
      <c r="D47" s="401"/>
    </row>
    <row r="48" spans="1:5">
      <c r="A48" s="381">
        <v>19.2</v>
      </c>
      <c r="B48" s="402" t="s">
        <v>728</v>
      </c>
      <c r="C48" s="411">
        <v>6862131.6699999999</v>
      </c>
      <c r="D48" s="544" t="s">
        <v>1031</v>
      </c>
    </row>
    <row r="49" spans="1:4">
      <c r="A49" s="381">
        <v>20</v>
      </c>
      <c r="B49" s="361" t="s">
        <v>90</v>
      </c>
      <c r="C49" s="416">
        <v>227319294.73000002</v>
      </c>
      <c r="D49" s="544" t="s">
        <v>1032</v>
      </c>
    </row>
    <row r="50" spans="1:4">
      <c r="A50" s="381">
        <v>21</v>
      </c>
      <c r="B50" s="362" t="s">
        <v>78</v>
      </c>
      <c r="C50" s="416">
        <v>54703872.379999995</v>
      </c>
      <c r="D50" s="401"/>
    </row>
    <row r="51" spans="1:4">
      <c r="A51" s="381">
        <v>21.1</v>
      </c>
      <c r="B51" s="358" t="s">
        <v>729</v>
      </c>
      <c r="C51" s="412"/>
      <c r="D51" s="401"/>
    </row>
    <row r="52" spans="1:4">
      <c r="A52" s="381">
        <v>22</v>
      </c>
      <c r="B52" s="361" t="s">
        <v>730</v>
      </c>
      <c r="C52" s="416">
        <f>SUM(C37,C39,C40,C45,C46,C49,C50)</f>
        <v>3419152706.8773961</v>
      </c>
      <c r="D52" s="401"/>
    </row>
    <row r="53" spans="1:4">
      <c r="A53" s="381"/>
      <c r="B53" s="363" t="s">
        <v>731</v>
      </c>
      <c r="C53" s="401"/>
      <c r="D53" s="401"/>
    </row>
    <row r="54" spans="1:4">
      <c r="A54" s="381">
        <v>23</v>
      </c>
      <c r="B54" s="361" t="s">
        <v>94</v>
      </c>
      <c r="C54" s="416">
        <v>5270620</v>
      </c>
      <c r="D54" s="544" t="s">
        <v>1033</v>
      </c>
    </row>
    <row r="55" spans="1:4">
      <c r="A55" s="381">
        <v>24</v>
      </c>
      <c r="B55" s="361" t="s">
        <v>732</v>
      </c>
      <c r="C55" s="420"/>
      <c r="D55" s="692"/>
    </row>
    <row r="56" spans="1:4">
      <c r="A56" s="381">
        <v>25</v>
      </c>
      <c r="B56" s="361" t="s">
        <v>91</v>
      </c>
      <c r="C56" s="416">
        <v>41797125.479999997</v>
      </c>
      <c r="D56" s="544" t="s">
        <v>1034</v>
      </c>
    </row>
    <row r="57" spans="1:4">
      <c r="A57" s="381">
        <v>26</v>
      </c>
      <c r="B57" s="365" t="s">
        <v>733</v>
      </c>
      <c r="C57" s="420"/>
      <c r="D57" s="401"/>
    </row>
    <row r="58" spans="1:4">
      <c r="A58" s="381">
        <v>27</v>
      </c>
      <c r="B58" s="365" t="s">
        <v>734</v>
      </c>
      <c r="C58" s="420">
        <f>SUM(C59:C60)</f>
        <v>0</v>
      </c>
      <c r="D58" s="401"/>
    </row>
    <row r="59" spans="1:4">
      <c r="A59" s="381">
        <v>27.1</v>
      </c>
      <c r="B59" s="402" t="s">
        <v>735</v>
      </c>
      <c r="C59" s="413"/>
      <c r="D59" s="401"/>
    </row>
    <row r="60" spans="1:4">
      <c r="A60" s="381">
        <v>27.2</v>
      </c>
      <c r="B60" s="399" t="s">
        <v>736</v>
      </c>
      <c r="C60" s="413"/>
      <c r="D60" s="401"/>
    </row>
    <row r="61" spans="1:4">
      <c r="A61" s="381">
        <v>28</v>
      </c>
      <c r="B61" s="362" t="s">
        <v>737</v>
      </c>
      <c r="C61" s="420"/>
      <c r="D61" s="401"/>
    </row>
    <row r="62" spans="1:4">
      <c r="A62" s="381">
        <v>29</v>
      </c>
      <c r="B62" s="365" t="s">
        <v>738</v>
      </c>
      <c r="C62" s="420">
        <f>SUM(C63:C65)</f>
        <v>0</v>
      </c>
      <c r="D62" s="401"/>
    </row>
    <row r="63" spans="1:4">
      <c r="A63" s="381">
        <v>29.1</v>
      </c>
      <c r="B63" s="403" t="s">
        <v>739</v>
      </c>
      <c r="C63" s="413"/>
      <c r="D63" s="401"/>
    </row>
    <row r="64" spans="1:4" ht="24" customHeight="1">
      <c r="A64" s="381">
        <v>29.2</v>
      </c>
      <c r="B64" s="402" t="s">
        <v>740</v>
      </c>
      <c r="C64" s="413"/>
      <c r="D64" s="401"/>
    </row>
    <row r="65" spans="1:4" ht="22.05" customHeight="1">
      <c r="A65" s="381">
        <v>29.3</v>
      </c>
      <c r="B65" s="404" t="s">
        <v>741</v>
      </c>
      <c r="C65" s="413"/>
      <c r="D65" s="401"/>
    </row>
    <row r="66" spans="1:4">
      <c r="A66" s="381">
        <v>30</v>
      </c>
      <c r="B66" s="365" t="s">
        <v>92</v>
      </c>
      <c r="C66" s="416">
        <v>446696326.19602871</v>
      </c>
      <c r="D66" s="544" t="s">
        <v>1035</v>
      </c>
    </row>
    <row r="67" spans="1:4">
      <c r="A67" s="381">
        <v>31</v>
      </c>
      <c r="B67" s="364" t="s">
        <v>742</v>
      </c>
      <c r="C67" s="416">
        <f>SUM(C54,C55,C56,C57,C58,C61,C62,C66)</f>
        <v>493764071.67602873</v>
      </c>
      <c r="D67" s="401"/>
    </row>
    <row r="68" spans="1:4">
      <c r="A68" s="381">
        <v>32</v>
      </c>
      <c r="B68" s="365" t="s">
        <v>743</v>
      </c>
      <c r="C68" s="416">
        <f>SUM(C52,C67)</f>
        <v>3912916778.5534248</v>
      </c>
      <c r="D68" s="401"/>
    </row>
  </sheetData>
  <pageMargins left="0.7" right="0.7" top="0.75" bottom="0.75" header="0.3" footer="0.3"/>
  <pageSetup paperSize="9" orientation="portrait" horizontalDpi="4294967295" verticalDpi="4294967295"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zoomScale="70" zoomScaleNormal="70" workbookViewId="0">
      <pane xSplit="2" ySplit="7" topLeftCell="C8" activePane="bottomRight" state="frozen"/>
      <selection pane="topRight" activeCell="C1" sqref="C1"/>
      <selection pane="bottomLeft" activeCell="A8" sqref="A8"/>
      <selection pane="bottomRight" activeCell="M8" activeCellId="1" sqref="C8 M8"/>
    </sheetView>
  </sheetViews>
  <sheetFormatPr defaultColWidth="9.21875" defaultRowHeight="13.8"/>
  <cols>
    <col min="1" max="1" width="15.109375" style="1" customWidth="1"/>
    <col min="2" max="2" width="46.109375" style="1" customWidth="1"/>
    <col min="3" max="3" width="11.33203125" style="1" bestFit="1" customWidth="1"/>
    <col min="4" max="4" width="13.21875" style="1" bestFit="1" customWidth="1"/>
    <col min="5" max="5" width="14" style="1" customWidth="1"/>
    <col min="6" max="6" width="10.6640625" style="1" customWidth="1"/>
    <col min="7" max="7" width="13.6640625" style="1" customWidth="1"/>
    <col min="8" max="8" width="13.21875" style="1" bestFit="1" customWidth="1"/>
    <col min="9" max="9" width="15.44140625" style="1" customWidth="1"/>
    <col min="10" max="10" width="8.88671875" style="1" customWidth="1"/>
    <col min="11" max="11" width="12.6640625" style="1" customWidth="1"/>
    <col min="12" max="12" width="11.21875" style="1" customWidth="1"/>
    <col min="13" max="13" width="14.5546875" style="1" customWidth="1"/>
    <col min="14" max="14" width="11" style="1" customWidth="1"/>
    <col min="15" max="15" width="13.44140625" style="1" customWidth="1"/>
    <col min="16" max="16" width="13.21875" style="1" bestFit="1" customWidth="1"/>
    <col min="17" max="17" width="9.44140625" style="1" bestFit="1" customWidth="1"/>
    <col min="18" max="18" width="13.21875" style="1" bestFit="1" customWidth="1"/>
    <col min="19" max="19" width="17" style="1" customWidth="1"/>
    <col min="20" max="16384" width="9.21875" style="8"/>
  </cols>
  <sheetData>
    <row r="1" spans="1:19" ht="14.4" customHeight="1">
      <c r="A1" s="1" t="s">
        <v>97</v>
      </c>
      <c r="B1" s="1" t="str">
        <f>Info!C2</f>
        <v>სს "კრედო ბანკი"</v>
      </c>
    </row>
    <row r="2" spans="1:19" ht="18.600000000000001" customHeight="1">
      <c r="A2" s="1" t="s">
        <v>98</v>
      </c>
      <c r="B2" s="275">
        <f>'1. key ratios'!B2</f>
        <v>46112</v>
      </c>
    </row>
    <row r="3" spans="1:19" ht="15.6" customHeight="1"/>
    <row r="4" spans="1:19" ht="39.6" customHeight="1" thickBot="1">
      <c r="A4" s="29" t="s">
        <v>248</v>
      </c>
      <c r="B4" s="166" t="s">
        <v>282</v>
      </c>
    </row>
    <row r="5" spans="1:19" ht="34.200000000000003" customHeight="1">
      <c r="A5" s="61"/>
      <c r="B5" s="63"/>
      <c r="C5" s="55" t="s">
        <v>0</v>
      </c>
      <c r="D5" s="55" t="s">
        <v>1</v>
      </c>
      <c r="E5" s="55" t="s">
        <v>2</v>
      </c>
      <c r="F5" s="55" t="s">
        <v>3</v>
      </c>
      <c r="G5" s="55" t="s">
        <v>4</v>
      </c>
      <c r="H5" s="55" t="s">
        <v>5</v>
      </c>
      <c r="I5" s="55" t="s">
        <v>134</v>
      </c>
      <c r="J5" s="55" t="s">
        <v>135</v>
      </c>
      <c r="K5" s="55" t="s">
        <v>136</v>
      </c>
      <c r="L5" s="55" t="s">
        <v>137</v>
      </c>
      <c r="M5" s="55" t="s">
        <v>138</v>
      </c>
      <c r="N5" s="55" t="s">
        <v>139</v>
      </c>
      <c r="O5" s="55" t="s">
        <v>269</v>
      </c>
      <c r="P5" s="55" t="s">
        <v>270</v>
      </c>
      <c r="Q5" s="55" t="s">
        <v>271</v>
      </c>
      <c r="R5" s="159" t="s">
        <v>272</v>
      </c>
      <c r="S5" s="56" t="s">
        <v>273</v>
      </c>
    </row>
    <row r="6" spans="1:19" ht="25.2" customHeight="1">
      <c r="A6" s="79"/>
      <c r="B6" s="816" t="s">
        <v>274</v>
      </c>
      <c r="C6" s="814">
        <v>0</v>
      </c>
      <c r="D6" s="815"/>
      <c r="E6" s="814">
        <v>0.2</v>
      </c>
      <c r="F6" s="815"/>
      <c r="G6" s="814">
        <v>0.35</v>
      </c>
      <c r="H6" s="815"/>
      <c r="I6" s="814">
        <v>0.5</v>
      </c>
      <c r="J6" s="815"/>
      <c r="K6" s="814">
        <v>0.75</v>
      </c>
      <c r="L6" s="815"/>
      <c r="M6" s="814">
        <v>1</v>
      </c>
      <c r="N6" s="815"/>
      <c r="O6" s="814">
        <v>1.5</v>
      </c>
      <c r="P6" s="815"/>
      <c r="Q6" s="814">
        <v>2.5</v>
      </c>
      <c r="R6" s="815"/>
      <c r="S6" s="812" t="s">
        <v>145</v>
      </c>
    </row>
    <row r="7" spans="1:19" ht="10.8" customHeight="1">
      <c r="A7" s="79"/>
      <c r="B7" s="817"/>
      <c r="C7" s="165" t="s">
        <v>267</v>
      </c>
      <c r="D7" s="165" t="s">
        <v>268</v>
      </c>
      <c r="E7" s="165" t="s">
        <v>267</v>
      </c>
      <c r="F7" s="165" t="s">
        <v>268</v>
      </c>
      <c r="G7" s="165" t="s">
        <v>267</v>
      </c>
      <c r="H7" s="165" t="s">
        <v>268</v>
      </c>
      <c r="I7" s="165" t="s">
        <v>267</v>
      </c>
      <c r="J7" s="165" t="s">
        <v>268</v>
      </c>
      <c r="K7" s="165" t="s">
        <v>267</v>
      </c>
      <c r="L7" s="165" t="s">
        <v>268</v>
      </c>
      <c r="M7" s="165" t="s">
        <v>267</v>
      </c>
      <c r="N7" s="165" t="s">
        <v>268</v>
      </c>
      <c r="O7" s="165" t="s">
        <v>267</v>
      </c>
      <c r="P7" s="165" t="s">
        <v>268</v>
      </c>
      <c r="Q7" s="165" t="s">
        <v>267</v>
      </c>
      <c r="R7" s="165" t="s">
        <v>268</v>
      </c>
      <c r="S7" s="813"/>
    </row>
    <row r="8" spans="1:19" ht="24" customHeight="1">
      <c r="A8" s="59">
        <v>1</v>
      </c>
      <c r="B8" s="34" t="s">
        <v>123</v>
      </c>
      <c r="C8" s="151">
        <v>213211518.44550049</v>
      </c>
      <c r="D8" s="151"/>
      <c r="E8" s="151"/>
      <c r="F8" s="160"/>
      <c r="G8" s="151"/>
      <c r="H8" s="151"/>
      <c r="I8" s="151"/>
      <c r="J8" s="151"/>
      <c r="K8" s="151"/>
      <c r="L8" s="151"/>
      <c r="M8" s="151">
        <v>69700736.980000004</v>
      </c>
      <c r="N8" s="151"/>
      <c r="O8" s="151"/>
      <c r="P8" s="151"/>
      <c r="Q8" s="151"/>
      <c r="R8" s="160"/>
      <c r="S8" s="168">
        <f>$C$6*SUM(C8:D8)+$E$6*SUM(E8:F8)+$G$6*SUM(G8:H8)+$I$6*SUM(I8:J8)+$K$6*SUM(K8:L8)+$M$6*SUM(M8:N8)+$O$6*SUM(O8:P8)+$Q$6*SUM(Q8:R8)</f>
        <v>69700736.980000004</v>
      </c>
    </row>
    <row r="9" spans="1:19" ht="41.4">
      <c r="A9" s="59">
        <v>2</v>
      </c>
      <c r="B9" s="34" t="s">
        <v>124</v>
      </c>
      <c r="C9" s="693"/>
      <c r="D9" s="151"/>
      <c r="E9" s="151"/>
      <c r="F9" s="151"/>
      <c r="G9" s="151"/>
      <c r="H9" s="151"/>
      <c r="I9" s="151"/>
      <c r="J9" s="151"/>
      <c r="K9" s="151"/>
      <c r="L9" s="151"/>
      <c r="M9" s="151"/>
      <c r="N9" s="151"/>
      <c r="O9" s="151"/>
      <c r="P9" s="151"/>
      <c r="Q9" s="151"/>
      <c r="R9" s="160"/>
      <c r="S9" s="168">
        <f t="shared" ref="S9:S21" si="0">$C$6*SUM(C9:D9)+$E$6*SUM(E9:F9)+$G$6*SUM(G9:H9)+$I$6*SUM(I9:J9)+$K$6*SUM(K9:L9)+$M$6*SUM(M9:N9)+$O$6*SUM(O9:P9)+$Q$6*SUM(Q9:R9)</f>
        <v>0</v>
      </c>
    </row>
    <row r="10" spans="1:19" ht="27.6">
      <c r="A10" s="59">
        <v>3</v>
      </c>
      <c r="B10" s="34" t="s">
        <v>125</v>
      </c>
      <c r="C10" s="693"/>
      <c r="D10" s="151"/>
      <c r="E10" s="151"/>
      <c r="F10" s="151"/>
      <c r="G10" s="151"/>
      <c r="H10" s="151"/>
      <c r="I10" s="151"/>
      <c r="J10" s="151"/>
      <c r="K10" s="151"/>
      <c r="L10" s="151"/>
      <c r="M10" s="151"/>
      <c r="N10" s="151"/>
      <c r="O10" s="151"/>
      <c r="P10" s="151"/>
      <c r="Q10" s="151"/>
      <c r="R10" s="160"/>
      <c r="S10" s="168">
        <f t="shared" si="0"/>
        <v>0</v>
      </c>
    </row>
    <row r="11" spans="1:19" ht="27.6">
      <c r="A11" s="59">
        <v>4</v>
      </c>
      <c r="B11" s="34" t="s">
        <v>126</v>
      </c>
      <c r="C11" s="151"/>
      <c r="D11" s="151"/>
      <c r="E11" s="151"/>
      <c r="F11" s="151"/>
      <c r="G11" s="151"/>
      <c r="H11" s="151"/>
      <c r="I11" s="151"/>
      <c r="J11" s="151"/>
      <c r="K11" s="151"/>
      <c r="L11" s="151"/>
      <c r="M11" s="151"/>
      <c r="N11" s="151"/>
      <c r="O11" s="151"/>
      <c r="P11" s="151"/>
      <c r="Q11" s="151"/>
      <c r="R11" s="160"/>
      <c r="S11" s="168">
        <f t="shared" si="0"/>
        <v>0</v>
      </c>
    </row>
    <row r="12" spans="1:19" ht="41.4">
      <c r="A12" s="59">
        <v>5</v>
      </c>
      <c r="B12" s="34" t="s">
        <v>911</v>
      </c>
      <c r="C12" s="151"/>
      <c r="D12" s="151"/>
      <c r="E12" s="151"/>
      <c r="F12" s="151"/>
      <c r="G12" s="151"/>
      <c r="H12" s="151"/>
      <c r="I12" s="151"/>
      <c r="J12" s="151"/>
      <c r="K12" s="151"/>
      <c r="L12" s="151"/>
      <c r="M12" s="151"/>
      <c r="N12" s="151"/>
      <c r="O12" s="151"/>
      <c r="P12" s="151"/>
      <c r="Q12" s="151"/>
      <c r="R12" s="160"/>
      <c r="S12" s="168">
        <f t="shared" si="0"/>
        <v>0</v>
      </c>
    </row>
    <row r="13" spans="1:19" ht="27.6">
      <c r="A13" s="59">
        <v>6</v>
      </c>
      <c r="B13" s="34" t="s">
        <v>127</v>
      </c>
      <c r="C13" s="151"/>
      <c r="D13" s="151"/>
      <c r="E13" s="151">
        <v>176087053.88</v>
      </c>
      <c r="F13" s="151"/>
      <c r="G13" s="151"/>
      <c r="H13" s="151"/>
      <c r="I13" s="151">
        <v>20985689.98</v>
      </c>
      <c r="J13" s="151"/>
      <c r="K13" s="151"/>
      <c r="L13" s="151"/>
      <c r="M13" s="151">
        <v>209321.04928523989</v>
      </c>
      <c r="N13" s="151"/>
      <c r="O13" s="151">
        <v>13161.36</v>
      </c>
      <c r="P13" s="151"/>
      <c r="Q13" s="151"/>
      <c r="R13" s="160"/>
      <c r="S13" s="168">
        <f t="shared" si="0"/>
        <v>45939318.855285242</v>
      </c>
    </row>
    <row r="14" spans="1:19" ht="27.6">
      <c r="A14" s="59">
        <v>7</v>
      </c>
      <c r="B14" s="34" t="s">
        <v>71</v>
      </c>
      <c r="C14" s="151"/>
      <c r="D14" s="151"/>
      <c r="E14" s="151"/>
      <c r="F14" s="151"/>
      <c r="G14" s="151"/>
      <c r="H14" s="151"/>
      <c r="I14" s="151"/>
      <c r="J14" s="151"/>
      <c r="K14" s="151"/>
      <c r="L14" s="151"/>
      <c r="M14" s="151">
        <v>119762509.09491897</v>
      </c>
      <c r="N14" s="151">
        <v>10080144.91</v>
      </c>
      <c r="O14" s="151"/>
      <c r="P14" s="151"/>
      <c r="Q14" s="151"/>
      <c r="R14" s="160"/>
      <c r="S14" s="168">
        <f t="shared" si="0"/>
        <v>129842654.00491896</v>
      </c>
    </row>
    <row r="15" spans="1:19" ht="26.4" customHeight="1">
      <c r="A15" s="59">
        <v>8</v>
      </c>
      <c r="B15" s="34" t="s">
        <v>72</v>
      </c>
      <c r="C15" s="151"/>
      <c r="D15" s="151"/>
      <c r="E15" s="151"/>
      <c r="F15" s="151"/>
      <c r="G15" s="151"/>
      <c r="H15" s="151"/>
      <c r="I15" s="151"/>
      <c r="J15" s="151"/>
      <c r="K15" s="151">
        <v>2898486899.6043754</v>
      </c>
      <c r="L15" s="151">
        <v>116035379.82753938</v>
      </c>
      <c r="M15" s="151"/>
      <c r="N15" s="151"/>
      <c r="O15" s="151"/>
      <c r="P15" s="151"/>
      <c r="Q15" s="151"/>
      <c r="R15" s="160"/>
      <c r="S15" s="168">
        <f t="shared" si="0"/>
        <v>2260891709.573936</v>
      </c>
    </row>
    <row r="16" spans="1:19" ht="41.4">
      <c r="A16" s="59">
        <v>9</v>
      </c>
      <c r="B16" s="34" t="s">
        <v>912</v>
      </c>
      <c r="C16" s="151"/>
      <c r="D16" s="151"/>
      <c r="E16" s="151"/>
      <c r="F16" s="151"/>
      <c r="G16" s="151">
        <v>149069779.79497072</v>
      </c>
      <c r="H16" s="151"/>
      <c r="I16" s="151"/>
      <c r="J16" s="151"/>
      <c r="K16" s="151"/>
      <c r="L16" s="151"/>
      <c r="M16" s="151"/>
      <c r="N16" s="151"/>
      <c r="O16" s="151"/>
      <c r="P16" s="151"/>
      <c r="Q16" s="151"/>
      <c r="R16" s="160"/>
      <c r="S16" s="168">
        <f t="shared" si="0"/>
        <v>52174422.928239748</v>
      </c>
    </row>
    <row r="17" spans="1:19" ht="28.8" customHeight="1">
      <c r="A17" s="59">
        <v>10</v>
      </c>
      <c r="B17" s="34" t="s">
        <v>67</v>
      </c>
      <c r="C17" s="151"/>
      <c r="D17" s="151"/>
      <c r="E17" s="151"/>
      <c r="F17" s="151"/>
      <c r="G17" s="151"/>
      <c r="H17" s="151"/>
      <c r="I17" s="151">
        <v>122432.40642613947</v>
      </c>
      <c r="J17" s="151"/>
      <c r="K17" s="151"/>
      <c r="L17" s="151"/>
      <c r="M17" s="151">
        <v>4437894.7112248428</v>
      </c>
      <c r="N17" s="151"/>
      <c r="O17" s="151"/>
      <c r="P17" s="151"/>
      <c r="Q17" s="151"/>
      <c r="R17" s="160"/>
      <c r="S17" s="168">
        <f t="shared" si="0"/>
        <v>4499110.9144379124</v>
      </c>
    </row>
    <row r="18" spans="1:19" ht="27.6">
      <c r="A18" s="59">
        <v>11</v>
      </c>
      <c r="B18" s="34" t="s">
        <v>68</v>
      </c>
      <c r="C18" s="151"/>
      <c r="D18" s="151"/>
      <c r="E18" s="151"/>
      <c r="F18" s="151"/>
      <c r="G18" s="151"/>
      <c r="H18" s="151"/>
      <c r="I18" s="151"/>
      <c r="J18" s="151"/>
      <c r="K18" s="151"/>
      <c r="L18" s="151"/>
      <c r="M18" s="151"/>
      <c r="N18" s="151"/>
      <c r="O18" s="151"/>
      <c r="P18" s="151"/>
      <c r="Q18" s="151"/>
      <c r="R18" s="160"/>
      <c r="S18" s="168">
        <f t="shared" si="0"/>
        <v>0</v>
      </c>
    </row>
    <row r="19" spans="1:19" ht="27.6">
      <c r="A19" s="59">
        <v>12</v>
      </c>
      <c r="B19" s="34" t="s">
        <v>69</v>
      </c>
      <c r="C19" s="151"/>
      <c r="D19" s="151"/>
      <c r="E19" s="151"/>
      <c r="F19" s="151"/>
      <c r="G19" s="151"/>
      <c r="H19" s="151"/>
      <c r="I19" s="151"/>
      <c r="J19" s="151"/>
      <c r="K19" s="151"/>
      <c r="L19" s="151"/>
      <c r="M19" s="151"/>
      <c r="N19" s="151"/>
      <c r="O19" s="151"/>
      <c r="P19" s="151"/>
      <c r="Q19" s="151"/>
      <c r="R19" s="160"/>
      <c r="S19" s="168">
        <f t="shared" si="0"/>
        <v>0</v>
      </c>
    </row>
    <row r="20" spans="1:19">
      <c r="A20" s="59">
        <v>13</v>
      </c>
      <c r="B20" s="34" t="s">
        <v>70</v>
      </c>
      <c r="C20" s="151"/>
      <c r="D20" s="151"/>
      <c r="E20" s="151"/>
      <c r="F20" s="151"/>
      <c r="G20" s="151"/>
      <c r="H20" s="151"/>
      <c r="I20" s="151"/>
      <c r="J20" s="151"/>
      <c r="K20" s="151"/>
      <c r="L20" s="151"/>
      <c r="M20" s="151"/>
      <c r="N20" s="151"/>
      <c r="O20" s="151"/>
      <c r="P20" s="151"/>
      <c r="Q20" s="151"/>
      <c r="R20" s="160"/>
      <c r="S20" s="168">
        <f t="shared" si="0"/>
        <v>0</v>
      </c>
    </row>
    <row r="21" spans="1:19">
      <c r="A21" s="59">
        <v>14</v>
      </c>
      <c r="B21" s="34" t="s">
        <v>143</v>
      </c>
      <c r="C21" s="151">
        <v>97662066.570000008</v>
      </c>
      <c r="D21" s="151"/>
      <c r="E21" s="151"/>
      <c r="F21" s="151"/>
      <c r="G21" s="151"/>
      <c r="H21" s="151"/>
      <c r="I21" s="151"/>
      <c r="J21" s="151"/>
      <c r="K21" s="151"/>
      <c r="L21" s="151"/>
      <c r="M21" s="151">
        <v>121982873.31000008</v>
      </c>
      <c r="N21" s="151"/>
      <c r="O21" s="151"/>
      <c r="P21" s="151"/>
      <c r="Q21" s="151">
        <v>3589432.99</v>
      </c>
      <c r="R21" s="160"/>
      <c r="S21" s="168">
        <f t="shared" si="0"/>
        <v>130956455.78500009</v>
      </c>
    </row>
    <row r="22" spans="1:19" ht="14.4" thickBot="1">
      <c r="A22" s="53"/>
      <c r="B22" s="83" t="s">
        <v>66</v>
      </c>
      <c r="C22" s="152">
        <f>SUM(C8:C21)</f>
        <v>310873585.01550049</v>
      </c>
      <c r="D22" s="152">
        <f t="shared" ref="D22:S22" si="1">SUM(D8:D21)</f>
        <v>0</v>
      </c>
      <c r="E22" s="152">
        <f t="shared" si="1"/>
        <v>176087053.88</v>
      </c>
      <c r="F22" s="152">
        <f t="shared" si="1"/>
        <v>0</v>
      </c>
      <c r="G22" s="152">
        <f t="shared" si="1"/>
        <v>149069779.79497072</v>
      </c>
      <c r="H22" s="152">
        <f t="shared" si="1"/>
        <v>0</v>
      </c>
      <c r="I22" s="152">
        <f t="shared" si="1"/>
        <v>21108122.38642614</v>
      </c>
      <c r="J22" s="152">
        <f t="shared" si="1"/>
        <v>0</v>
      </c>
      <c r="K22" s="152">
        <f t="shared" si="1"/>
        <v>2898486899.6043754</v>
      </c>
      <c r="L22" s="152">
        <f t="shared" si="1"/>
        <v>116035379.82753938</v>
      </c>
      <c r="M22" s="152">
        <f t="shared" si="1"/>
        <v>316093335.14542913</v>
      </c>
      <c r="N22" s="152">
        <f t="shared" si="1"/>
        <v>10080144.91</v>
      </c>
      <c r="O22" s="152">
        <f t="shared" si="1"/>
        <v>13161.36</v>
      </c>
      <c r="P22" s="152">
        <f t="shared" si="1"/>
        <v>0</v>
      </c>
      <c r="Q22" s="152">
        <f t="shared" si="1"/>
        <v>3589432.99</v>
      </c>
      <c r="R22" s="152">
        <f t="shared" si="1"/>
        <v>0</v>
      </c>
      <c r="S22" s="694">
        <f t="shared" si="1"/>
        <v>2694004409.0418177</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C9" activePane="bottomRight" state="frozen"/>
      <selection pane="topRight" activeCell="C1" sqref="C1"/>
      <selection pane="bottomLeft" activeCell="A6" sqref="A6"/>
      <selection pane="bottomRight" activeCell="D14" sqref="D14"/>
    </sheetView>
  </sheetViews>
  <sheetFormatPr defaultColWidth="9.21875" defaultRowHeight="13.8"/>
  <cols>
    <col min="1" max="1" width="10.5546875" style="1" bestFit="1" customWidth="1"/>
    <col min="2" max="2" width="97" style="1" bestFit="1" customWidth="1"/>
    <col min="3" max="3" width="19" style="1" customWidth="1"/>
    <col min="4" max="4" width="19.5546875" style="1" customWidth="1"/>
    <col min="5" max="5" width="31.21875" style="1" customWidth="1"/>
    <col min="6" max="6" width="29.21875" style="1" customWidth="1"/>
    <col min="7" max="7" width="28.5546875" style="1" customWidth="1"/>
    <col min="8" max="8" width="26.44140625" style="1" customWidth="1"/>
    <col min="9" max="9" width="23.77734375" style="1" customWidth="1"/>
    <col min="10" max="10" width="21.5546875" style="1" customWidth="1"/>
    <col min="11" max="11" width="15.77734375" style="1" customWidth="1"/>
    <col min="12" max="12" width="13.21875" style="1" customWidth="1"/>
    <col min="13" max="13" width="20.77734375" style="1" customWidth="1"/>
    <col min="14" max="14" width="19.21875" style="1" customWidth="1"/>
    <col min="15" max="15" width="18.44140625" style="1" customWidth="1"/>
    <col min="16" max="16" width="19" style="1" customWidth="1"/>
    <col min="17" max="17" width="20.21875" style="1" customWidth="1"/>
    <col min="18" max="18" width="18" style="1" customWidth="1"/>
    <col min="19" max="19" width="36" style="1" customWidth="1"/>
    <col min="20" max="20" width="19.44140625" style="1" customWidth="1"/>
    <col min="21" max="21" width="19.21875" style="1" customWidth="1"/>
    <col min="22" max="22" width="20" style="1" customWidth="1"/>
    <col min="23" max="16384" width="9.21875" style="8"/>
  </cols>
  <sheetData>
    <row r="1" spans="1:22">
      <c r="A1" s="1" t="s">
        <v>97</v>
      </c>
      <c r="B1" s="1" t="str">
        <f>Info!C2</f>
        <v>სს "კრედო ბანკი"</v>
      </c>
    </row>
    <row r="2" spans="1:22">
      <c r="A2" s="1" t="s">
        <v>98</v>
      </c>
      <c r="B2" s="275">
        <f>'1. key ratios'!B2</f>
        <v>46112</v>
      </c>
    </row>
    <row r="4" spans="1:22" ht="28.2" thickBot="1">
      <c r="A4" s="1" t="s">
        <v>249</v>
      </c>
      <c r="B4" s="166" t="s">
        <v>283</v>
      </c>
      <c r="V4" s="112" t="s">
        <v>76</v>
      </c>
    </row>
    <row r="5" spans="1:22">
      <c r="A5" s="51"/>
      <c r="B5" s="52"/>
      <c r="C5" s="818" t="s">
        <v>105</v>
      </c>
      <c r="D5" s="819"/>
      <c r="E5" s="819"/>
      <c r="F5" s="819"/>
      <c r="G5" s="819"/>
      <c r="H5" s="819"/>
      <c r="I5" s="819"/>
      <c r="J5" s="819"/>
      <c r="K5" s="819"/>
      <c r="L5" s="820"/>
      <c r="M5" s="818" t="s">
        <v>106</v>
      </c>
      <c r="N5" s="819"/>
      <c r="O5" s="819"/>
      <c r="P5" s="819"/>
      <c r="Q5" s="819"/>
      <c r="R5" s="819"/>
      <c r="S5" s="820"/>
      <c r="T5" s="823" t="s">
        <v>281</v>
      </c>
      <c r="U5" s="823" t="s">
        <v>280</v>
      </c>
      <c r="V5" s="821" t="s">
        <v>107</v>
      </c>
    </row>
    <row r="6" spans="1:22" s="29" customFormat="1" ht="138">
      <c r="A6" s="57"/>
      <c r="B6" s="89"/>
      <c r="C6" s="49" t="s">
        <v>108</v>
      </c>
      <c r="D6" s="48" t="s">
        <v>109</v>
      </c>
      <c r="E6" s="46" t="s">
        <v>110</v>
      </c>
      <c r="F6" s="46"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824"/>
      <c r="U6" s="824"/>
      <c r="V6" s="822"/>
    </row>
    <row r="7" spans="1:22">
      <c r="A7" s="82">
        <v>1</v>
      </c>
      <c r="B7" s="87" t="s">
        <v>123</v>
      </c>
      <c r="C7" s="153"/>
      <c r="D7" s="151"/>
      <c r="E7" s="151"/>
      <c r="F7" s="151"/>
      <c r="G7" s="151"/>
      <c r="H7" s="151"/>
      <c r="I7" s="151"/>
      <c r="J7" s="151"/>
      <c r="K7" s="151"/>
      <c r="L7" s="154"/>
      <c r="M7" s="153"/>
      <c r="N7" s="151"/>
      <c r="O7" s="151"/>
      <c r="P7" s="151"/>
      <c r="Q7" s="151"/>
      <c r="R7" s="151"/>
      <c r="S7" s="154"/>
      <c r="T7" s="163"/>
      <c r="U7" s="162"/>
      <c r="V7" s="155">
        <f>SUM(C7:S7)</f>
        <v>0</v>
      </c>
    </row>
    <row r="8" spans="1:22">
      <c r="A8" s="82">
        <v>2</v>
      </c>
      <c r="B8" s="87" t="s">
        <v>124</v>
      </c>
      <c r="C8" s="153"/>
      <c r="D8" s="151"/>
      <c r="E8" s="151"/>
      <c r="F8" s="151"/>
      <c r="G8" s="151"/>
      <c r="H8" s="151"/>
      <c r="I8" s="151"/>
      <c r="J8" s="151"/>
      <c r="K8" s="151"/>
      <c r="L8" s="154"/>
      <c r="M8" s="153"/>
      <c r="N8" s="151"/>
      <c r="O8" s="151"/>
      <c r="P8" s="151"/>
      <c r="Q8" s="151"/>
      <c r="R8" s="151"/>
      <c r="S8" s="154"/>
      <c r="T8" s="162"/>
      <c r="U8" s="162"/>
      <c r="V8" s="155">
        <f t="shared" ref="V8:V20" si="0">SUM(C8:S8)</f>
        <v>0</v>
      </c>
    </row>
    <row r="9" spans="1:22">
      <c r="A9" s="82">
        <v>3</v>
      </c>
      <c r="B9" s="87" t="s">
        <v>125</v>
      </c>
      <c r="C9" s="153"/>
      <c r="D9" s="151"/>
      <c r="E9" s="151"/>
      <c r="F9" s="151"/>
      <c r="G9" s="151"/>
      <c r="H9" s="151"/>
      <c r="I9" s="151"/>
      <c r="J9" s="151"/>
      <c r="K9" s="151"/>
      <c r="L9" s="154"/>
      <c r="M9" s="153"/>
      <c r="N9" s="151"/>
      <c r="O9" s="151"/>
      <c r="P9" s="151"/>
      <c r="Q9" s="151"/>
      <c r="R9" s="151"/>
      <c r="S9" s="154"/>
      <c r="T9" s="162"/>
      <c r="U9" s="162"/>
      <c r="V9" s="155">
        <f>SUM(C9:S9)</f>
        <v>0</v>
      </c>
    </row>
    <row r="10" spans="1:22">
      <c r="A10" s="82">
        <v>4</v>
      </c>
      <c r="B10" s="87" t="s">
        <v>126</v>
      </c>
      <c r="C10" s="153"/>
      <c r="D10" s="151"/>
      <c r="E10" s="151"/>
      <c r="F10" s="151"/>
      <c r="G10" s="151"/>
      <c r="H10" s="151"/>
      <c r="I10" s="151"/>
      <c r="J10" s="151"/>
      <c r="K10" s="151"/>
      <c r="L10" s="154"/>
      <c r="M10" s="153"/>
      <c r="N10" s="151"/>
      <c r="O10" s="151"/>
      <c r="P10" s="151"/>
      <c r="Q10" s="151"/>
      <c r="R10" s="151"/>
      <c r="S10" s="154"/>
      <c r="T10" s="162"/>
      <c r="U10" s="162"/>
      <c r="V10" s="155">
        <f t="shared" si="0"/>
        <v>0</v>
      </c>
    </row>
    <row r="11" spans="1:22">
      <c r="A11" s="82">
        <v>5</v>
      </c>
      <c r="B11" s="87" t="s">
        <v>911</v>
      </c>
      <c r="C11" s="153"/>
      <c r="D11" s="151"/>
      <c r="E11" s="151"/>
      <c r="F11" s="151"/>
      <c r="G11" s="151"/>
      <c r="H11" s="151"/>
      <c r="I11" s="151"/>
      <c r="J11" s="151"/>
      <c r="K11" s="151"/>
      <c r="L11" s="154"/>
      <c r="M11" s="153"/>
      <c r="N11" s="151"/>
      <c r="O11" s="151"/>
      <c r="P11" s="151"/>
      <c r="Q11" s="151"/>
      <c r="R11" s="151"/>
      <c r="S11" s="154"/>
      <c r="T11" s="162"/>
      <c r="U11" s="162"/>
      <c r="V11" s="155">
        <f t="shared" si="0"/>
        <v>0</v>
      </c>
    </row>
    <row r="12" spans="1:22">
      <c r="A12" s="82">
        <v>6</v>
      </c>
      <c r="B12" s="87" t="s">
        <v>127</v>
      </c>
      <c r="C12" s="153"/>
      <c r="D12" s="151"/>
      <c r="E12" s="151"/>
      <c r="F12" s="151"/>
      <c r="G12" s="151"/>
      <c r="H12" s="151"/>
      <c r="I12" s="151"/>
      <c r="J12" s="151"/>
      <c r="K12" s="151"/>
      <c r="L12" s="154"/>
      <c r="M12" s="153"/>
      <c r="N12" s="151"/>
      <c r="O12" s="151"/>
      <c r="P12" s="151"/>
      <c r="Q12" s="151"/>
      <c r="R12" s="151"/>
      <c r="S12" s="154"/>
      <c r="T12" s="162"/>
      <c r="U12" s="162"/>
      <c r="V12" s="155">
        <f t="shared" si="0"/>
        <v>0</v>
      </c>
    </row>
    <row r="13" spans="1:22">
      <c r="A13" s="82">
        <v>7</v>
      </c>
      <c r="B13" s="87" t="s">
        <v>71</v>
      </c>
      <c r="C13" s="153"/>
      <c r="D13" s="151"/>
      <c r="E13" s="151"/>
      <c r="F13" s="151"/>
      <c r="G13" s="151"/>
      <c r="H13" s="151"/>
      <c r="I13" s="151"/>
      <c r="J13" s="151"/>
      <c r="K13" s="151"/>
      <c r="L13" s="154"/>
      <c r="M13" s="153"/>
      <c r="N13" s="151"/>
      <c r="O13" s="151"/>
      <c r="P13" s="151"/>
      <c r="Q13" s="151"/>
      <c r="R13" s="151"/>
      <c r="S13" s="154"/>
      <c r="T13" s="162"/>
      <c r="U13" s="162"/>
      <c r="V13" s="155">
        <f t="shared" si="0"/>
        <v>0</v>
      </c>
    </row>
    <row r="14" spans="1:22">
      <c r="A14" s="82">
        <v>8</v>
      </c>
      <c r="B14" s="87" t="s">
        <v>72</v>
      </c>
      <c r="C14" s="153"/>
      <c r="D14" s="151">
        <v>1905550.0110000004</v>
      </c>
      <c r="E14" s="151"/>
      <c r="F14" s="151"/>
      <c r="G14" s="151"/>
      <c r="H14" s="151"/>
      <c r="I14" s="151"/>
      <c r="J14" s="151"/>
      <c r="K14" s="151"/>
      <c r="L14" s="154"/>
      <c r="M14" s="153"/>
      <c r="N14" s="151"/>
      <c r="O14" s="151"/>
      <c r="P14" s="151"/>
      <c r="Q14" s="151"/>
      <c r="R14" s="151"/>
      <c r="S14" s="154"/>
      <c r="T14" s="162"/>
      <c r="U14" s="162"/>
      <c r="V14" s="155">
        <f t="shared" si="0"/>
        <v>1905550.0110000004</v>
      </c>
    </row>
    <row r="15" spans="1:22">
      <c r="A15" s="82">
        <v>9</v>
      </c>
      <c r="B15" s="87" t="s">
        <v>912</v>
      </c>
      <c r="C15" s="153"/>
      <c r="D15" s="151"/>
      <c r="E15" s="151"/>
      <c r="F15" s="151"/>
      <c r="G15" s="151"/>
      <c r="H15" s="151"/>
      <c r="I15" s="151"/>
      <c r="J15" s="151"/>
      <c r="K15" s="151"/>
      <c r="L15" s="154"/>
      <c r="M15" s="153"/>
      <c r="N15" s="151"/>
      <c r="O15" s="151"/>
      <c r="P15" s="151"/>
      <c r="Q15" s="151"/>
      <c r="R15" s="151"/>
      <c r="S15" s="154"/>
      <c r="T15" s="162"/>
      <c r="U15" s="162"/>
      <c r="V15" s="155">
        <f t="shared" si="0"/>
        <v>0</v>
      </c>
    </row>
    <row r="16" spans="1:22">
      <c r="A16" s="82">
        <v>10</v>
      </c>
      <c r="B16" s="87" t="s">
        <v>67</v>
      </c>
      <c r="C16" s="153"/>
      <c r="D16" s="151"/>
      <c r="E16" s="151"/>
      <c r="F16" s="151"/>
      <c r="G16" s="151"/>
      <c r="H16" s="151"/>
      <c r="I16" s="151"/>
      <c r="J16" s="151"/>
      <c r="K16" s="151"/>
      <c r="L16" s="154"/>
      <c r="M16" s="153"/>
      <c r="N16" s="151"/>
      <c r="O16" s="151"/>
      <c r="P16" s="151"/>
      <c r="Q16" s="151"/>
      <c r="R16" s="151"/>
      <c r="S16" s="154"/>
      <c r="T16" s="162"/>
      <c r="U16" s="162"/>
      <c r="V16" s="155">
        <f t="shared" si="0"/>
        <v>0</v>
      </c>
    </row>
    <row r="17" spans="1:22">
      <c r="A17" s="82">
        <v>11</v>
      </c>
      <c r="B17" s="87" t="s">
        <v>68</v>
      </c>
      <c r="C17" s="153"/>
      <c r="D17" s="151"/>
      <c r="E17" s="151"/>
      <c r="F17" s="151"/>
      <c r="G17" s="151"/>
      <c r="H17" s="151"/>
      <c r="I17" s="151"/>
      <c r="J17" s="151"/>
      <c r="K17" s="151"/>
      <c r="L17" s="154"/>
      <c r="M17" s="153"/>
      <c r="N17" s="151"/>
      <c r="O17" s="151"/>
      <c r="P17" s="151"/>
      <c r="Q17" s="151"/>
      <c r="R17" s="151"/>
      <c r="S17" s="154"/>
      <c r="T17" s="162"/>
      <c r="U17" s="162"/>
      <c r="V17" s="155">
        <f t="shared" si="0"/>
        <v>0</v>
      </c>
    </row>
    <row r="18" spans="1:22">
      <c r="A18" s="82">
        <v>12</v>
      </c>
      <c r="B18" s="87" t="s">
        <v>69</v>
      </c>
      <c r="C18" s="153"/>
      <c r="D18" s="151"/>
      <c r="E18" s="151"/>
      <c r="F18" s="151"/>
      <c r="G18" s="151"/>
      <c r="H18" s="151"/>
      <c r="I18" s="151"/>
      <c r="J18" s="151"/>
      <c r="K18" s="151"/>
      <c r="L18" s="154"/>
      <c r="M18" s="153"/>
      <c r="N18" s="151"/>
      <c r="O18" s="151"/>
      <c r="P18" s="151"/>
      <c r="Q18" s="151"/>
      <c r="R18" s="151"/>
      <c r="S18" s="154"/>
      <c r="T18" s="162"/>
      <c r="U18" s="162"/>
      <c r="V18" s="155">
        <f t="shared" si="0"/>
        <v>0</v>
      </c>
    </row>
    <row r="19" spans="1:22">
      <c r="A19" s="82">
        <v>13</v>
      </c>
      <c r="B19" s="87" t="s">
        <v>70</v>
      </c>
      <c r="C19" s="153"/>
      <c r="D19" s="151"/>
      <c r="E19" s="151"/>
      <c r="F19" s="151"/>
      <c r="G19" s="151"/>
      <c r="H19" s="151"/>
      <c r="I19" s="151"/>
      <c r="J19" s="151"/>
      <c r="K19" s="151"/>
      <c r="L19" s="154"/>
      <c r="M19" s="153"/>
      <c r="N19" s="151"/>
      <c r="O19" s="151"/>
      <c r="P19" s="151"/>
      <c r="Q19" s="151"/>
      <c r="R19" s="151"/>
      <c r="S19" s="154"/>
      <c r="T19" s="162"/>
      <c r="U19" s="162"/>
      <c r="V19" s="155">
        <f t="shared" si="0"/>
        <v>0</v>
      </c>
    </row>
    <row r="20" spans="1:22">
      <c r="A20" s="82">
        <v>14</v>
      </c>
      <c r="B20" s="87" t="s">
        <v>143</v>
      </c>
      <c r="C20" s="153"/>
      <c r="D20" s="151"/>
      <c r="E20" s="151"/>
      <c r="F20" s="151"/>
      <c r="G20" s="151"/>
      <c r="H20" s="151"/>
      <c r="I20" s="151"/>
      <c r="J20" s="151"/>
      <c r="K20" s="151"/>
      <c r="L20" s="154"/>
      <c r="M20" s="153"/>
      <c r="N20" s="151"/>
      <c r="O20" s="151"/>
      <c r="P20" s="151"/>
      <c r="Q20" s="151"/>
      <c r="R20" s="151"/>
      <c r="S20" s="154"/>
      <c r="T20" s="162"/>
      <c r="U20" s="162"/>
      <c r="V20" s="155">
        <f t="shared" si="0"/>
        <v>0</v>
      </c>
    </row>
    <row r="21" spans="1:22" ht="14.4" thickBot="1">
      <c r="A21" s="53"/>
      <c r="B21" s="54" t="s">
        <v>66</v>
      </c>
      <c r="C21" s="156">
        <f>SUM(C7:C20)</f>
        <v>0</v>
      </c>
      <c r="D21" s="152">
        <f t="shared" ref="D21:V21" si="1">SUM(D7:D20)</f>
        <v>1905550.0110000004</v>
      </c>
      <c r="E21" s="152">
        <f t="shared" si="1"/>
        <v>0</v>
      </c>
      <c r="F21" s="152">
        <f t="shared" si="1"/>
        <v>0</v>
      </c>
      <c r="G21" s="152">
        <f t="shared" si="1"/>
        <v>0</v>
      </c>
      <c r="H21" s="152">
        <f t="shared" si="1"/>
        <v>0</v>
      </c>
      <c r="I21" s="152">
        <f t="shared" si="1"/>
        <v>0</v>
      </c>
      <c r="J21" s="152">
        <f t="shared" si="1"/>
        <v>0</v>
      </c>
      <c r="K21" s="152">
        <f t="shared" si="1"/>
        <v>0</v>
      </c>
      <c r="L21" s="157">
        <f t="shared" si="1"/>
        <v>0</v>
      </c>
      <c r="M21" s="156">
        <f t="shared" si="1"/>
        <v>0</v>
      </c>
      <c r="N21" s="152">
        <f t="shared" si="1"/>
        <v>0</v>
      </c>
      <c r="O21" s="152">
        <f t="shared" si="1"/>
        <v>0</v>
      </c>
      <c r="P21" s="152">
        <f t="shared" si="1"/>
        <v>0</v>
      </c>
      <c r="Q21" s="152">
        <f t="shared" si="1"/>
        <v>0</v>
      </c>
      <c r="R21" s="152">
        <f t="shared" si="1"/>
        <v>0</v>
      </c>
      <c r="S21" s="157">
        <f t="shared" si="1"/>
        <v>0</v>
      </c>
      <c r="T21" s="157">
        <f>SUM(T7:T20)</f>
        <v>0</v>
      </c>
      <c r="U21" s="157">
        <f t="shared" si="1"/>
        <v>0</v>
      </c>
      <c r="V21" s="158">
        <f t="shared" si="1"/>
        <v>1905550.0110000004</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H22" sqref="H22"/>
    </sheetView>
  </sheetViews>
  <sheetFormatPr defaultColWidth="9.21875" defaultRowHeight="13.8"/>
  <cols>
    <col min="1" max="1" width="10.5546875" style="1" bestFit="1" customWidth="1"/>
    <col min="2" max="2" width="101.77734375" style="1" customWidth="1"/>
    <col min="3" max="3" width="13.77734375" style="1" customWidth="1"/>
    <col min="4" max="4" width="14.77734375" style="1" bestFit="1" customWidth="1"/>
    <col min="5" max="5" width="17.77734375" style="1" customWidth="1"/>
    <col min="6" max="6" width="15.77734375" style="1" customWidth="1"/>
    <col min="7" max="7" width="17.44140625" style="1" customWidth="1"/>
    <col min="8" max="8" width="15.21875" style="1" customWidth="1"/>
    <col min="9" max="16384" width="9.21875" style="8"/>
  </cols>
  <sheetData>
    <row r="1" spans="1:9">
      <c r="A1" s="1" t="s">
        <v>97</v>
      </c>
      <c r="B1" s="1" t="str">
        <f>Info!C2</f>
        <v>სს "კრედო ბანკი"</v>
      </c>
    </row>
    <row r="2" spans="1:9">
      <c r="A2" s="1" t="s">
        <v>98</v>
      </c>
      <c r="B2" s="275">
        <f>'1. key ratios'!B2</f>
        <v>46112</v>
      </c>
    </row>
    <row r="4" spans="1:9" ht="14.4" thickBot="1">
      <c r="A4" s="1" t="s">
        <v>250</v>
      </c>
      <c r="B4" s="22" t="s">
        <v>284</v>
      </c>
    </row>
    <row r="5" spans="1:9">
      <c r="A5" s="51"/>
      <c r="B5" s="80"/>
      <c r="C5" s="84" t="s">
        <v>0</v>
      </c>
      <c r="D5" s="84" t="s">
        <v>1</v>
      </c>
      <c r="E5" s="84" t="s">
        <v>2</v>
      </c>
      <c r="F5" s="84" t="s">
        <v>3</v>
      </c>
      <c r="G5" s="161" t="s">
        <v>4</v>
      </c>
      <c r="H5" s="85" t="s">
        <v>5</v>
      </c>
      <c r="I5" s="18"/>
    </row>
    <row r="6" spans="1:9" ht="15" customHeight="1">
      <c r="A6" s="79"/>
      <c r="B6" s="16"/>
      <c r="C6" s="816" t="s">
        <v>276</v>
      </c>
      <c r="D6" s="827" t="s">
        <v>297</v>
      </c>
      <c r="E6" s="828"/>
      <c r="F6" s="816" t="s">
        <v>303</v>
      </c>
      <c r="G6" s="816" t="s">
        <v>304</v>
      </c>
      <c r="H6" s="825" t="s">
        <v>278</v>
      </c>
      <c r="I6" s="18"/>
    </row>
    <row r="7" spans="1:9" ht="69">
      <c r="A7" s="79"/>
      <c r="B7" s="16"/>
      <c r="C7" s="817"/>
      <c r="D7" s="164" t="s">
        <v>279</v>
      </c>
      <c r="E7" s="164" t="s">
        <v>277</v>
      </c>
      <c r="F7" s="817"/>
      <c r="G7" s="817"/>
      <c r="H7" s="826"/>
      <c r="I7" s="18"/>
    </row>
    <row r="8" spans="1:9">
      <c r="A8" s="44">
        <v>1</v>
      </c>
      <c r="B8" s="87" t="s">
        <v>123</v>
      </c>
      <c r="C8" s="151">
        <v>282912255.42550051</v>
      </c>
      <c r="D8" s="151"/>
      <c r="E8" s="151"/>
      <c r="F8" s="151">
        <v>69700736.980000004</v>
      </c>
      <c r="G8" s="160">
        <v>69700736.980000004</v>
      </c>
      <c r="H8" s="167">
        <f>G8/(C8+E8)</f>
        <v>0.24636874381836155</v>
      </c>
    </row>
    <row r="9" spans="1:9" ht="15" customHeight="1">
      <c r="A9" s="44">
        <v>2</v>
      </c>
      <c r="B9" s="87" t="s">
        <v>124</v>
      </c>
      <c r="C9" s="151">
        <v>0</v>
      </c>
      <c r="D9" s="151"/>
      <c r="E9" s="151"/>
      <c r="F9" s="151">
        <v>0</v>
      </c>
      <c r="G9" s="160">
        <v>0</v>
      </c>
      <c r="H9" s="167"/>
    </row>
    <row r="10" spans="1:9">
      <c r="A10" s="44">
        <v>3</v>
      </c>
      <c r="B10" s="87" t="s">
        <v>125</v>
      </c>
      <c r="C10" s="151">
        <v>0</v>
      </c>
      <c r="D10" s="151"/>
      <c r="E10" s="151"/>
      <c r="F10" s="151">
        <v>0</v>
      </c>
      <c r="G10" s="160">
        <v>0</v>
      </c>
      <c r="H10" s="167"/>
    </row>
    <row r="11" spans="1:9">
      <c r="A11" s="44">
        <v>4</v>
      </c>
      <c r="B11" s="87" t="s">
        <v>126</v>
      </c>
      <c r="C11" s="151">
        <v>0</v>
      </c>
      <c r="D11" s="151"/>
      <c r="E11" s="151"/>
      <c r="F11" s="151">
        <v>0</v>
      </c>
      <c r="G11" s="160">
        <v>0</v>
      </c>
      <c r="H11" s="167"/>
    </row>
    <row r="12" spans="1:9">
      <c r="A12" s="44">
        <v>5</v>
      </c>
      <c r="B12" s="87" t="s">
        <v>911</v>
      </c>
      <c r="C12" s="151">
        <v>0</v>
      </c>
      <c r="D12" s="151"/>
      <c r="E12" s="151"/>
      <c r="F12" s="151">
        <v>0</v>
      </c>
      <c r="G12" s="160">
        <v>0</v>
      </c>
      <c r="H12" s="167"/>
    </row>
    <row r="13" spans="1:9">
      <c r="A13" s="44">
        <v>6</v>
      </c>
      <c r="B13" s="87" t="s">
        <v>127</v>
      </c>
      <c r="C13" s="151">
        <v>197295226.26928523</v>
      </c>
      <c r="D13" s="151"/>
      <c r="E13" s="151"/>
      <c r="F13" s="151">
        <v>45939318.855285242</v>
      </c>
      <c r="G13" s="160">
        <v>45939318.855285242</v>
      </c>
      <c r="H13" s="167">
        <f t="shared" ref="H13:H21" si="0">G13/(C13+E13)</f>
        <v>0.23284556714303553</v>
      </c>
    </row>
    <row r="14" spans="1:9">
      <c r="A14" s="44">
        <v>7</v>
      </c>
      <c r="B14" s="87" t="s">
        <v>71</v>
      </c>
      <c r="C14" s="151">
        <v>119762509.09491897</v>
      </c>
      <c r="D14" s="151">
        <v>20160289.82</v>
      </c>
      <c r="E14" s="151">
        <v>10080144.91</v>
      </c>
      <c r="F14" s="151">
        <v>129842654.00491896</v>
      </c>
      <c r="G14" s="160">
        <v>129842654.00491896</v>
      </c>
      <c r="H14" s="167">
        <f>G14/(C14+E14)</f>
        <v>1</v>
      </c>
    </row>
    <row r="15" spans="1:9">
      <c r="A15" s="44">
        <v>8</v>
      </c>
      <c r="B15" s="87" t="s">
        <v>72</v>
      </c>
      <c r="C15" s="151">
        <v>2898486899.6043754</v>
      </c>
      <c r="D15" s="151">
        <v>446219408.25</v>
      </c>
      <c r="E15" s="151">
        <v>116035379.82753938</v>
      </c>
      <c r="F15" s="151">
        <v>2260891709.573936</v>
      </c>
      <c r="G15" s="160">
        <v>2258986159.5629358</v>
      </c>
      <c r="H15" s="167">
        <f t="shared" si="0"/>
        <v>0.74936787662045101</v>
      </c>
    </row>
    <row r="16" spans="1:9">
      <c r="A16" s="44">
        <v>9</v>
      </c>
      <c r="B16" s="87" t="s">
        <v>912</v>
      </c>
      <c r="C16" s="151">
        <v>149069779.79497072</v>
      </c>
      <c r="D16" s="151"/>
      <c r="E16" s="151"/>
      <c r="F16" s="151">
        <v>52174422.928239748</v>
      </c>
      <c r="G16" s="160">
        <v>52174422.928239748</v>
      </c>
      <c r="H16" s="167">
        <f t="shared" si="0"/>
        <v>0.35</v>
      </c>
    </row>
    <row r="17" spans="1:8">
      <c r="A17" s="44">
        <v>10</v>
      </c>
      <c r="B17" s="87" t="s">
        <v>67</v>
      </c>
      <c r="C17" s="151">
        <v>4560327.117650982</v>
      </c>
      <c r="D17" s="151"/>
      <c r="E17" s="151"/>
      <c r="F17" s="151">
        <v>4499110.9144379124</v>
      </c>
      <c r="G17" s="160">
        <v>4499110.9144379124</v>
      </c>
      <c r="H17" s="167">
        <f t="shared" si="0"/>
        <v>0.9865763569950653</v>
      </c>
    </row>
    <row r="18" spans="1:8">
      <c r="A18" s="44">
        <v>11</v>
      </c>
      <c r="B18" s="87" t="s">
        <v>68</v>
      </c>
      <c r="C18" s="151">
        <v>0</v>
      </c>
      <c r="D18" s="151"/>
      <c r="E18" s="151"/>
      <c r="F18" s="151">
        <v>0</v>
      </c>
      <c r="G18" s="160">
        <v>0</v>
      </c>
      <c r="H18" s="167"/>
    </row>
    <row r="19" spans="1:8">
      <c r="A19" s="44">
        <v>12</v>
      </c>
      <c r="B19" s="87" t="s">
        <v>69</v>
      </c>
      <c r="C19" s="151">
        <v>0</v>
      </c>
      <c r="D19" s="151"/>
      <c r="E19" s="151"/>
      <c r="F19" s="151">
        <v>0</v>
      </c>
      <c r="G19" s="160">
        <v>0</v>
      </c>
      <c r="H19" s="167"/>
    </row>
    <row r="20" spans="1:8">
      <c r="A20" s="44">
        <v>13</v>
      </c>
      <c r="B20" s="87" t="s">
        <v>70</v>
      </c>
      <c r="C20" s="151">
        <v>0</v>
      </c>
      <c r="D20" s="151"/>
      <c r="E20" s="151"/>
      <c r="F20" s="151">
        <v>0</v>
      </c>
      <c r="G20" s="160">
        <v>0</v>
      </c>
      <c r="H20" s="167"/>
    </row>
    <row r="21" spans="1:8">
      <c r="A21" s="44">
        <v>14</v>
      </c>
      <c r="B21" s="87" t="s">
        <v>143</v>
      </c>
      <c r="C21" s="151">
        <v>223234372.87000009</v>
      </c>
      <c r="D21" s="151"/>
      <c r="E21" s="151"/>
      <c r="F21" s="151">
        <v>130956455.78500009</v>
      </c>
      <c r="G21" s="160">
        <v>130956455.78500009</v>
      </c>
      <c r="H21" s="167">
        <f t="shared" si="0"/>
        <v>0.58663213062292252</v>
      </c>
    </row>
    <row r="22" spans="1:8" ht="14.4" thickBot="1">
      <c r="A22" s="81"/>
      <c r="B22" s="86" t="s">
        <v>66</v>
      </c>
      <c r="C22" s="152">
        <f>SUM(C8:C21)</f>
        <v>3875321370.1767015</v>
      </c>
      <c r="D22" s="152">
        <f>SUM(D8:D21)</f>
        <v>466379698.06999999</v>
      </c>
      <c r="E22" s="152">
        <f>SUM(E8:E21)</f>
        <v>126115524.73753938</v>
      </c>
      <c r="F22" s="152">
        <f>SUM(F8:F21)</f>
        <v>2694004409.0418177</v>
      </c>
      <c r="G22" s="152">
        <f>SUM(G8:G21)</f>
        <v>2692098859.030818</v>
      </c>
      <c r="H22" s="768">
        <f>G22/(C22+E22)</f>
        <v>0.67278303512731397</v>
      </c>
    </row>
    <row r="24" spans="1:8">
      <c r="G24" s="695"/>
      <c r="H24" s="695"/>
    </row>
    <row r="25" spans="1:8">
      <c r="H25" s="695"/>
    </row>
    <row r="26" spans="1:8">
      <c r="G26" s="695"/>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I19" sqref="I19:K20"/>
    </sheetView>
  </sheetViews>
  <sheetFormatPr defaultColWidth="9.21875" defaultRowHeight="13.8"/>
  <cols>
    <col min="1" max="1" width="10.5546875" style="1" bestFit="1" customWidth="1"/>
    <col min="2" max="2" width="104.21875" style="1" customWidth="1"/>
    <col min="3" max="11" width="12.77734375" style="1" customWidth="1"/>
    <col min="12" max="16384" width="9.21875" style="1"/>
  </cols>
  <sheetData>
    <row r="1" spans="1:11">
      <c r="A1" s="1" t="s">
        <v>97</v>
      </c>
      <c r="B1" s="1" t="str">
        <f>Info!C2</f>
        <v>სს "კრედო ბანკი"</v>
      </c>
    </row>
    <row r="2" spans="1:11">
      <c r="A2" s="1" t="s">
        <v>98</v>
      </c>
      <c r="B2" s="275">
        <f>'1. key ratios'!B2</f>
        <v>46112</v>
      </c>
    </row>
    <row r="4" spans="1:11" ht="14.4" thickBot="1">
      <c r="A4" s="1" t="s">
        <v>340</v>
      </c>
      <c r="B4" s="22" t="s">
        <v>339</v>
      </c>
    </row>
    <row r="5" spans="1:11" ht="30" customHeight="1">
      <c r="A5" s="832"/>
      <c r="B5" s="833"/>
      <c r="C5" s="830" t="s">
        <v>372</v>
      </c>
      <c r="D5" s="830"/>
      <c r="E5" s="830"/>
      <c r="F5" s="830" t="s">
        <v>373</v>
      </c>
      <c r="G5" s="830"/>
      <c r="H5" s="830"/>
      <c r="I5" s="830" t="s">
        <v>374</v>
      </c>
      <c r="J5" s="830"/>
      <c r="K5" s="831"/>
    </row>
    <row r="6" spans="1:11">
      <c r="A6" s="192"/>
      <c r="B6" s="193"/>
      <c r="C6" s="194" t="s">
        <v>26</v>
      </c>
      <c r="D6" s="194" t="s">
        <v>79</v>
      </c>
      <c r="E6" s="194" t="s">
        <v>66</v>
      </c>
      <c r="F6" s="194" t="s">
        <v>26</v>
      </c>
      <c r="G6" s="194" t="s">
        <v>79</v>
      </c>
      <c r="H6" s="194" t="s">
        <v>66</v>
      </c>
      <c r="I6" s="194" t="s">
        <v>26</v>
      </c>
      <c r="J6" s="194" t="s">
        <v>79</v>
      </c>
      <c r="K6" s="196" t="s">
        <v>66</v>
      </c>
    </row>
    <row r="7" spans="1:11">
      <c r="A7" s="197" t="s">
        <v>310</v>
      </c>
      <c r="B7" s="191"/>
      <c r="C7" s="191"/>
      <c r="D7" s="191"/>
      <c r="E7" s="191"/>
      <c r="F7" s="191"/>
      <c r="G7" s="191"/>
      <c r="H7" s="191"/>
      <c r="I7" s="191"/>
      <c r="J7" s="191"/>
      <c r="K7" s="198"/>
    </row>
    <row r="8" spans="1:11">
      <c r="A8" s="190">
        <v>1</v>
      </c>
      <c r="B8" s="174" t="s">
        <v>310</v>
      </c>
      <c r="C8" s="172"/>
      <c r="D8" s="172"/>
      <c r="E8" s="172"/>
      <c r="F8" s="175">
        <v>271587987.16342354</v>
      </c>
      <c r="G8" s="175">
        <v>308311878.05026561</v>
      </c>
      <c r="H8" s="702">
        <f>F8+G8</f>
        <v>579899865.21368909</v>
      </c>
      <c r="I8" s="705">
        <v>158120238.55053467</v>
      </c>
      <c r="J8" s="705">
        <v>103873069.27404355</v>
      </c>
      <c r="K8" s="706">
        <f>I8+J8</f>
        <v>261993307.82457823</v>
      </c>
    </row>
    <row r="9" spans="1:11">
      <c r="A9" s="197" t="s">
        <v>311</v>
      </c>
      <c r="B9" s="191"/>
      <c r="C9" s="191"/>
      <c r="D9" s="191"/>
      <c r="E9" s="191"/>
      <c r="F9" s="191"/>
      <c r="G9" s="191"/>
      <c r="H9" s="191"/>
      <c r="I9" s="698"/>
      <c r="J9" s="698"/>
      <c r="K9" s="706"/>
    </row>
    <row r="10" spans="1:11">
      <c r="A10" s="199">
        <v>2</v>
      </c>
      <c r="B10" s="176" t="s">
        <v>312</v>
      </c>
      <c r="C10" s="292">
        <v>618255905.78128862</v>
      </c>
      <c r="D10" s="696">
        <v>474883259.82306927</v>
      </c>
      <c r="E10" s="702">
        <f>C10+D10</f>
        <v>1093139165.604358</v>
      </c>
      <c r="F10" s="696">
        <v>111284321.47944108</v>
      </c>
      <c r="G10" s="696">
        <v>140676731.00991458</v>
      </c>
      <c r="H10" s="702">
        <f t="shared" ref="H10:H15" si="0">F10+G10</f>
        <v>251961052.48935565</v>
      </c>
      <c r="I10" s="696">
        <v>31639043.482711092</v>
      </c>
      <c r="J10" s="696">
        <v>40741442.781490594</v>
      </c>
      <c r="K10" s="706">
        <f t="shared" ref="K10:K15" si="1">I10+J10</f>
        <v>72380486.264201686</v>
      </c>
    </row>
    <row r="11" spans="1:11">
      <c r="A11" s="199">
        <v>3</v>
      </c>
      <c r="B11" s="176" t="s">
        <v>313</v>
      </c>
      <c r="C11" s="292">
        <v>1456856557.9008892</v>
      </c>
      <c r="D11" s="696">
        <v>512720832.21951228</v>
      </c>
      <c r="E11" s="702">
        <f t="shared" ref="E11:E15" si="2">C11+D11</f>
        <v>1969577390.1204014</v>
      </c>
      <c r="F11" s="696">
        <v>97602016.736097291</v>
      </c>
      <c r="G11" s="696">
        <v>16354600.348369611</v>
      </c>
      <c r="H11" s="702">
        <f t="shared" si="0"/>
        <v>113956617.0844669</v>
      </c>
      <c r="I11" s="696">
        <v>84607539.357511058</v>
      </c>
      <c r="J11" s="696">
        <v>16052316.645466</v>
      </c>
      <c r="K11" s="706">
        <f t="shared" si="1"/>
        <v>100659856.00297706</v>
      </c>
    </row>
    <row r="12" spans="1:11">
      <c r="A12" s="199">
        <v>4</v>
      </c>
      <c r="B12" s="176" t="s">
        <v>314</v>
      </c>
      <c r="C12" s="292">
        <v>50555555.555555552</v>
      </c>
      <c r="D12" s="696">
        <v>0</v>
      </c>
      <c r="E12" s="702">
        <f t="shared" si="2"/>
        <v>50555555.555555552</v>
      </c>
      <c r="F12" s="696"/>
      <c r="G12" s="696"/>
      <c r="H12" s="702">
        <f t="shared" si="0"/>
        <v>0</v>
      </c>
      <c r="I12" s="696"/>
      <c r="J12" s="696"/>
      <c r="K12" s="706">
        <f t="shared" si="1"/>
        <v>0</v>
      </c>
    </row>
    <row r="13" spans="1:11">
      <c r="A13" s="199">
        <v>5</v>
      </c>
      <c r="B13" s="176" t="s">
        <v>315</v>
      </c>
      <c r="C13" s="292">
        <v>421376956.93711114</v>
      </c>
      <c r="D13" s="696">
        <v>42131964.70977775</v>
      </c>
      <c r="E13" s="702">
        <f t="shared" si="2"/>
        <v>463508921.64688891</v>
      </c>
      <c r="F13" s="696">
        <v>67670560.081277788</v>
      </c>
      <c r="G13" s="696">
        <v>8058639.988692224</v>
      </c>
      <c r="H13" s="702">
        <f t="shared" si="0"/>
        <v>75729200.069970012</v>
      </c>
      <c r="I13" s="696">
        <v>21068847.846855555</v>
      </c>
      <c r="J13" s="696">
        <v>3328306.4235444451</v>
      </c>
      <c r="K13" s="706">
        <f t="shared" si="1"/>
        <v>24397154.270399999</v>
      </c>
    </row>
    <row r="14" spans="1:11">
      <c r="A14" s="199">
        <v>6</v>
      </c>
      <c r="B14" s="176" t="s">
        <v>330</v>
      </c>
      <c r="C14" s="292"/>
      <c r="D14" s="696"/>
      <c r="E14" s="702">
        <f t="shared" si="2"/>
        <v>0</v>
      </c>
      <c r="F14" s="696"/>
      <c r="G14" s="696"/>
      <c r="H14" s="702">
        <f t="shared" si="0"/>
        <v>0</v>
      </c>
      <c r="I14" s="696"/>
      <c r="J14" s="696"/>
      <c r="K14" s="706">
        <f t="shared" si="1"/>
        <v>0</v>
      </c>
    </row>
    <row r="15" spans="1:11">
      <c r="A15" s="199">
        <v>7</v>
      </c>
      <c r="B15" s="176" t="s">
        <v>317</v>
      </c>
      <c r="C15" s="292">
        <v>9598464.0324444436</v>
      </c>
      <c r="D15" s="696">
        <v>2942405.0197777776</v>
      </c>
      <c r="E15" s="702">
        <f t="shared" si="2"/>
        <v>12540869.052222222</v>
      </c>
      <c r="F15" s="696">
        <v>9598464.0324444436</v>
      </c>
      <c r="G15" s="696">
        <v>2942405.0197777776</v>
      </c>
      <c r="H15" s="702">
        <f t="shared" si="0"/>
        <v>12540869.052222222</v>
      </c>
      <c r="I15" s="696">
        <v>9598464.0324444436</v>
      </c>
      <c r="J15" s="696">
        <v>2942405.0197777776</v>
      </c>
      <c r="K15" s="706">
        <f t="shared" si="1"/>
        <v>12540869.052222222</v>
      </c>
    </row>
    <row r="16" spans="1:11">
      <c r="A16" s="199">
        <v>8</v>
      </c>
      <c r="B16" s="177" t="s">
        <v>318</v>
      </c>
      <c r="C16" s="684">
        <f>SUM(C10:C15)</f>
        <v>2556643440.2072892</v>
      </c>
      <c r="D16" s="684">
        <f t="shared" ref="D16:E16" si="3">SUM(D10:D15)</f>
        <v>1032678461.772137</v>
      </c>
      <c r="E16" s="684">
        <f t="shared" si="3"/>
        <v>3589321901.9794254</v>
      </c>
      <c r="F16" s="702">
        <f>SUM(F10:F15)</f>
        <v>286155362.32926059</v>
      </c>
      <c r="G16" s="702">
        <f>SUM(G10:G15)</f>
        <v>168032376.36675417</v>
      </c>
      <c r="H16" s="702">
        <f>SUM(H10:H15)</f>
        <v>454187738.69601476</v>
      </c>
      <c r="I16" s="702">
        <f>SUM(I10:I15)</f>
        <v>146913894.71952215</v>
      </c>
      <c r="J16" s="702">
        <f t="shared" ref="J16:K16" si="4">SUM(J10:J15)</f>
        <v>63064470.870278813</v>
      </c>
      <c r="K16" s="702">
        <f t="shared" si="4"/>
        <v>209978365.58980095</v>
      </c>
    </row>
    <row r="17" spans="1:11">
      <c r="A17" s="197" t="s">
        <v>319</v>
      </c>
      <c r="B17" s="191"/>
      <c r="C17" s="698"/>
      <c r="D17" s="698"/>
      <c r="E17" s="698"/>
      <c r="F17" s="698"/>
      <c r="G17" s="698"/>
      <c r="H17" s="698"/>
      <c r="I17" s="698"/>
      <c r="J17" s="698"/>
      <c r="K17" s="699"/>
    </row>
    <row r="18" spans="1:11">
      <c r="A18" s="199">
        <v>9</v>
      </c>
      <c r="B18" s="176" t="s">
        <v>320</v>
      </c>
      <c r="C18" s="292">
        <v>0</v>
      </c>
      <c r="D18" s="696">
        <v>0</v>
      </c>
      <c r="E18" s="702">
        <f t="shared" ref="E18:E20" si="5">C18+D18</f>
        <v>0</v>
      </c>
      <c r="F18" s="696"/>
      <c r="G18" s="696"/>
      <c r="H18" s="702">
        <f t="shared" ref="H18:H20" si="6">F18+G18</f>
        <v>0</v>
      </c>
      <c r="I18" s="696"/>
      <c r="J18" s="696"/>
      <c r="K18" s="697">
        <f>I18+J18</f>
        <v>0</v>
      </c>
    </row>
    <row r="19" spans="1:11">
      <c r="A19" s="199">
        <v>10</v>
      </c>
      <c r="B19" s="176" t="s">
        <v>321</v>
      </c>
      <c r="C19" s="292">
        <v>2575002721.6195736</v>
      </c>
      <c r="D19" s="696">
        <v>318080100.66211176</v>
      </c>
      <c r="E19" s="702">
        <f t="shared" si="5"/>
        <v>2893082822.2816854</v>
      </c>
      <c r="F19" s="696">
        <v>55003581.859552868</v>
      </c>
      <c r="G19" s="696">
        <v>3625722.2803611727</v>
      </c>
      <c r="H19" s="702">
        <f t="shared" si="6"/>
        <v>58629304.139914043</v>
      </c>
      <c r="I19" s="696">
        <v>168471330.47244176</v>
      </c>
      <c r="J19" s="696">
        <v>210154428.22402772</v>
      </c>
      <c r="K19" s="697">
        <v>378625758.69646949</v>
      </c>
    </row>
    <row r="20" spans="1:11">
      <c r="A20" s="199">
        <v>11</v>
      </c>
      <c r="B20" s="176" t="s">
        <v>322</v>
      </c>
      <c r="C20" s="292">
        <v>348393.08333333279</v>
      </c>
      <c r="D20" s="696">
        <v>0</v>
      </c>
      <c r="E20" s="702">
        <f t="shared" si="5"/>
        <v>348393.08333333279</v>
      </c>
      <c r="F20" s="696">
        <v>286484.76111111091</v>
      </c>
      <c r="G20" s="696">
        <v>0</v>
      </c>
      <c r="H20" s="702">
        <f t="shared" si="6"/>
        <v>286484.76111111091</v>
      </c>
      <c r="I20" s="696">
        <v>286484.76111111091</v>
      </c>
      <c r="J20" s="696">
        <v>0</v>
      </c>
      <c r="K20" s="697">
        <v>286484.76111111091</v>
      </c>
    </row>
    <row r="21" spans="1:11" ht="14.4" thickBot="1">
      <c r="A21" s="120">
        <v>12</v>
      </c>
      <c r="B21" s="200" t="s">
        <v>323</v>
      </c>
      <c r="C21" s="700">
        <f>SUM(C18:C20)</f>
        <v>2575351114.7029071</v>
      </c>
      <c r="D21" s="700">
        <f t="shared" ref="D21:E21" si="7">SUM(D18:D20)</f>
        <v>318080100.66211176</v>
      </c>
      <c r="E21" s="703">
        <f t="shared" si="7"/>
        <v>2893431215.3650188</v>
      </c>
      <c r="F21" s="701">
        <f>SUM(F19:F20)</f>
        <v>55290066.620663978</v>
      </c>
      <c r="G21" s="701">
        <f>SUM(G19:G20)</f>
        <v>3625722.2803611727</v>
      </c>
      <c r="H21" s="704">
        <f>SUM(H18:H20)</f>
        <v>58915788.901025154</v>
      </c>
      <c r="I21" s="701">
        <f>SUM(I19:I20)</f>
        <v>168757815.23355287</v>
      </c>
      <c r="J21" s="701">
        <f>SUM(J19:J20)</f>
        <v>210154428.22402772</v>
      </c>
      <c r="K21" s="707">
        <f t="shared" ref="K21" si="8">I21+J21</f>
        <v>378912243.45758057</v>
      </c>
    </row>
    <row r="22" spans="1:11" ht="38.25" customHeight="1" thickBot="1">
      <c r="A22" s="188"/>
      <c r="B22" s="189"/>
      <c r="C22" s="189"/>
      <c r="D22" s="189"/>
      <c r="E22" s="189"/>
      <c r="F22" s="829" t="s">
        <v>324</v>
      </c>
      <c r="G22" s="830"/>
      <c r="H22" s="830"/>
      <c r="I22" s="829" t="s">
        <v>325</v>
      </c>
      <c r="J22" s="830"/>
      <c r="K22" s="831"/>
    </row>
    <row r="23" spans="1:11">
      <c r="A23" s="181">
        <v>13</v>
      </c>
      <c r="B23" s="178" t="s">
        <v>310</v>
      </c>
      <c r="C23" s="187"/>
      <c r="D23" s="187"/>
      <c r="E23" s="187"/>
      <c r="F23" s="708">
        <f>F8</f>
        <v>271587987.16342354</v>
      </c>
      <c r="G23" s="708">
        <f>G8</f>
        <v>308311878.05026561</v>
      </c>
      <c r="H23" s="709">
        <f>F23+G23</f>
        <v>579899865.21368909</v>
      </c>
      <c r="I23" s="708">
        <f>I8</f>
        <v>158120238.55053467</v>
      </c>
      <c r="J23" s="708">
        <f>J8</f>
        <v>103873069.27404355</v>
      </c>
      <c r="K23" s="716">
        <f>I23+J23</f>
        <v>261993307.82457823</v>
      </c>
    </row>
    <row r="24" spans="1:11" ht="14.4" thickBot="1">
      <c r="A24" s="182">
        <v>14</v>
      </c>
      <c r="B24" s="179" t="s">
        <v>326</v>
      </c>
      <c r="C24" s="201"/>
      <c r="D24" s="185"/>
      <c r="E24" s="186"/>
      <c r="F24" s="710">
        <f>MAX(F16-F21,F16*0.25)</f>
        <v>230865295.70859662</v>
      </c>
      <c r="G24" s="710">
        <f t="shared" ref="G24:H24" si="9">MAX(G16-G21,G16*0.25)</f>
        <v>164406654.086393</v>
      </c>
      <c r="H24" s="710">
        <f t="shared" si="9"/>
        <v>395271949.79498959</v>
      </c>
      <c r="I24" s="710">
        <f>MAX(I16-I21,I16*0.25)</f>
        <v>36728473.679880537</v>
      </c>
      <c r="J24" s="710">
        <f t="shared" ref="J24:K24" si="10">MAX(J16-J21,J16*0.25)</f>
        <v>15766117.717569703</v>
      </c>
      <c r="K24" s="717">
        <f t="shared" si="10"/>
        <v>52494591.397450238</v>
      </c>
    </row>
    <row r="25" spans="1:11" ht="14.4" thickBot="1">
      <c r="A25" s="183">
        <v>15</v>
      </c>
      <c r="B25" s="180" t="s">
        <v>327</v>
      </c>
      <c r="C25" s="184"/>
      <c r="D25" s="184"/>
      <c r="E25" s="184"/>
      <c r="F25" s="711">
        <f t="shared" ref="F25:K25" si="11">F23/F24</f>
        <v>1.1763915677747774</v>
      </c>
      <c r="G25" s="711">
        <f t="shared" si="11"/>
        <v>1.8753004844211036</v>
      </c>
      <c r="H25" s="711">
        <f t="shared" si="11"/>
        <v>1.4670908611513112</v>
      </c>
      <c r="I25" s="711">
        <f t="shared" si="11"/>
        <v>4.3051132461611452</v>
      </c>
      <c r="J25" s="711">
        <f t="shared" si="11"/>
        <v>6.5883733164244855</v>
      </c>
      <c r="K25" s="718">
        <f t="shared" si="11"/>
        <v>4.9908628841580764</v>
      </c>
    </row>
    <row r="28" spans="1:11" ht="41.4">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B4" activePane="bottomRight" state="frozen"/>
      <selection pane="topRight" activeCell="B1" sqref="B1"/>
      <selection pane="bottomLeft" activeCell="A5" sqref="A5"/>
      <selection pane="bottomRight" activeCell="D7" sqref="D7"/>
    </sheetView>
  </sheetViews>
  <sheetFormatPr defaultColWidth="9.21875" defaultRowHeight="13.8"/>
  <cols>
    <col min="1" max="1" width="10.5546875" style="30" bestFit="1" customWidth="1"/>
    <col min="2" max="2" width="95" style="30" customWidth="1"/>
    <col min="3" max="9" width="15" style="30" customWidth="1"/>
    <col min="10" max="14" width="18.5546875" style="30" customWidth="1"/>
    <col min="15" max="17" width="18.5546875" style="8" customWidth="1"/>
    <col min="18" max="16384" width="9.21875" style="8"/>
  </cols>
  <sheetData>
    <row r="1" spans="1:17">
      <c r="A1" s="12" t="s">
        <v>97</v>
      </c>
      <c r="B1" s="30">
        <f>[4]Info!C2</f>
        <v>0</v>
      </c>
    </row>
    <row r="2" spans="1:17">
      <c r="A2" s="30" t="s">
        <v>98</v>
      </c>
      <c r="B2" s="275">
        <f>'[4]1. key ratios'!B2</f>
        <v>45747</v>
      </c>
    </row>
    <row r="3" spans="1:17">
      <c r="B3" s="8"/>
      <c r="C3" s="8"/>
      <c r="D3" s="8"/>
      <c r="E3" s="8"/>
      <c r="F3" s="8"/>
      <c r="G3" s="8"/>
      <c r="H3" s="8"/>
      <c r="I3" s="8"/>
      <c r="J3" s="8"/>
      <c r="K3" s="8"/>
      <c r="L3" s="8"/>
      <c r="M3" s="8"/>
      <c r="N3" s="8"/>
    </row>
    <row r="4" spans="1:17" ht="14.4">
      <c r="B4" s="622" t="s">
        <v>979</v>
      </c>
      <c r="C4" s="8"/>
      <c r="D4" s="8"/>
      <c r="E4" s="8"/>
      <c r="F4" s="8"/>
      <c r="G4" s="8"/>
      <c r="H4" s="8"/>
      <c r="I4" s="8"/>
      <c r="J4" s="8"/>
      <c r="K4" s="8"/>
      <c r="L4" s="8"/>
      <c r="M4" s="8"/>
      <c r="N4" s="8"/>
    </row>
    <row r="5" spans="1:17" ht="86.4">
      <c r="B5" s="623" t="s">
        <v>980</v>
      </c>
      <c r="C5" s="624" t="s">
        <v>981</v>
      </c>
      <c r="D5" s="624" t="s">
        <v>982</v>
      </c>
      <c r="E5" s="624" t="s">
        <v>983</v>
      </c>
      <c r="F5" s="624" t="s">
        <v>984</v>
      </c>
      <c r="G5" s="624" t="s">
        <v>985</v>
      </c>
      <c r="H5" s="624" t="s">
        <v>986</v>
      </c>
      <c r="I5" s="625" t="s">
        <v>987</v>
      </c>
      <c r="J5" s="626">
        <v>0.02</v>
      </c>
      <c r="K5" s="626">
        <v>0.2</v>
      </c>
      <c r="L5" s="626">
        <v>0.35</v>
      </c>
      <c r="M5" s="626">
        <v>0.5</v>
      </c>
      <c r="N5" s="626">
        <v>0.75</v>
      </c>
      <c r="O5" s="626">
        <v>1</v>
      </c>
      <c r="P5" s="626">
        <v>1.5</v>
      </c>
      <c r="Q5" s="627" t="s">
        <v>73</v>
      </c>
    </row>
    <row r="6" spans="1:17" ht="14.4">
      <c r="B6" s="628"/>
      <c r="C6" s="594">
        <f>IF(C7&gt;0,C7,IF(C8&gt;0,C8,IF(C9&gt;0,C9)))</f>
        <v>369282100</v>
      </c>
      <c r="D6" s="594">
        <f>IF(D7&gt;0,D7,IF(D8&gt;0,D8,IF(D9&gt;0,D9,0)))</f>
        <v>0</v>
      </c>
      <c r="E6" s="594">
        <f>IF(E7&gt;0,E7,IF(E8&gt;0,E8,IF(E9&gt;0,E9,0)))</f>
        <v>0</v>
      </c>
      <c r="F6" s="594">
        <f>IF(F7&gt;0,F7,IF(F8&gt;0,F8,IF(F9&gt;0,F9,0)))</f>
        <v>0</v>
      </c>
      <c r="G6" s="594">
        <f>IF(G7&gt;0,G7,IF(G8&gt;0,G8,IF(G9&gt;0,G9,0)))</f>
        <v>3827538.0930596557</v>
      </c>
      <c r="H6" s="594"/>
      <c r="I6" s="594">
        <f t="shared" ref="I6:Q6" si="0">IF(I7&gt;0,I7,IF(I8&gt;0,I8,IF(I9&gt;0,I9)))</f>
        <v>5358553.3302835179</v>
      </c>
      <c r="J6" s="594">
        <f t="shared" ref="J6:P6" si="1">IF(J7&gt;0,J7,IF(J8&gt;0,J8,IF(J9&gt;0,J9,0)))</f>
        <v>0</v>
      </c>
      <c r="K6" s="594">
        <f t="shared" si="1"/>
        <v>0</v>
      </c>
      <c r="L6" s="594">
        <f t="shared" si="1"/>
        <v>0</v>
      </c>
      <c r="M6" s="594">
        <f t="shared" si="1"/>
        <v>2452576.2932114345</v>
      </c>
      <c r="N6" s="594">
        <f t="shared" si="1"/>
        <v>0</v>
      </c>
      <c r="O6" s="594">
        <f t="shared" si="1"/>
        <v>0</v>
      </c>
      <c r="P6" s="594">
        <f t="shared" si="1"/>
        <v>0</v>
      </c>
      <c r="Q6" s="594">
        <f t="shared" si="0"/>
        <v>1226288.1466057173</v>
      </c>
    </row>
    <row r="7" spans="1:17" ht="14.4">
      <c r="B7" s="629" t="s">
        <v>975</v>
      </c>
      <c r="C7" s="594">
        <f t="shared" ref="C7:E9" si="2">C11+C15+C19+C23+C27+C31</f>
        <v>369282100</v>
      </c>
      <c r="D7" s="594">
        <f t="shared" si="2"/>
        <v>0</v>
      </c>
      <c r="E7" s="594">
        <f t="shared" si="2"/>
        <v>0</v>
      </c>
      <c r="F7" s="594">
        <f t="shared" ref="F7:G9" si="3">F11+F15+F19+F23+F27+F31</f>
        <v>0</v>
      </c>
      <c r="G7" s="594">
        <f t="shared" si="3"/>
        <v>3827538.0930596557</v>
      </c>
      <c r="H7" s="630">
        <v>1.4</v>
      </c>
      <c r="I7" s="631">
        <f t="shared" ref="I7:I33" si="4">(F7+G7)*H7</f>
        <v>5358553.3302835179</v>
      </c>
      <c r="J7" s="594">
        <f>J11+J15+J19+J23+J27+J31</f>
        <v>0</v>
      </c>
      <c r="K7" s="594">
        <f t="shared" ref="J7:P9" si="5">K11+K15+K19+K23+K27+K31</f>
        <v>0</v>
      </c>
      <c r="L7" s="594">
        <f t="shared" si="5"/>
        <v>0</v>
      </c>
      <c r="M7" s="594">
        <f t="shared" si="5"/>
        <v>2452576.2932114345</v>
      </c>
      <c r="N7" s="594">
        <f t="shared" si="5"/>
        <v>0</v>
      </c>
      <c r="O7" s="594">
        <f t="shared" si="5"/>
        <v>0</v>
      </c>
      <c r="P7" s="594">
        <f t="shared" si="5"/>
        <v>0</v>
      </c>
      <c r="Q7" s="594">
        <f>Q11+Q15+Q19+Q23+Q27+Q31</f>
        <v>1226288.1466057173</v>
      </c>
    </row>
    <row r="8" spans="1:17" ht="14.4">
      <c r="B8" s="629" t="s">
        <v>976</v>
      </c>
      <c r="C8" s="594">
        <f t="shared" si="2"/>
        <v>369282100</v>
      </c>
      <c r="D8" s="594">
        <f t="shared" si="2"/>
        <v>0</v>
      </c>
      <c r="E8" s="594">
        <f t="shared" si="2"/>
        <v>0</v>
      </c>
      <c r="F8" s="594">
        <f t="shared" si="3"/>
        <v>0</v>
      </c>
      <c r="G8" s="594">
        <f t="shared" si="3"/>
        <v>14771284</v>
      </c>
      <c r="H8" s="630">
        <v>1.4</v>
      </c>
      <c r="I8" s="631">
        <f t="shared" si="4"/>
        <v>20679797.599999998</v>
      </c>
      <c r="J8" s="594">
        <f t="shared" si="5"/>
        <v>0</v>
      </c>
      <c r="K8" s="594">
        <f t="shared" si="5"/>
        <v>0</v>
      </c>
      <c r="L8" s="594">
        <f t="shared" si="5"/>
        <v>0</v>
      </c>
      <c r="M8" s="594">
        <f t="shared" si="5"/>
        <v>20679797.599999998</v>
      </c>
      <c r="N8" s="594">
        <f t="shared" si="5"/>
        <v>0</v>
      </c>
      <c r="O8" s="594">
        <f t="shared" si="5"/>
        <v>0</v>
      </c>
      <c r="P8" s="594">
        <f t="shared" si="5"/>
        <v>0</v>
      </c>
      <c r="Q8" s="594">
        <f>Q12+Q16+Q20+Q24+Q28+Q32</f>
        <v>10339898.799999999</v>
      </c>
    </row>
    <row r="9" spans="1:17" ht="14.4">
      <c r="B9" s="629" t="s">
        <v>977</v>
      </c>
      <c r="C9" s="594">
        <f t="shared" si="2"/>
        <v>369282100</v>
      </c>
      <c r="D9" s="594">
        <f t="shared" si="2"/>
        <v>0</v>
      </c>
      <c r="E9" s="594">
        <f t="shared" si="2"/>
        <v>0</v>
      </c>
      <c r="F9" s="594">
        <f t="shared" si="3"/>
        <v>0</v>
      </c>
      <c r="G9" s="594">
        <f t="shared" si="3"/>
        <v>14771286.794500008</v>
      </c>
      <c r="H9" s="630">
        <v>1.4</v>
      </c>
      <c r="I9" s="631">
        <f t="shared" si="4"/>
        <v>20679801.512300011</v>
      </c>
      <c r="J9" s="594">
        <f t="shared" si="5"/>
        <v>0</v>
      </c>
      <c r="K9" s="594">
        <f t="shared" si="5"/>
        <v>0</v>
      </c>
      <c r="L9" s="594">
        <f t="shared" si="5"/>
        <v>0</v>
      </c>
      <c r="M9" s="594">
        <f t="shared" si="5"/>
        <v>20679797.599999998</v>
      </c>
      <c r="N9" s="594">
        <f t="shared" si="5"/>
        <v>0</v>
      </c>
      <c r="O9" s="594">
        <f t="shared" si="5"/>
        <v>0</v>
      </c>
      <c r="P9" s="594">
        <f t="shared" si="5"/>
        <v>0</v>
      </c>
      <c r="Q9" s="594">
        <f t="shared" ref="Q9" si="6">Q13+Q17+Q21+Q25+Q29+Q33</f>
        <v>10339898.799999999</v>
      </c>
    </row>
    <row r="10" spans="1:17" ht="14.4">
      <c r="B10" s="632" t="s">
        <v>988</v>
      </c>
      <c r="C10" s="633"/>
      <c r="D10" s="633"/>
      <c r="E10" s="633"/>
      <c r="F10" s="633"/>
      <c r="G10" s="633"/>
      <c r="H10" s="630">
        <v>1.4</v>
      </c>
      <c r="I10" s="631">
        <f t="shared" si="4"/>
        <v>0</v>
      </c>
      <c r="J10" s="591"/>
      <c r="K10" s="591"/>
      <c r="L10" s="591"/>
      <c r="M10" s="591"/>
      <c r="N10" s="591"/>
      <c r="O10" s="591"/>
      <c r="P10" s="591"/>
      <c r="Q10" s="594">
        <f>SUM(Q11:Q13)</f>
        <v>0</v>
      </c>
    </row>
    <row r="11" spans="1:17" ht="14.4">
      <c r="B11" s="634" t="s">
        <v>975</v>
      </c>
      <c r="C11" s="633"/>
      <c r="D11" s="633"/>
      <c r="E11" s="633"/>
      <c r="F11" s="633"/>
      <c r="G11" s="633"/>
      <c r="H11" s="630">
        <v>1.4</v>
      </c>
      <c r="I11" s="631">
        <f t="shared" si="4"/>
        <v>0</v>
      </c>
      <c r="J11" s="591"/>
      <c r="K11" s="591"/>
      <c r="L11" s="591"/>
      <c r="M11" s="591"/>
      <c r="N11" s="591"/>
      <c r="O11" s="591"/>
      <c r="P11" s="591"/>
      <c r="Q11" s="594">
        <f>SUMPRODUCT($J$5:$P$5,J11:P11)</f>
        <v>0</v>
      </c>
    </row>
    <row r="12" spans="1:17" ht="14.4">
      <c r="B12" s="634" t="s">
        <v>976</v>
      </c>
      <c r="C12" s="633"/>
      <c r="D12" s="633"/>
      <c r="E12" s="633"/>
      <c r="F12" s="633"/>
      <c r="G12" s="633"/>
      <c r="H12" s="630">
        <v>1.4</v>
      </c>
      <c r="I12" s="631">
        <f t="shared" si="4"/>
        <v>0</v>
      </c>
      <c r="J12" s="591"/>
      <c r="K12" s="591"/>
      <c r="L12" s="591"/>
      <c r="M12" s="591"/>
      <c r="N12" s="591"/>
      <c r="O12" s="591"/>
      <c r="P12" s="591"/>
      <c r="Q12" s="594">
        <f t="shared" ref="Q12:Q13" si="7">SUMPRODUCT($J$5:$P$5,J12:P12)</f>
        <v>0</v>
      </c>
    </row>
    <row r="13" spans="1:17" ht="14.4">
      <c r="B13" s="634" t="s">
        <v>977</v>
      </c>
      <c r="C13" s="633"/>
      <c r="D13" s="633"/>
      <c r="E13" s="633"/>
      <c r="F13" s="633"/>
      <c r="G13" s="633"/>
      <c r="H13" s="630">
        <v>1.4</v>
      </c>
      <c r="I13" s="631">
        <f t="shared" si="4"/>
        <v>0</v>
      </c>
      <c r="J13" s="591"/>
      <c r="K13" s="591"/>
      <c r="L13" s="591"/>
      <c r="M13" s="591"/>
      <c r="N13" s="591"/>
      <c r="O13" s="591"/>
      <c r="P13" s="591"/>
      <c r="Q13" s="594">
        <f t="shared" si="7"/>
        <v>0</v>
      </c>
    </row>
    <row r="14" spans="1:17" ht="14.4">
      <c r="B14" s="632" t="s">
        <v>989</v>
      </c>
      <c r="C14" s="633"/>
      <c r="D14" s="633"/>
      <c r="E14" s="633"/>
      <c r="F14" s="633"/>
      <c r="G14" s="633"/>
      <c r="H14" s="630">
        <v>1.4</v>
      </c>
      <c r="I14" s="631">
        <f t="shared" si="4"/>
        <v>0</v>
      </c>
      <c r="J14" s="591"/>
      <c r="K14" s="591"/>
      <c r="L14" s="591"/>
      <c r="M14" s="591"/>
      <c r="N14" s="591"/>
      <c r="O14" s="591"/>
      <c r="P14" s="591"/>
      <c r="Q14" s="594">
        <f>SUM(Q15:Q17)</f>
        <v>0</v>
      </c>
    </row>
    <row r="15" spans="1:17" ht="14.4">
      <c r="B15" s="634" t="s">
        <v>975</v>
      </c>
      <c r="C15" s="633"/>
      <c r="D15" s="633"/>
      <c r="E15" s="633"/>
      <c r="F15" s="633"/>
      <c r="G15" s="633"/>
      <c r="H15" s="630">
        <v>1.4</v>
      </c>
      <c r="I15" s="631">
        <f t="shared" si="4"/>
        <v>0</v>
      </c>
      <c r="J15" s="591"/>
      <c r="K15" s="591"/>
      <c r="L15" s="591"/>
      <c r="M15" s="719"/>
      <c r="N15" s="591"/>
      <c r="O15" s="591"/>
      <c r="P15" s="591"/>
      <c r="Q15" s="594">
        <f>SUMPRODUCT($J$5:$P$5,J15:P15)</f>
        <v>0</v>
      </c>
    </row>
    <row r="16" spans="1:17" ht="14.4">
      <c r="B16" s="634" t="s">
        <v>976</v>
      </c>
      <c r="C16" s="633"/>
      <c r="D16" s="633"/>
      <c r="E16" s="633"/>
      <c r="F16" s="633"/>
      <c r="G16" s="633"/>
      <c r="H16" s="630">
        <v>1.4</v>
      </c>
      <c r="I16" s="631">
        <f t="shared" si="4"/>
        <v>0</v>
      </c>
      <c r="J16" s="591"/>
      <c r="K16" s="591"/>
      <c r="L16" s="591"/>
      <c r="M16" s="719"/>
      <c r="N16" s="591"/>
      <c r="O16" s="591"/>
      <c r="P16" s="591"/>
      <c r="Q16" s="594">
        <f t="shared" ref="Q16:Q17" si="8">SUMPRODUCT($J$5:$P$5,J16:P16)</f>
        <v>0</v>
      </c>
    </row>
    <row r="17" spans="2:17" ht="14.4">
      <c r="B17" s="634" t="s">
        <v>977</v>
      </c>
      <c r="C17" s="633"/>
      <c r="D17" s="633"/>
      <c r="E17" s="633"/>
      <c r="F17" s="633"/>
      <c r="G17" s="633"/>
      <c r="H17" s="630">
        <v>1.4</v>
      </c>
      <c r="I17" s="631">
        <f t="shared" si="4"/>
        <v>0</v>
      </c>
      <c r="J17" s="591"/>
      <c r="K17" s="591"/>
      <c r="L17" s="591"/>
      <c r="M17" s="719"/>
      <c r="N17" s="591"/>
      <c r="O17" s="591"/>
      <c r="P17" s="591"/>
      <c r="Q17" s="594">
        <f t="shared" si="8"/>
        <v>0</v>
      </c>
    </row>
    <row r="18" spans="2:17" ht="14.4">
      <c r="B18" s="632" t="s">
        <v>990</v>
      </c>
      <c r="C18" s="633"/>
      <c r="D18" s="633"/>
      <c r="E18" s="633"/>
      <c r="F18" s="633"/>
      <c r="G18" s="633"/>
      <c r="H18" s="630">
        <v>1.4</v>
      </c>
      <c r="I18" s="631">
        <f t="shared" si="4"/>
        <v>0</v>
      </c>
      <c r="J18" s="591"/>
      <c r="K18" s="591"/>
      <c r="L18" s="591"/>
      <c r="M18" s="591"/>
      <c r="N18" s="591"/>
      <c r="O18" s="591"/>
      <c r="P18" s="591"/>
      <c r="Q18" s="594">
        <f>SUM(Q19:Q21)</f>
        <v>21906085.746605717</v>
      </c>
    </row>
    <row r="19" spans="2:17" ht="14.4">
      <c r="B19" s="634" t="s">
        <v>975</v>
      </c>
      <c r="C19" s="633">
        <v>369282100</v>
      </c>
      <c r="D19" s="633">
        <v>0</v>
      </c>
      <c r="E19" s="633">
        <v>0</v>
      </c>
      <c r="F19" s="633">
        <v>0</v>
      </c>
      <c r="G19" s="633">
        <v>3827538.0930596557</v>
      </c>
      <c r="H19" s="630">
        <v>1.4</v>
      </c>
      <c r="I19" s="631">
        <f t="shared" si="4"/>
        <v>5358553.3302835179</v>
      </c>
      <c r="J19" s="591"/>
      <c r="K19" s="591"/>
      <c r="L19" s="591"/>
      <c r="M19" s="719">
        <v>2452576.2932114345</v>
      </c>
      <c r="N19" s="591"/>
      <c r="O19" s="591"/>
      <c r="P19" s="591"/>
      <c r="Q19" s="594">
        <f>SUMPRODUCT($J$5:$P$5,J19:P19)</f>
        <v>1226288.1466057173</v>
      </c>
    </row>
    <row r="20" spans="2:17" ht="14.4">
      <c r="B20" s="634" t="s">
        <v>976</v>
      </c>
      <c r="C20" s="633">
        <v>369282100</v>
      </c>
      <c r="D20" s="633">
        <v>0</v>
      </c>
      <c r="E20" s="633">
        <v>0</v>
      </c>
      <c r="F20" s="633">
        <v>0</v>
      </c>
      <c r="G20" s="633">
        <v>14771284</v>
      </c>
      <c r="H20" s="630">
        <v>1.4</v>
      </c>
      <c r="I20" s="631">
        <f t="shared" si="4"/>
        <v>20679797.599999998</v>
      </c>
      <c r="J20" s="591"/>
      <c r="K20" s="591"/>
      <c r="L20" s="591"/>
      <c r="M20" s="719">
        <v>20679797.599999998</v>
      </c>
      <c r="N20" s="591"/>
      <c r="O20" s="591"/>
      <c r="P20" s="591"/>
      <c r="Q20" s="594">
        <f t="shared" ref="Q20:Q21" si="9">SUMPRODUCT($J$5:$P$5,J20:P20)</f>
        <v>10339898.799999999</v>
      </c>
    </row>
    <row r="21" spans="2:17" ht="14.4">
      <c r="B21" s="634" t="s">
        <v>977</v>
      </c>
      <c r="C21" s="633">
        <v>369282100</v>
      </c>
      <c r="D21" s="633">
        <v>0</v>
      </c>
      <c r="E21" s="633">
        <v>0</v>
      </c>
      <c r="F21" s="633">
        <v>0</v>
      </c>
      <c r="G21" s="633">
        <v>14771286.794500008</v>
      </c>
      <c r="H21" s="630">
        <v>1.4</v>
      </c>
      <c r="I21" s="631">
        <f t="shared" si="4"/>
        <v>20679801.512300011</v>
      </c>
      <c r="J21" s="591"/>
      <c r="K21" s="591"/>
      <c r="L21" s="591"/>
      <c r="M21" s="719">
        <v>20679797.599999998</v>
      </c>
      <c r="N21" s="591"/>
      <c r="O21" s="591"/>
      <c r="P21" s="591"/>
      <c r="Q21" s="594">
        <f t="shared" si="9"/>
        <v>10339898.799999999</v>
      </c>
    </row>
    <row r="22" spans="2:17" ht="14.4">
      <c r="B22" s="632" t="s">
        <v>991</v>
      </c>
      <c r="C22" s="633"/>
      <c r="D22" s="633"/>
      <c r="E22" s="633"/>
      <c r="F22" s="633"/>
      <c r="G22" s="633"/>
      <c r="H22" s="630">
        <v>1.4</v>
      </c>
      <c r="I22" s="631">
        <f t="shared" si="4"/>
        <v>0</v>
      </c>
      <c r="J22" s="591"/>
      <c r="K22" s="591"/>
      <c r="L22" s="591"/>
      <c r="M22" s="591"/>
      <c r="N22" s="591"/>
      <c r="O22" s="591"/>
      <c r="P22" s="591"/>
      <c r="Q22" s="594">
        <f>SUM(Q23:Q25)</f>
        <v>0</v>
      </c>
    </row>
    <row r="23" spans="2:17" ht="14.4">
      <c r="B23" s="634" t="s">
        <v>975</v>
      </c>
      <c r="C23" s="633"/>
      <c r="D23" s="633"/>
      <c r="E23" s="633"/>
      <c r="F23" s="633"/>
      <c r="G23" s="633"/>
      <c r="H23" s="630">
        <v>1.4</v>
      </c>
      <c r="I23" s="631">
        <f t="shared" si="4"/>
        <v>0</v>
      </c>
      <c r="J23" s="591"/>
      <c r="K23" s="591"/>
      <c r="L23" s="591"/>
      <c r="M23" s="591"/>
      <c r="N23" s="591"/>
      <c r="O23" s="591"/>
      <c r="P23" s="591"/>
      <c r="Q23" s="594">
        <f>SUMPRODUCT($J$5:$P$5,J23:P23)</f>
        <v>0</v>
      </c>
    </row>
    <row r="24" spans="2:17" ht="14.4">
      <c r="B24" s="634" t="s">
        <v>976</v>
      </c>
      <c r="C24" s="633"/>
      <c r="D24" s="633"/>
      <c r="E24" s="633"/>
      <c r="F24" s="633"/>
      <c r="G24" s="633"/>
      <c r="H24" s="630">
        <v>1.4</v>
      </c>
      <c r="I24" s="631">
        <f t="shared" si="4"/>
        <v>0</v>
      </c>
      <c r="J24" s="591"/>
      <c r="K24" s="591"/>
      <c r="L24" s="591"/>
      <c r="M24" s="591"/>
      <c r="N24" s="591"/>
      <c r="O24" s="591"/>
      <c r="P24" s="591"/>
      <c r="Q24" s="594">
        <f t="shared" ref="Q24:Q25" si="10">SUMPRODUCT($J$5:$P$5,J24:P24)</f>
        <v>0</v>
      </c>
    </row>
    <row r="25" spans="2:17" ht="14.4">
      <c r="B25" s="634" t="s">
        <v>977</v>
      </c>
      <c r="C25" s="633"/>
      <c r="D25" s="633"/>
      <c r="E25" s="633"/>
      <c r="F25" s="633"/>
      <c r="G25" s="633"/>
      <c r="H25" s="630">
        <v>1.4</v>
      </c>
      <c r="I25" s="631">
        <f t="shared" si="4"/>
        <v>0</v>
      </c>
      <c r="J25" s="591"/>
      <c r="K25" s="591"/>
      <c r="L25" s="591"/>
      <c r="M25" s="591"/>
      <c r="N25" s="591"/>
      <c r="O25" s="591"/>
      <c r="P25" s="591"/>
      <c r="Q25" s="594">
        <f t="shared" si="10"/>
        <v>0</v>
      </c>
    </row>
    <row r="26" spans="2:17" ht="14.4">
      <c r="B26" s="632" t="s">
        <v>992</v>
      </c>
      <c r="C26" s="633"/>
      <c r="D26" s="633"/>
      <c r="E26" s="633"/>
      <c r="F26" s="633"/>
      <c r="G26" s="633"/>
      <c r="H26" s="630">
        <v>1.4</v>
      </c>
      <c r="I26" s="631">
        <f t="shared" si="4"/>
        <v>0</v>
      </c>
      <c r="J26" s="591"/>
      <c r="K26" s="591"/>
      <c r="L26" s="591"/>
      <c r="M26" s="591"/>
      <c r="N26" s="591"/>
      <c r="O26" s="591"/>
      <c r="P26" s="591"/>
      <c r="Q26" s="594">
        <f>SUM(Q27:Q29)</f>
        <v>0</v>
      </c>
    </row>
    <row r="27" spans="2:17" ht="14.4">
      <c r="B27" s="634" t="s">
        <v>975</v>
      </c>
      <c r="C27" s="633"/>
      <c r="D27" s="633"/>
      <c r="E27" s="633"/>
      <c r="F27" s="633"/>
      <c r="G27" s="633"/>
      <c r="H27" s="630">
        <v>1.4</v>
      </c>
      <c r="I27" s="631">
        <f t="shared" si="4"/>
        <v>0</v>
      </c>
      <c r="J27" s="591"/>
      <c r="K27" s="591"/>
      <c r="L27" s="591"/>
      <c r="M27" s="591"/>
      <c r="N27" s="591"/>
      <c r="O27" s="591"/>
      <c r="P27" s="591"/>
      <c r="Q27" s="594">
        <f>SUMPRODUCT($J$5:$P$5,J27:P27)</f>
        <v>0</v>
      </c>
    </row>
    <row r="28" spans="2:17" ht="14.4">
      <c r="B28" s="634" t="s">
        <v>976</v>
      </c>
      <c r="C28" s="633"/>
      <c r="D28" s="633"/>
      <c r="E28" s="633"/>
      <c r="F28" s="633"/>
      <c r="G28" s="633"/>
      <c r="H28" s="630">
        <v>1.4</v>
      </c>
      <c r="I28" s="631">
        <f t="shared" si="4"/>
        <v>0</v>
      </c>
      <c r="J28" s="591"/>
      <c r="K28" s="591"/>
      <c r="L28" s="591"/>
      <c r="M28" s="591"/>
      <c r="N28" s="591"/>
      <c r="O28" s="591"/>
      <c r="P28" s="591"/>
      <c r="Q28" s="594">
        <f t="shared" ref="Q28:Q29" si="11">SUMPRODUCT($J$5:$P$5,J28:P28)</f>
        <v>0</v>
      </c>
    </row>
    <row r="29" spans="2:17" ht="14.4">
      <c r="B29" s="634" t="s">
        <v>977</v>
      </c>
      <c r="C29" s="633"/>
      <c r="D29" s="633"/>
      <c r="E29" s="633"/>
      <c r="F29" s="633"/>
      <c r="G29" s="633"/>
      <c r="H29" s="630">
        <v>1.4</v>
      </c>
      <c r="I29" s="631">
        <f t="shared" si="4"/>
        <v>0</v>
      </c>
      <c r="J29" s="591"/>
      <c r="K29" s="591"/>
      <c r="L29" s="591"/>
      <c r="M29" s="591"/>
      <c r="N29" s="591"/>
      <c r="O29" s="591"/>
      <c r="P29" s="591"/>
      <c r="Q29" s="594">
        <f t="shared" si="11"/>
        <v>0</v>
      </c>
    </row>
    <row r="30" spans="2:17" ht="14.4">
      <c r="B30" s="635" t="s">
        <v>993</v>
      </c>
      <c r="C30" s="633"/>
      <c r="D30" s="633"/>
      <c r="E30" s="633"/>
      <c r="F30" s="633"/>
      <c r="G30" s="633"/>
      <c r="H30" s="630">
        <v>1.4</v>
      </c>
      <c r="I30" s="631">
        <f t="shared" si="4"/>
        <v>0</v>
      </c>
      <c r="J30" s="591"/>
      <c r="K30" s="591"/>
      <c r="L30" s="591"/>
      <c r="M30" s="591"/>
      <c r="N30" s="591"/>
      <c r="O30" s="591"/>
      <c r="P30" s="591"/>
      <c r="Q30" s="594">
        <f>SUM(Q31:Q33)</f>
        <v>0</v>
      </c>
    </row>
    <row r="31" spans="2:17" ht="14.4">
      <c r="B31" s="634" t="s">
        <v>975</v>
      </c>
      <c r="C31" s="633"/>
      <c r="D31" s="633"/>
      <c r="E31" s="633"/>
      <c r="F31" s="633"/>
      <c r="G31" s="633"/>
      <c r="H31" s="630">
        <v>1.4</v>
      </c>
      <c r="I31" s="631">
        <f t="shared" si="4"/>
        <v>0</v>
      </c>
      <c r="J31" s="591"/>
      <c r="K31" s="591"/>
      <c r="L31" s="591"/>
      <c r="M31" s="591"/>
      <c r="N31" s="591"/>
      <c r="O31" s="591"/>
      <c r="P31" s="591"/>
      <c r="Q31" s="594">
        <f>SUMPRODUCT($J$5:$P$5,J31:P31)</f>
        <v>0</v>
      </c>
    </row>
    <row r="32" spans="2:17" ht="14.4">
      <c r="B32" s="634" t="s">
        <v>976</v>
      </c>
      <c r="C32" s="633"/>
      <c r="D32" s="633"/>
      <c r="E32" s="633"/>
      <c r="F32" s="633"/>
      <c r="G32" s="633"/>
      <c r="H32" s="630">
        <v>1.4</v>
      </c>
      <c r="I32" s="631">
        <f t="shared" si="4"/>
        <v>0</v>
      </c>
      <c r="J32" s="591"/>
      <c r="K32" s="591"/>
      <c r="L32" s="591"/>
      <c r="M32" s="591"/>
      <c r="N32" s="591"/>
      <c r="O32" s="591"/>
      <c r="P32" s="591"/>
      <c r="Q32" s="594">
        <f t="shared" ref="Q32:Q33" si="12">SUMPRODUCT($J$5:$P$5,J32:P32)</f>
        <v>0</v>
      </c>
    </row>
    <row r="33" spans="2:17" ht="14.4">
      <c r="B33" s="634" t="s">
        <v>977</v>
      </c>
      <c r="C33" s="633"/>
      <c r="D33" s="633"/>
      <c r="E33" s="633"/>
      <c r="F33" s="633"/>
      <c r="G33" s="633"/>
      <c r="H33" s="630">
        <v>1.4</v>
      </c>
      <c r="I33" s="631">
        <f t="shared" si="4"/>
        <v>0</v>
      </c>
      <c r="J33" s="591"/>
      <c r="K33" s="591"/>
      <c r="L33" s="591"/>
      <c r="M33" s="591"/>
      <c r="N33" s="591"/>
      <c r="O33" s="591"/>
      <c r="P33" s="591"/>
      <c r="Q33" s="594">
        <f t="shared" si="12"/>
        <v>0</v>
      </c>
    </row>
    <row r="34" spans="2:17" ht="14.4">
      <c r="B34" s="636" t="s">
        <v>66</v>
      </c>
      <c r="C34" s="637">
        <f>C6</f>
        <v>369282100</v>
      </c>
      <c r="D34" s="637">
        <f t="shared" ref="D34:G34" si="13">D6</f>
        <v>0</v>
      </c>
      <c r="E34" s="637">
        <f t="shared" si="13"/>
        <v>0</v>
      </c>
      <c r="F34" s="637">
        <f t="shared" si="13"/>
        <v>0</v>
      </c>
      <c r="G34" s="637">
        <f t="shared" si="13"/>
        <v>3827538.0930596557</v>
      </c>
      <c r="H34" s="630">
        <v>1.4</v>
      </c>
      <c r="I34" s="631">
        <f>(F34+G34)*H34</f>
        <v>5358553.3302835179</v>
      </c>
      <c r="J34" s="637">
        <f t="shared" ref="J34:Q34" si="14">J6</f>
        <v>0</v>
      </c>
      <c r="K34" s="637">
        <f t="shared" si="14"/>
        <v>0</v>
      </c>
      <c r="L34" s="637">
        <f t="shared" si="14"/>
        <v>0</v>
      </c>
      <c r="M34" s="637">
        <f t="shared" si="14"/>
        <v>2452576.2932114345</v>
      </c>
      <c r="N34" s="637">
        <f t="shared" si="14"/>
        <v>0</v>
      </c>
      <c r="O34" s="637">
        <f t="shared" si="14"/>
        <v>0</v>
      </c>
      <c r="P34" s="637">
        <f t="shared" si="14"/>
        <v>0</v>
      </c>
      <c r="Q34" s="637">
        <f t="shared" si="14"/>
        <v>1226288.1466057173</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I53"/>
  <sheetViews>
    <sheetView zoomScale="90" zoomScaleNormal="90" workbookViewId="0">
      <pane xSplit="1" ySplit="5" topLeftCell="B6" activePane="bottomRight" state="frozen"/>
      <selection pane="topRight" activeCell="B1" sqref="B1"/>
      <selection pane="bottomLeft" activeCell="A6" sqref="A6"/>
      <selection pane="bottomRight" activeCell="C44" sqref="C44:C46"/>
    </sheetView>
  </sheetViews>
  <sheetFormatPr defaultRowHeight="14.4"/>
  <cols>
    <col min="1" max="1" width="9.5546875" style="14" bestFit="1" customWidth="1"/>
    <col min="2" max="2" width="88.33203125" style="12" customWidth="1"/>
    <col min="3" max="3" width="12.77734375" style="12" customWidth="1"/>
    <col min="4" max="7" width="12.77734375" style="1" customWidth="1"/>
    <col min="8" max="8" width="6.77734375" customWidth="1"/>
    <col min="9" max="9" width="13.5546875" customWidth="1"/>
  </cols>
  <sheetData>
    <row r="1" spans="1:7">
      <c r="A1" s="13" t="s">
        <v>97</v>
      </c>
      <c r="B1" s="247" t="str">
        <f>Info!C2</f>
        <v>სს "კრედო ბანკი"</v>
      </c>
    </row>
    <row r="2" spans="1:7">
      <c r="A2" s="13" t="s">
        <v>98</v>
      </c>
      <c r="B2" s="275">
        <v>46112</v>
      </c>
    </row>
    <row r="3" spans="1:7" ht="15" thickBot="1">
      <c r="A3" s="13"/>
    </row>
    <row r="4" spans="1:7" ht="15" customHeight="1" thickBot="1">
      <c r="A4" s="31" t="s">
        <v>241</v>
      </c>
      <c r="B4" s="113" t="s">
        <v>128</v>
      </c>
      <c r="C4" s="114"/>
      <c r="D4" s="775" t="s">
        <v>903</v>
      </c>
      <c r="E4" s="776"/>
      <c r="F4" s="776"/>
      <c r="G4" s="777"/>
    </row>
    <row r="5" spans="1:7">
      <c r="A5" s="170" t="s">
        <v>25</v>
      </c>
      <c r="B5" s="171"/>
      <c r="C5" s="264" t="str">
        <f>INT((MONTH($B$2))/3)&amp;"Q"&amp;"-"&amp;YEAR($B$2)</f>
        <v>1Q-2026</v>
      </c>
      <c r="D5" s="264" t="str">
        <f>IF(INT(MONTH($B$2))=3, "4"&amp;"Q"&amp;"-"&amp;YEAR($B$2)-1, IF(INT(MONTH($B$2))=6, "1"&amp;"Q"&amp;"-"&amp;YEAR($B$2), IF(INT(MONTH($B$2))=9, "2"&amp;"Q"&amp;"-"&amp;YEAR($B$2),IF(INT(MONTH($B$2))=12, "3"&amp;"Q"&amp;"-"&amp;YEAR($B$2), 0))))</f>
        <v>4Q-2025</v>
      </c>
      <c r="E5" s="264" t="str">
        <f>IF(INT(MONTH($B$2))=3, "3"&amp;"Q"&amp;"-"&amp;YEAR($B$2)-1, IF(INT(MONTH($B$2))=6, "4"&amp;"Q"&amp;"-"&amp;YEAR($B$2)-1, IF(INT(MONTH($B$2))=9, "1"&amp;"Q"&amp;"-"&amp;YEAR($B$2),IF(INT(MONTH($B$2))=12, "2"&amp;"Q"&amp;"-"&amp;YEAR($B$2), 0))))</f>
        <v>3Q-2025</v>
      </c>
      <c r="F5" s="264" t="str">
        <f>IF(INT(MONTH($B$2))=3, "2"&amp;"Q"&amp;"-"&amp;YEAR($B$2)-1, IF(INT(MONTH($B$2))=6, "3"&amp;"Q"&amp;"-"&amp;YEAR($B$2)-1, IF(INT(MONTH($B$2))=9, "4"&amp;"Q"&amp;"-"&amp;YEAR($B$2)-1,IF(INT(MONTH($B$2))=12, "1"&amp;"Q"&amp;"-"&amp;YEAR($B$2), 0))))</f>
        <v>2Q-2025</v>
      </c>
      <c r="G5" s="265" t="str">
        <f>IF(INT(MONTH($B$2))=3, "1"&amp;"Q"&amp;"-"&amp;YEAR($B$2)-1, IF(INT(MONTH($B$2))=6, "2"&amp;"Q"&amp;"-"&amp;YEAR($B$2)-1, IF(INT(MONTH($B$2))=9, "3"&amp;"Q"&amp;"-"&amp;YEAR($B$2)-1,IF(INT(MONTH($B$2))=12, "4"&amp;"Q"&amp;"-"&amp;YEAR($B$2)-1, 0))))</f>
        <v>1Q-2025</v>
      </c>
    </row>
    <row r="6" spans="1:7">
      <c r="A6" s="266"/>
      <c r="B6" s="267" t="s">
        <v>95</v>
      </c>
      <c r="C6" s="172"/>
      <c r="D6" s="172"/>
      <c r="E6" s="172"/>
      <c r="F6" s="172"/>
      <c r="G6" s="173"/>
    </row>
    <row r="7" spans="1:7">
      <c r="A7" s="266"/>
      <c r="B7" s="268" t="s">
        <v>99</v>
      </c>
      <c r="C7" s="172"/>
      <c r="D7" s="172"/>
      <c r="E7" s="172"/>
      <c r="F7" s="172"/>
      <c r="G7" s="173"/>
    </row>
    <row r="8" spans="1:7">
      <c r="A8" s="251">
        <v>1</v>
      </c>
      <c r="B8" s="252" t="s">
        <v>22</v>
      </c>
      <c r="C8" s="269">
        <v>456168662.88602871</v>
      </c>
      <c r="D8" s="639">
        <v>432248676.96000004</v>
      </c>
      <c r="E8" s="640">
        <v>407515510.73331797</v>
      </c>
      <c r="F8" s="640">
        <v>387976547.78696764</v>
      </c>
      <c r="G8" s="640">
        <v>367975692.77275252</v>
      </c>
    </row>
    <row r="9" spans="1:7">
      <c r="A9" s="251">
        <v>2</v>
      </c>
      <c r="B9" s="252" t="s">
        <v>75</v>
      </c>
      <c r="C9" s="269">
        <v>483166662.88602871</v>
      </c>
      <c r="D9" s="639">
        <v>459199676.96000004</v>
      </c>
      <c r="E9" s="640">
        <v>421059510.73331797</v>
      </c>
      <c r="F9" s="640">
        <v>401594547.78696764</v>
      </c>
      <c r="G9" s="640">
        <v>367975692.77275252</v>
      </c>
    </row>
    <row r="10" spans="1:7">
      <c r="A10" s="251">
        <v>3</v>
      </c>
      <c r="B10" s="252" t="s">
        <v>74</v>
      </c>
      <c r="C10" s="269">
        <v>614574202.24602866</v>
      </c>
      <c r="D10" s="639">
        <v>594972117.72000003</v>
      </c>
      <c r="E10" s="640">
        <v>530617084.17331797</v>
      </c>
      <c r="F10" s="640">
        <v>497794876.50696766</v>
      </c>
      <c r="G10" s="640">
        <v>466776392.41275251</v>
      </c>
    </row>
    <row r="11" spans="1:7">
      <c r="A11" s="251">
        <v>4</v>
      </c>
      <c r="B11" s="252" t="s">
        <v>414</v>
      </c>
      <c r="C11" s="269">
        <v>398417788.69644535</v>
      </c>
      <c r="D11" s="639">
        <v>379674052</v>
      </c>
      <c r="E11" s="640">
        <v>345466510.85021144</v>
      </c>
      <c r="F11" s="640">
        <v>327030586.23934674</v>
      </c>
      <c r="G11" s="640">
        <v>295817238.88254887</v>
      </c>
    </row>
    <row r="12" spans="1:7">
      <c r="A12" s="251">
        <v>5</v>
      </c>
      <c r="B12" s="252" t="s">
        <v>415</v>
      </c>
      <c r="C12" s="269">
        <v>468600756.46254843</v>
      </c>
      <c r="D12" s="639">
        <v>447887027</v>
      </c>
      <c r="E12" s="640">
        <v>408077160.59795773</v>
      </c>
      <c r="F12" s="640">
        <v>386528799.39315224</v>
      </c>
      <c r="G12" s="640">
        <v>352656781.29268879</v>
      </c>
    </row>
    <row r="13" spans="1:7">
      <c r="A13" s="251">
        <v>6</v>
      </c>
      <c r="B13" s="252" t="s">
        <v>416</v>
      </c>
      <c r="C13" s="269">
        <v>561828822.53248727</v>
      </c>
      <c r="D13" s="639">
        <v>538498131</v>
      </c>
      <c r="E13" s="640">
        <v>491246186.88958108</v>
      </c>
      <c r="F13" s="640">
        <v>465563738.1031093</v>
      </c>
      <c r="G13" s="640">
        <v>428160611.94416159</v>
      </c>
    </row>
    <row r="14" spans="1:7">
      <c r="A14" s="266"/>
      <c r="B14" s="267" t="s">
        <v>418</v>
      </c>
      <c r="C14" s="172"/>
      <c r="D14" s="172"/>
      <c r="E14" s="172"/>
      <c r="F14" s="172"/>
      <c r="G14" s="172"/>
    </row>
    <row r="15" spans="1:7" ht="22.05" customHeight="1">
      <c r="A15" s="251">
        <v>7</v>
      </c>
      <c r="B15" s="252" t="s">
        <v>417</v>
      </c>
      <c r="C15" s="270">
        <v>3351812235.2523594</v>
      </c>
      <c r="D15" s="641">
        <v>3257318056.8187075</v>
      </c>
      <c r="E15" s="640">
        <v>2989051169.4370937</v>
      </c>
      <c r="F15" s="640">
        <v>2841701328.8094139</v>
      </c>
      <c r="G15" s="640">
        <v>2716844425.002924</v>
      </c>
    </row>
    <row r="16" spans="1:7">
      <c r="A16" s="266"/>
      <c r="B16" s="267" t="s">
        <v>421</v>
      </c>
      <c r="C16" s="172"/>
      <c r="D16" s="172"/>
      <c r="E16" s="172"/>
      <c r="F16" s="172"/>
      <c r="G16" s="172"/>
    </row>
    <row r="17" spans="1:9">
      <c r="A17" s="251"/>
      <c r="B17" s="268" t="s">
        <v>966</v>
      </c>
      <c r="C17" s="172"/>
      <c r="D17" s="172"/>
      <c r="E17" s="172"/>
      <c r="F17" s="172"/>
      <c r="G17" s="172"/>
    </row>
    <row r="18" spans="1:9">
      <c r="A18" s="251">
        <v>8</v>
      </c>
      <c r="B18" s="252" t="s">
        <v>412</v>
      </c>
      <c r="C18" s="276">
        <v>0.13609612677235292</v>
      </c>
      <c r="D18" s="276">
        <v>0.13270078924443751</v>
      </c>
      <c r="E18" s="642">
        <v>0.13633607711374923</v>
      </c>
      <c r="F18" s="643">
        <v>0.13652967110006525</v>
      </c>
      <c r="G18" s="643">
        <v>0.13544231292241052</v>
      </c>
      <c r="I18" s="674"/>
    </row>
    <row r="19" spans="1:9" ht="15" customHeight="1">
      <c r="A19" s="251">
        <v>9</v>
      </c>
      <c r="B19" s="252" t="s">
        <v>411</v>
      </c>
      <c r="C19" s="276">
        <v>0.14415087390766412</v>
      </c>
      <c r="D19" s="276">
        <v>0.14097477401653619</v>
      </c>
      <c r="E19" s="642">
        <v>0.14086728090794545</v>
      </c>
      <c r="F19" s="643">
        <v>0.14132187071018595</v>
      </c>
      <c r="G19" s="643">
        <v>0.13544231292241052</v>
      </c>
      <c r="I19" s="674"/>
    </row>
    <row r="20" spans="1:9">
      <c r="A20" s="251">
        <v>10</v>
      </c>
      <c r="B20" s="252" t="s">
        <v>413</v>
      </c>
      <c r="C20" s="276">
        <v>0.18335579653964629</v>
      </c>
      <c r="D20" s="276">
        <v>0.18265705323878798</v>
      </c>
      <c r="E20" s="642">
        <v>0.17752024107143177</v>
      </c>
      <c r="F20" s="643">
        <v>0.17517494588902788</v>
      </c>
      <c r="G20" s="643">
        <v>0.17180828910078286</v>
      </c>
      <c r="I20" s="674"/>
    </row>
    <row r="21" spans="1:9">
      <c r="A21" s="251">
        <v>11</v>
      </c>
      <c r="B21" s="252" t="s">
        <v>414</v>
      </c>
      <c r="C21" s="276">
        <v>0.11886638055262314</v>
      </c>
      <c r="D21" s="276">
        <v>0.11656032520533549</v>
      </c>
      <c r="E21" s="642">
        <v>0.11557731576581563</v>
      </c>
      <c r="F21" s="643">
        <v>0.11508267351106971</v>
      </c>
      <c r="G21" s="643">
        <v>0.10888265672180043</v>
      </c>
    </row>
    <row r="22" spans="1:9">
      <c r="A22" s="251">
        <v>12</v>
      </c>
      <c r="B22" s="252" t="s">
        <v>415</v>
      </c>
      <c r="C22" s="276">
        <v>0.13980519300397723</v>
      </c>
      <c r="D22" s="276">
        <v>0.13750177882151102</v>
      </c>
      <c r="E22" s="642">
        <v>0.13652397950578007</v>
      </c>
      <c r="F22" s="643">
        <v>0.13602020573889656</v>
      </c>
      <c r="G22" s="643">
        <v>0.12980381874685976</v>
      </c>
    </row>
    <row r="23" spans="1:9">
      <c r="A23" s="251">
        <v>13</v>
      </c>
      <c r="B23" s="252" t="s">
        <v>416</v>
      </c>
      <c r="C23" s="276">
        <v>0.16761941991365364</v>
      </c>
      <c r="D23" s="276">
        <v>0.16531948112120487</v>
      </c>
      <c r="E23" s="642">
        <v>0.16434853705836489</v>
      </c>
      <c r="F23" s="643">
        <v>0.16383274814393189</v>
      </c>
      <c r="G23" s="643">
        <v>0.15759482141141154</v>
      </c>
    </row>
    <row r="24" spans="1:9">
      <c r="A24" s="266"/>
      <c r="B24" s="267" t="s">
        <v>951</v>
      </c>
      <c r="C24" s="172"/>
      <c r="D24" s="172"/>
      <c r="E24" s="172"/>
      <c r="F24" s="172"/>
      <c r="G24" s="172"/>
    </row>
    <row r="25" spans="1:9" ht="27.6">
      <c r="A25" s="251">
        <v>14</v>
      </c>
      <c r="B25" s="252" t="s">
        <v>952</v>
      </c>
      <c r="C25" s="675"/>
      <c r="D25" s="644"/>
      <c r="E25" s="645"/>
      <c r="F25" s="645"/>
      <c r="G25" s="645"/>
    </row>
    <row r="26" spans="1:9">
      <c r="A26" s="266"/>
      <c r="B26" s="267" t="s">
        <v>6</v>
      </c>
      <c r="C26" s="172"/>
      <c r="D26" s="172"/>
      <c r="E26" s="172"/>
      <c r="F26" s="172"/>
      <c r="G26" s="172"/>
    </row>
    <row r="27" spans="1:9" ht="15" customHeight="1">
      <c r="A27" s="271">
        <v>15</v>
      </c>
      <c r="B27" s="272" t="s">
        <v>7</v>
      </c>
      <c r="C27" s="676">
        <v>0.17915584245788729</v>
      </c>
      <c r="D27" s="646">
        <v>0.189347410562761</v>
      </c>
      <c r="E27" s="647">
        <v>0.19100533529945291</v>
      </c>
      <c r="F27" s="647">
        <v>0.19332707095256682</v>
      </c>
      <c r="G27" s="647">
        <v>0.19528817622938224</v>
      </c>
    </row>
    <row r="28" spans="1:9">
      <c r="A28" s="271">
        <v>16</v>
      </c>
      <c r="B28" s="272" t="s">
        <v>8</v>
      </c>
      <c r="C28" s="676">
        <v>7.7440005032993267E-2</v>
      </c>
      <c r="D28" s="646">
        <v>7.8047299655896366E-2</v>
      </c>
      <c r="E28" s="647">
        <v>7.7992364859775773E-2</v>
      </c>
      <c r="F28" s="647">
        <v>7.7003161677604293E-2</v>
      </c>
      <c r="G28" s="647">
        <v>7.6818069452227314E-2</v>
      </c>
    </row>
    <row r="29" spans="1:9">
      <c r="A29" s="271">
        <v>17</v>
      </c>
      <c r="B29" s="272" t="s">
        <v>9</v>
      </c>
      <c r="C29" s="676">
        <v>5.4983824622513763E-2</v>
      </c>
      <c r="D29" s="646">
        <v>6.2640050920558868E-2</v>
      </c>
      <c r="E29" s="647">
        <v>6.4543190408098985E-2</v>
      </c>
      <c r="F29" s="647">
        <v>6.6764903738628034E-2</v>
      </c>
      <c r="G29" s="647">
        <v>6.8826707639056003E-2</v>
      </c>
    </row>
    <row r="30" spans="1:9">
      <c r="A30" s="271">
        <v>18</v>
      </c>
      <c r="B30" s="272" t="s">
        <v>129</v>
      </c>
      <c r="C30" s="676">
        <v>0.10171583742489404</v>
      </c>
      <c r="D30" s="646">
        <v>0.11129858693752</v>
      </c>
      <c r="E30" s="647">
        <v>0.11301297043967715</v>
      </c>
      <c r="F30" s="647">
        <v>0.11632390927496254</v>
      </c>
      <c r="G30" s="647">
        <v>0.11847010677715493</v>
      </c>
    </row>
    <row r="31" spans="1:9">
      <c r="A31" s="271">
        <v>19</v>
      </c>
      <c r="B31" s="272" t="s">
        <v>10</v>
      </c>
      <c r="C31" s="676">
        <v>2.1483672197433367E-2</v>
      </c>
      <c r="D31" s="646">
        <v>2.728001582412631E-2</v>
      </c>
      <c r="E31" s="647">
        <v>2.6117410182600317E-2</v>
      </c>
      <c r="F31" s="647">
        <v>2.5639697424846935E-2</v>
      </c>
      <c r="G31" s="647">
        <v>2.8360921108693708E-2</v>
      </c>
    </row>
    <row r="32" spans="1:9">
      <c r="A32" s="271">
        <v>20</v>
      </c>
      <c r="B32" s="272" t="s">
        <v>11</v>
      </c>
      <c r="C32" s="676">
        <v>0.1727271854648729</v>
      </c>
      <c r="D32" s="646">
        <v>0.21964725003694974</v>
      </c>
      <c r="E32" s="647">
        <v>0.20998718927537352</v>
      </c>
      <c r="F32" s="647">
        <v>0.20571416277916466</v>
      </c>
      <c r="G32" s="647">
        <v>0.22641363004890966</v>
      </c>
    </row>
    <row r="33" spans="1:7">
      <c r="A33" s="266"/>
      <c r="B33" s="267" t="s">
        <v>12</v>
      </c>
      <c r="C33" s="172"/>
      <c r="D33" s="172"/>
      <c r="E33" s="172"/>
      <c r="F33" s="172"/>
      <c r="G33" s="172"/>
    </row>
    <row r="34" spans="1:7">
      <c r="A34" s="271">
        <v>21</v>
      </c>
      <c r="B34" s="272" t="s">
        <v>13</v>
      </c>
      <c r="C34" s="676">
        <v>7.9923221240031442E-3</v>
      </c>
      <c r="D34" s="676">
        <v>7.4721110846397215E-3</v>
      </c>
      <c r="E34" s="646">
        <v>8.8900369474808651E-3</v>
      </c>
      <c r="F34" s="647">
        <v>9.6304963828985814E-3</v>
      </c>
      <c r="G34" s="647">
        <v>7.608974533531084E-3</v>
      </c>
    </row>
    <row r="35" spans="1:7" ht="15" customHeight="1">
      <c r="A35" s="271">
        <v>22</v>
      </c>
      <c r="B35" s="272" t="s">
        <v>916</v>
      </c>
      <c r="C35" s="676">
        <v>2.3150109138095544E-2</v>
      </c>
      <c r="D35" s="676">
        <v>2.1710368413580514E-2</v>
      </c>
      <c r="E35" s="646">
        <v>2.3854461028989898E-2</v>
      </c>
      <c r="F35" s="647">
        <v>2.4218495933569111E-2</v>
      </c>
      <c r="G35" s="647">
        <v>2.2351396139721494E-2</v>
      </c>
    </row>
    <row r="36" spans="1:7">
      <c r="A36" s="271">
        <v>23</v>
      </c>
      <c r="B36" s="272" t="s">
        <v>14</v>
      </c>
      <c r="C36" s="676">
        <v>0.1047112292548965</v>
      </c>
      <c r="D36" s="676">
        <v>0.10553754595913843</v>
      </c>
      <c r="E36" s="646">
        <v>0.10483005715849104</v>
      </c>
      <c r="F36" s="647">
        <v>0.10202260530010368</v>
      </c>
      <c r="G36" s="647">
        <v>0.10079318721264928</v>
      </c>
    </row>
    <row r="37" spans="1:7" ht="15" customHeight="1">
      <c r="A37" s="271">
        <v>24</v>
      </c>
      <c r="B37" s="272" t="s">
        <v>15</v>
      </c>
      <c r="C37" s="676">
        <v>0.1636524434755938</v>
      </c>
      <c r="D37" s="676">
        <v>0.15385412238763405</v>
      </c>
      <c r="E37" s="646">
        <v>0.16560729840761365</v>
      </c>
      <c r="F37" s="647">
        <v>0.1421135265673365</v>
      </c>
      <c r="G37" s="647">
        <v>0.13854944490065235</v>
      </c>
    </row>
    <row r="38" spans="1:7">
      <c r="A38" s="271">
        <v>25</v>
      </c>
      <c r="B38" s="272" t="s">
        <v>16</v>
      </c>
      <c r="C38" s="676">
        <v>3.4499278466451511E-2</v>
      </c>
      <c r="D38" s="676">
        <v>0.23448532266881417</v>
      </c>
      <c r="E38" s="646">
        <v>0.15105222642033289</v>
      </c>
      <c r="F38" s="647">
        <v>9.1649319680043195E-2</v>
      </c>
      <c r="G38" s="647">
        <v>3.5511579153565176E-2</v>
      </c>
    </row>
    <row r="39" spans="1:7" ht="15" customHeight="1">
      <c r="A39" s="266"/>
      <c r="B39" s="267" t="s">
        <v>17</v>
      </c>
      <c r="C39" s="172"/>
      <c r="D39" s="172"/>
      <c r="E39" s="172"/>
      <c r="F39" s="172"/>
      <c r="G39" s="172"/>
    </row>
    <row r="40" spans="1:7" ht="15" customHeight="1">
      <c r="A40" s="271">
        <v>26</v>
      </c>
      <c r="B40" s="272" t="s">
        <v>18</v>
      </c>
      <c r="C40" s="713">
        <v>0.11046786845041665</v>
      </c>
      <c r="D40" s="646">
        <v>0.13255580313065779</v>
      </c>
      <c r="E40" s="646">
        <v>0.11610159083557653</v>
      </c>
      <c r="F40" s="646">
        <v>0.12607274742867008</v>
      </c>
      <c r="G40" s="646">
        <v>9.998351951010695E-2</v>
      </c>
    </row>
    <row r="41" spans="1:7" ht="15" customHeight="1">
      <c r="A41" s="271">
        <v>27</v>
      </c>
      <c r="B41" s="272" t="s">
        <v>19</v>
      </c>
      <c r="C41" s="676">
        <v>0.29386809601774244</v>
      </c>
      <c r="D41" s="646">
        <v>0.29472987017321994</v>
      </c>
      <c r="E41" s="646">
        <v>0.27861079501586511</v>
      </c>
      <c r="F41" s="646">
        <v>0.29363022332181665</v>
      </c>
      <c r="G41" s="646">
        <v>0.28190544393189232</v>
      </c>
    </row>
    <row r="42" spans="1:7" ht="15" customHeight="1">
      <c r="A42" s="271">
        <v>28</v>
      </c>
      <c r="B42" s="273" t="s">
        <v>20</v>
      </c>
      <c r="C42" s="676">
        <v>0.13009080712677226</v>
      </c>
      <c r="D42" s="646">
        <v>0.13029340827766825</v>
      </c>
      <c r="E42" s="646">
        <v>0.1260631759024764</v>
      </c>
      <c r="F42" s="646">
        <v>0.11679645504787096</v>
      </c>
      <c r="G42" s="646">
        <v>0.11421871307533431</v>
      </c>
    </row>
    <row r="43" spans="1:7" ht="15" customHeight="1">
      <c r="A43" s="274"/>
      <c r="B43" s="267" t="s">
        <v>344</v>
      </c>
      <c r="C43" s="172"/>
      <c r="D43" s="172"/>
      <c r="E43" s="172"/>
      <c r="F43" s="172"/>
      <c r="G43" s="172"/>
    </row>
    <row r="44" spans="1:7" ht="15" customHeight="1">
      <c r="A44" s="271">
        <v>29</v>
      </c>
      <c r="B44" s="313" t="s">
        <v>328</v>
      </c>
      <c r="C44" s="712">
        <v>579899865.21368909</v>
      </c>
      <c r="D44" s="712">
        <v>545781804.70498872</v>
      </c>
      <c r="E44" s="648">
        <v>512120895.02282596</v>
      </c>
      <c r="F44" s="649">
        <v>424668688.78186804</v>
      </c>
      <c r="G44" s="649">
        <v>345796040.55633342</v>
      </c>
    </row>
    <row r="45" spans="1:7">
      <c r="A45" s="271">
        <v>30</v>
      </c>
      <c r="B45" s="272" t="s">
        <v>329</v>
      </c>
      <c r="C45" s="712">
        <v>395271949.79498959</v>
      </c>
      <c r="D45" s="712">
        <v>344821573.04741859</v>
      </c>
      <c r="E45" s="648">
        <v>346530349.86430192</v>
      </c>
      <c r="F45" s="650">
        <v>320037655.96559638</v>
      </c>
      <c r="G45" s="650">
        <v>274703477.41600484</v>
      </c>
    </row>
    <row r="46" spans="1:7">
      <c r="A46" s="310">
        <v>31</v>
      </c>
      <c r="B46" s="311" t="s">
        <v>327</v>
      </c>
      <c r="C46" s="713">
        <v>1.4670908611513112</v>
      </c>
      <c r="D46" s="713">
        <v>1.5827948346779765</v>
      </c>
      <c r="E46" s="651">
        <v>1.4778529361811101</v>
      </c>
      <c r="F46" s="646">
        <v>1.3269335056857163</v>
      </c>
      <c r="G46" s="646">
        <v>1.2587974633923822</v>
      </c>
    </row>
    <row r="47" spans="1:7">
      <c r="A47" s="310"/>
      <c r="B47" s="267" t="s">
        <v>422</v>
      </c>
      <c r="C47" s="172"/>
      <c r="D47" s="172"/>
      <c r="E47" s="172"/>
      <c r="F47" s="172"/>
      <c r="G47" s="172"/>
    </row>
    <row r="48" spans="1:7">
      <c r="A48" s="310">
        <v>32</v>
      </c>
      <c r="B48" s="311" t="s">
        <v>429</v>
      </c>
      <c r="C48" s="312">
        <v>2928826852.4763894</v>
      </c>
      <c r="D48" s="312">
        <v>2931103746.7663841</v>
      </c>
      <c r="E48" s="652">
        <v>2687495564.27</v>
      </c>
      <c r="F48" s="653">
        <v>2559665228.5770578</v>
      </c>
      <c r="G48" s="653">
        <v>2311402468.1668806</v>
      </c>
    </row>
    <row r="49" spans="1:7">
      <c r="A49" s="310">
        <v>33</v>
      </c>
      <c r="B49" s="311" t="s">
        <v>442</v>
      </c>
      <c r="C49" s="312">
        <v>2445397271.488596</v>
      </c>
      <c r="D49" s="312">
        <v>2350925286.1675072</v>
      </c>
      <c r="E49" s="652">
        <v>2189643035.6148629</v>
      </c>
      <c r="F49" s="653">
        <v>2071267650.1338389</v>
      </c>
      <c r="G49" s="653">
        <v>1953393297.8604517</v>
      </c>
    </row>
    <row r="50" spans="1:7" ht="15" thickBot="1">
      <c r="A50" s="60">
        <v>34</v>
      </c>
      <c r="B50" s="136" t="s">
        <v>456</v>
      </c>
      <c r="C50" s="677">
        <v>1.1976895887732439</v>
      </c>
      <c r="D50" s="677">
        <v>1.2467872815918737</v>
      </c>
      <c r="E50" s="654">
        <v>1.2273669819954638</v>
      </c>
      <c r="F50" s="655">
        <v>1.2357964594347139</v>
      </c>
      <c r="G50" s="655">
        <v>1.1832755189129376</v>
      </c>
    </row>
    <row r="51" spans="1:7">
      <c r="A51" s="15"/>
    </row>
    <row r="52" spans="1:7">
      <c r="B52" s="17"/>
    </row>
    <row r="53" spans="1:7" ht="69">
      <c r="B53" s="210"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election activeCell="C32" sqref="C32"/>
    </sheetView>
  </sheetViews>
  <sheetFormatPr defaultRowHeight="14.4"/>
  <cols>
    <col min="1" max="1" width="11.44140625" customWidth="1"/>
    <col min="2" max="2" width="76.77734375" style="2" customWidth="1"/>
    <col min="3" max="3" width="22.77734375" customWidth="1"/>
  </cols>
  <sheetData>
    <row r="1" spans="1:3">
      <c r="A1" s="1" t="s">
        <v>97</v>
      </c>
      <c r="B1" t="str">
        <f>Info!C2</f>
        <v>სს "კრედო ბანკი"</v>
      </c>
    </row>
    <row r="2" spans="1:3">
      <c r="A2" s="1" t="s">
        <v>98</v>
      </c>
      <c r="B2" s="275">
        <f>'1. key ratios'!B2</f>
        <v>46112</v>
      </c>
    </row>
    <row r="3" spans="1:3">
      <c r="A3" s="1"/>
      <c r="B3"/>
    </row>
    <row r="4" spans="1:3">
      <c r="A4" s="1" t="s">
        <v>406</v>
      </c>
      <c r="B4" t="s">
        <v>375</v>
      </c>
    </row>
    <row r="5" spans="1:3">
      <c r="A5" s="598"/>
      <c r="B5" s="598" t="s">
        <v>376</v>
      </c>
      <c r="C5" s="599"/>
    </row>
    <row r="6" spans="1:3">
      <c r="A6" s="600">
        <v>1</v>
      </c>
      <c r="B6" s="601" t="s">
        <v>376</v>
      </c>
      <c r="C6" s="602">
        <f>'2. SOFP'!E69</f>
        <v>3912916778.916029</v>
      </c>
    </row>
    <row r="7" spans="1:3">
      <c r="A7" s="600">
        <v>2</v>
      </c>
      <c r="B7" s="601" t="s">
        <v>377</v>
      </c>
      <c r="C7" s="602">
        <f>'9. Capital'!C15</f>
        <v>37595408.789999999</v>
      </c>
    </row>
    <row r="8" spans="1:3">
      <c r="A8" s="603">
        <v>3</v>
      </c>
      <c r="B8" s="604" t="s">
        <v>378</v>
      </c>
      <c r="C8" s="605">
        <f>C6-C7</f>
        <v>3875321370.126029</v>
      </c>
    </row>
    <row r="9" spans="1:3">
      <c r="A9" s="606"/>
      <c r="B9" s="606" t="s">
        <v>379</v>
      </c>
      <c r="C9" s="607"/>
    </row>
    <row r="10" spans="1:3">
      <c r="A10" s="608">
        <v>4</v>
      </c>
      <c r="B10" s="609" t="s">
        <v>380</v>
      </c>
      <c r="C10" s="602">
        <f>'15. CCR'!F34</f>
        <v>0</v>
      </c>
    </row>
    <row r="11" spans="1:3">
      <c r="A11" s="608">
        <v>5</v>
      </c>
      <c r="B11" s="610" t="s">
        <v>381</v>
      </c>
      <c r="C11" s="602">
        <f>'15. CCR'!G34</f>
        <v>3827538.0930596557</v>
      </c>
    </row>
    <row r="12" spans="1:3">
      <c r="A12" s="608">
        <v>6</v>
      </c>
      <c r="B12" s="611" t="s">
        <v>978</v>
      </c>
      <c r="C12" s="605">
        <f>'15. CCR'!I34</f>
        <v>5358553.3302835179</v>
      </c>
    </row>
    <row r="13" spans="1:3">
      <c r="A13" s="612">
        <v>7</v>
      </c>
      <c r="B13" s="613" t="s">
        <v>382</v>
      </c>
      <c r="C13" s="602">
        <f>'15. CCR'!E34</f>
        <v>0</v>
      </c>
    </row>
    <row r="14" spans="1:3">
      <c r="A14" s="614">
        <v>8</v>
      </c>
      <c r="B14" s="615" t="s">
        <v>383</v>
      </c>
      <c r="C14" s="605">
        <f>C12</f>
        <v>5358553.3302835179</v>
      </c>
    </row>
    <row r="15" spans="1:3">
      <c r="A15" s="606"/>
      <c r="B15" s="606" t="s">
        <v>384</v>
      </c>
      <c r="C15" s="616"/>
    </row>
    <row r="16" spans="1:3">
      <c r="A16" s="612">
        <v>9</v>
      </c>
      <c r="B16" s="617" t="s">
        <v>385</v>
      </c>
      <c r="C16" s="602"/>
    </row>
    <row r="17" spans="1:3">
      <c r="A17" s="608">
        <v>10</v>
      </c>
      <c r="B17" s="601" t="s">
        <v>386</v>
      </c>
      <c r="C17" s="602"/>
    </row>
    <row r="18" spans="1:3">
      <c r="A18" s="608">
        <v>11</v>
      </c>
      <c r="B18" s="601" t="s">
        <v>387</v>
      </c>
      <c r="C18" s="602"/>
    </row>
    <row r="19" spans="1:3" ht="22.8">
      <c r="A19" s="612">
        <v>12</v>
      </c>
      <c r="B19" s="617" t="s">
        <v>388</v>
      </c>
      <c r="C19" s="602"/>
    </row>
    <row r="20" spans="1:3">
      <c r="A20" s="612">
        <v>13</v>
      </c>
      <c r="B20" s="617" t="s">
        <v>389</v>
      </c>
      <c r="C20" s="602"/>
    </row>
    <row r="21" spans="1:3">
      <c r="A21" s="612">
        <v>14</v>
      </c>
      <c r="B21" s="601" t="s">
        <v>390</v>
      </c>
      <c r="C21" s="602"/>
    </row>
    <row r="22" spans="1:3">
      <c r="A22" s="614">
        <v>15</v>
      </c>
      <c r="B22" s="615" t="s">
        <v>391</v>
      </c>
      <c r="C22" s="605">
        <f>SUM(C16:C21)</f>
        <v>0</v>
      </c>
    </row>
    <row r="23" spans="1:3">
      <c r="A23" s="606"/>
      <c r="B23" s="606" t="s">
        <v>392</v>
      </c>
      <c r="C23" s="607"/>
    </row>
    <row r="24" spans="1:3">
      <c r="A24" s="608">
        <v>16</v>
      </c>
      <c r="B24" s="601" t="s">
        <v>393</v>
      </c>
      <c r="C24" s="602">
        <v>466379698.06938028</v>
      </c>
    </row>
    <row r="25" spans="1:3">
      <c r="A25" s="608">
        <v>17</v>
      </c>
      <c r="B25" s="601" t="s">
        <v>394</v>
      </c>
      <c r="C25" s="769">
        <v>-340264173.33306682</v>
      </c>
    </row>
    <row r="26" spans="1:3">
      <c r="A26" s="614">
        <v>18</v>
      </c>
      <c r="B26" s="615" t="s">
        <v>395</v>
      </c>
      <c r="C26" s="605">
        <f>C24+C25</f>
        <v>126115524.73631346</v>
      </c>
    </row>
    <row r="27" spans="1:3">
      <c r="A27" s="606"/>
      <c r="B27" s="606" t="s">
        <v>396</v>
      </c>
      <c r="C27" s="616"/>
    </row>
    <row r="28" spans="1:3">
      <c r="A28" s="608">
        <v>19</v>
      </c>
      <c r="B28" s="601" t="s">
        <v>397</v>
      </c>
      <c r="C28" s="602"/>
    </row>
    <row r="29" spans="1:3">
      <c r="A29" s="608">
        <v>20</v>
      </c>
      <c r="B29" s="601" t="s">
        <v>398</v>
      </c>
      <c r="C29" s="602"/>
    </row>
    <row r="30" spans="1:3">
      <c r="A30" s="606"/>
      <c r="B30" s="606" t="s">
        <v>399</v>
      </c>
      <c r="C30" s="607"/>
    </row>
    <row r="31" spans="1:3">
      <c r="A31" s="614">
        <v>21</v>
      </c>
      <c r="B31" s="615" t="s">
        <v>75</v>
      </c>
      <c r="C31" s="605">
        <f>'1. key ratios'!C9</f>
        <v>483166662.88602871</v>
      </c>
    </row>
    <row r="32" spans="1:3">
      <c r="A32" s="614">
        <v>22</v>
      </c>
      <c r="B32" s="615" t="s">
        <v>400</v>
      </c>
      <c r="C32" s="605">
        <f>C8+C14+C22+C26</f>
        <v>4006795448.192626</v>
      </c>
    </row>
    <row r="33" spans="1:3">
      <c r="A33" s="618"/>
      <c r="B33" s="618" t="s">
        <v>375</v>
      </c>
      <c r="C33" s="607"/>
    </row>
    <row r="34" spans="1:3">
      <c r="A34" s="614">
        <v>23</v>
      </c>
      <c r="B34" s="615" t="s">
        <v>375</v>
      </c>
      <c r="C34" s="720">
        <f>IFERROR(C31/C32,0)</f>
        <v>0.12058680537434827</v>
      </c>
    </row>
    <row r="35" spans="1:3">
      <c r="A35" s="618"/>
      <c r="B35" s="618" t="s">
        <v>401</v>
      </c>
      <c r="C35" s="607"/>
    </row>
    <row r="36" spans="1:3">
      <c r="A36" s="612" t="s">
        <v>402</v>
      </c>
      <c r="B36" s="617" t="s">
        <v>403</v>
      </c>
      <c r="C36" s="619"/>
    </row>
    <row r="37" spans="1:3">
      <c r="A37" s="620" t="s">
        <v>404</v>
      </c>
      <c r="B37" s="621" t="s">
        <v>405</v>
      </c>
      <c r="C37" s="619"/>
    </row>
    <row r="39" spans="1:3">
      <c r="B39" s="248"/>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12"/>
  <sheetViews>
    <sheetView zoomScale="80" zoomScaleNormal="80" workbookViewId="0">
      <selection activeCell="C7" sqref="C7:C9"/>
    </sheetView>
  </sheetViews>
  <sheetFormatPr defaultRowHeight="14.4"/>
  <cols>
    <col min="1" max="1" width="11.44140625" customWidth="1"/>
    <col min="2" max="2" width="76.77734375" style="2" customWidth="1"/>
    <col min="3" max="6" width="24.44140625" customWidth="1"/>
  </cols>
  <sheetData>
    <row r="1" spans="1:6">
      <c r="A1" s="12" t="s">
        <v>97</v>
      </c>
      <c r="B1">
        <f>[5]Info!C2</f>
        <v>0</v>
      </c>
    </row>
    <row r="2" spans="1:6">
      <c r="A2" s="1" t="s">
        <v>98</v>
      </c>
      <c r="B2" s="275">
        <f>'[5]1. key ratios'!B2</f>
        <v>45747</v>
      </c>
    </row>
    <row r="3" spans="1:6">
      <c r="A3" s="1"/>
      <c r="B3"/>
    </row>
    <row r="4" spans="1:6">
      <c r="A4" s="597" t="s">
        <v>970</v>
      </c>
    </row>
    <row r="5" spans="1:6" ht="86.4">
      <c r="B5" s="591"/>
      <c r="C5" s="592" t="s">
        <v>971</v>
      </c>
      <c r="D5" s="592" t="s">
        <v>972</v>
      </c>
      <c r="E5" s="592" t="s">
        <v>973</v>
      </c>
      <c r="F5" s="592" t="s">
        <v>974</v>
      </c>
    </row>
    <row r="6" spans="1:6">
      <c r="B6" s="593" t="s">
        <v>969</v>
      </c>
      <c r="C6" s="594">
        <f>IF(C7&gt;0,C7,IF(C8&gt;0,C8,IF(C9&gt;0,C9)))</f>
        <v>74676.172347333137</v>
      </c>
      <c r="D6" s="594">
        <f>IF(D7&gt;0,D7,IF(D8&gt;0,D8,IF(D9&gt;0,D9,0)))</f>
        <v>0</v>
      </c>
      <c r="E6" s="594">
        <f>IF(E7&gt;0,E7,IF(E8&gt;0,E8,IF(E9&gt;0,E9,0)))</f>
        <v>0</v>
      </c>
      <c r="F6" s="594">
        <f>IF(F7&gt;0,F7,IF(F8&gt;0,F8,IF(F9&gt;0,F9,0)))</f>
        <v>74676.172347333137</v>
      </c>
    </row>
    <row r="7" spans="1:6">
      <c r="B7" s="595" t="s">
        <v>975</v>
      </c>
      <c r="C7" s="596">
        <v>74676.172347333137</v>
      </c>
      <c r="D7" s="596">
        <v>0</v>
      </c>
      <c r="E7" s="596">
        <v>0</v>
      </c>
      <c r="F7" s="596">
        <f>C7-D7-E7</f>
        <v>74676.172347333137</v>
      </c>
    </row>
    <row r="8" spans="1:6">
      <c r="B8" s="595" t="s">
        <v>976</v>
      </c>
      <c r="C8" s="596">
        <v>600697.43049757404</v>
      </c>
      <c r="D8" s="596">
        <v>0</v>
      </c>
      <c r="E8" s="596">
        <v>0</v>
      </c>
      <c r="F8" s="596">
        <f t="shared" ref="F8:F9" si="0">C8-D8-E8</f>
        <v>600697.43049757404</v>
      </c>
    </row>
    <row r="9" spans="1:6">
      <c r="B9" s="595" t="s">
        <v>977</v>
      </c>
      <c r="C9" s="596">
        <v>600697.43049757404</v>
      </c>
      <c r="D9" s="596">
        <v>0</v>
      </c>
      <c r="E9" s="596">
        <v>0</v>
      </c>
      <c r="F9" s="596">
        <f t="shared" si="0"/>
        <v>600697.43049757404</v>
      </c>
    </row>
    <row r="12" spans="1:6">
      <c r="D12" s="721"/>
      <c r="E12" s="721"/>
      <c r="F12" s="721"/>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J42"/>
  <sheetViews>
    <sheetView zoomScale="80" zoomScaleNormal="80" workbookViewId="0">
      <pane xSplit="2" ySplit="6" topLeftCell="C25" activePane="bottomRight" state="frozen"/>
      <selection pane="topRight" activeCell="C1" sqref="C1"/>
      <selection pane="bottomLeft" activeCell="A7" sqref="A7"/>
      <selection pane="bottomRight" activeCell="E42" sqref="E42"/>
    </sheetView>
  </sheetViews>
  <sheetFormatPr defaultRowHeight="14.4"/>
  <cols>
    <col min="1" max="1" width="9.88671875" style="1" bestFit="1" customWidth="1"/>
    <col min="2" max="2" width="82.6640625" style="17" customWidth="1"/>
    <col min="3" max="7" width="17.5546875" style="1" customWidth="1"/>
    <col min="8" max="9" width="14.77734375" customWidth="1"/>
    <col min="10" max="10" width="16.33203125" bestFit="1" customWidth="1"/>
    <col min="11" max="11" width="11" bestFit="1" customWidth="1"/>
  </cols>
  <sheetData>
    <row r="1" spans="1:10">
      <c r="A1" s="1" t="s">
        <v>97</v>
      </c>
      <c r="B1" s="1" t="str">
        <f>Info!C2</f>
        <v>სს "კრედო ბანკი"</v>
      </c>
    </row>
    <row r="2" spans="1:10">
      <c r="A2" s="1" t="s">
        <v>98</v>
      </c>
      <c r="B2" s="275">
        <f>'1. key ratios'!B2</f>
        <v>46112</v>
      </c>
    </row>
    <row r="3" spans="1:10">
      <c r="B3" s="275"/>
    </row>
    <row r="4" spans="1:10" ht="15" thickBot="1">
      <c r="A4" s="1" t="s">
        <v>457</v>
      </c>
      <c r="B4" s="166" t="s">
        <v>422</v>
      </c>
    </row>
    <row r="5" spans="1:10">
      <c r="A5" s="277"/>
      <c r="B5" s="278"/>
      <c r="C5" s="770" t="s">
        <v>423</v>
      </c>
      <c r="D5" s="770"/>
      <c r="E5" s="770"/>
      <c r="F5" s="770"/>
      <c r="G5" s="771" t="s">
        <v>424</v>
      </c>
    </row>
    <row r="6" spans="1:10">
      <c r="A6" s="279"/>
      <c r="B6" s="280"/>
      <c r="C6" s="281" t="s">
        <v>425</v>
      </c>
      <c r="D6" s="281" t="s">
        <v>426</v>
      </c>
      <c r="E6" s="281" t="s">
        <v>427</v>
      </c>
      <c r="F6" s="281" t="s">
        <v>428</v>
      </c>
      <c r="G6" s="772"/>
      <c r="H6" s="767"/>
      <c r="I6" s="767"/>
    </row>
    <row r="7" spans="1:10">
      <c r="A7" s="282"/>
      <c r="B7" s="283" t="s">
        <v>429</v>
      </c>
      <c r="C7" s="284"/>
      <c r="D7" s="284"/>
      <c r="E7" s="284"/>
      <c r="F7" s="284"/>
      <c r="G7" s="285"/>
      <c r="J7" s="742"/>
    </row>
    <row r="8" spans="1:10">
      <c r="A8" s="286">
        <v>1</v>
      </c>
      <c r="B8" s="287" t="s">
        <v>430</v>
      </c>
      <c r="C8" s="724">
        <f>SUM(C9:C10)</f>
        <v>483166662.91000003</v>
      </c>
      <c r="D8" s="288">
        <f>SUM(D9:D10)</f>
        <v>0</v>
      </c>
      <c r="E8" s="288">
        <f>SUM(E9:E10)</f>
        <v>0</v>
      </c>
      <c r="F8" s="724">
        <f>SUM(F9:F10)</f>
        <v>1228364231.5799999</v>
      </c>
      <c r="G8" s="295">
        <f>SUM(G9:G10)</f>
        <v>1711530894.49</v>
      </c>
      <c r="J8" s="742"/>
    </row>
    <row r="9" spans="1:10">
      <c r="A9" s="286">
        <v>2</v>
      </c>
      <c r="B9" s="290" t="s">
        <v>74</v>
      </c>
      <c r="C9" s="288">
        <v>483166662.91000003</v>
      </c>
      <c r="D9" s="288"/>
      <c r="E9" s="288"/>
      <c r="F9" s="288">
        <v>131407539.36</v>
      </c>
      <c r="G9" s="289">
        <f>C9+F9</f>
        <v>614574202.26999998</v>
      </c>
      <c r="H9" s="745"/>
      <c r="I9" s="745"/>
      <c r="J9" s="745"/>
    </row>
    <row r="10" spans="1:10">
      <c r="A10" s="286">
        <v>3</v>
      </c>
      <c r="B10" s="290" t="s">
        <v>431</v>
      </c>
      <c r="C10" s="291"/>
      <c r="D10" s="291"/>
      <c r="E10" s="291"/>
      <c r="F10" s="288">
        <f>1097022175.22-65483</f>
        <v>1096956692.22</v>
      </c>
      <c r="G10" s="289">
        <f>F10</f>
        <v>1096956692.22</v>
      </c>
      <c r="H10" s="745"/>
      <c r="I10" s="745"/>
    </row>
    <row r="11" spans="1:10" ht="27.6">
      <c r="A11" s="286">
        <v>4</v>
      </c>
      <c r="B11" s="287" t="s">
        <v>432</v>
      </c>
      <c r="C11" s="724">
        <f t="shared" ref="C11:F11" si="0">SUM(C12:C13)</f>
        <v>413171300.88</v>
      </c>
      <c r="D11" s="724">
        <f t="shared" si="0"/>
        <v>513617189.37</v>
      </c>
      <c r="E11" s="724">
        <f t="shared" si="0"/>
        <v>256905132.04000002</v>
      </c>
      <c r="F11" s="724">
        <f t="shared" si="0"/>
        <v>6981983.1600000001</v>
      </c>
      <c r="G11" s="295">
        <f>SUM(G12:G13)</f>
        <v>882740459.75670207</v>
      </c>
      <c r="H11" s="745"/>
      <c r="I11" s="745"/>
      <c r="J11" s="745"/>
    </row>
    <row r="12" spans="1:10">
      <c r="A12" s="286">
        <v>5</v>
      </c>
      <c r="B12" s="290" t="s">
        <v>433</v>
      </c>
      <c r="C12" s="288">
        <v>115446756.63</v>
      </c>
      <c r="D12" s="292">
        <v>322240450.63999999</v>
      </c>
      <c r="E12" s="288">
        <v>196466857.55156001</v>
      </c>
      <c r="F12" s="288">
        <f>4453018.36+65488</f>
        <v>4518506.3600000003</v>
      </c>
      <c r="G12" s="289">
        <f>SUM(C12:F12)*0.95</f>
        <v>606738942.62248206</v>
      </c>
      <c r="H12" s="745"/>
      <c r="I12" s="745"/>
    </row>
    <row r="13" spans="1:10">
      <c r="A13" s="286">
        <v>6</v>
      </c>
      <c r="B13" s="290" t="s">
        <v>434</v>
      </c>
      <c r="C13" s="288">
        <v>297724544.25</v>
      </c>
      <c r="D13" s="292">
        <v>191376738.72999999</v>
      </c>
      <c r="E13" s="288">
        <v>60438274.48844</v>
      </c>
      <c r="F13" s="288">
        <v>2463476.7999999998</v>
      </c>
      <c r="G13" s="289">
        <f>SUM(C13:F13)*0.5</f>
        <v>276001517.13422</v>
      </c>
      <c r="H13" s="745"/>
      <c r="I13" s="745"/>
      <c r="J13" s="742"/>
    </row>
    <row r="14" spans="1:10">
      <c r="A14" s="286">
        <v>7</v>
      </c>
      <c r="B14" s="287" t="s">
        <v>435</v>
      </c>
      <c r="C14" s="724">
        <f t="shared" ref="C14:F14" si="1">SUM(C15:C16)</f>
        <v>95863201.489999995</v>
      </c>
      <c r="D14" s="724">
        <f t="shared" si="1"/>
        <v>353640468.44</v>
      </c>
      <c r="E14" s="724">
        <f t="shared" si="1"/>
        <v>407514493.919375</v>
      </c>
      <c r="F14" s="724">
        <f t="shared" si="1"/>
        <v>1148712.56</v>
      </c>
      <c r="G14" s="295">
        <f>SUM(G15:G16)</f>
        <v>334555496.56968749</v>
      </c>
      <c r="H14" s="745"/>
      <c r="I14" s="745"/>
    </row>
    <row r="15" spans="1:10" ht="55.2">
      <c r="A15" s="286">
        <v>8</v>
      </c>
      <c r="B15" s="290" t="s">
        <v>436</v>
      </c>
      <c r="C15" s="288">
        <v>95863201.489999995</v>
      </c>
      <c r="D15" s="722">
        <v>164584585.16999999</v>
      </c>
      <c r="E15" s="288">
        <v>308902986.95510298</v>
      </c>
      <c r="F15" s="288">
        <v>1148712.56</v>
      </c>
      <c r="G15" s="289">
        <f>SUM(C15:F15)*0.5</f>
        <v>285249743.08755147</v>
      </c>
      <c r="H15" s="745"/>
      <c r="I15" s="745"/>
      <c r="J15" s="744"/>
    </row>
    <row r="16" spans="1:10" ht="27.6">
      <c r="A16" s="286">
        <v>9</v>
      </c>
      <c r="B16" s="290" t="s">
        <v>437</v>
      </c>
      <c r="C16" s="288"/>
      <c r="D16" s="723">
        <v>189055883.27000001</v>
      </c>
      <c r="E16" s="288">
        <v>98611506.964272007</v>
      </c>
      <c r="F16" s="288"/>
      <c r="G16" s="289">
        <f>D16*0%+E16*50%</f>
        <v>49305753.482136004</v>
      </c>
      <c r="H16" s="745"/>
      <c r="I16" s="745"/>
      <c r="J16" s="745"/>
    </row>
    <row r="17" spans="1:10">
      <c r="A17" s="286">
        <v>10</v>
      </c>
      <c r="B17" s="287" t="s">
        <v>438</v>
      </c>
      <c r="C17" s="288"/>
      <c r="D17" s="292"/>
      <c r="E17" s="288"/>
      <c r="F17" s="288"/>
      <c r="G17" s="289"/>
      <c r="H17" s="745"/>
      <c r="I17" s="745"/>
      <c r="J17" s="745"/>
    </row>
    <row r="18" spans="1:10">
      <c r="A18" s="286">
        <v>11</v>
      </c>
      <c r="B18" s="287" t="s">
        <v>78</v>
      </c>
      <c r="C18" s="724">
        <f>SUM(C19:C20)</f>
        <v>53706756.944498695</v>
      </c>
      <c r="D18" s="684">
        <f t="shared" ref="D18:G18" si="2">SUM(D19:D20)</f>
        <v>11779519.378095649</v>
      </c>
      <c r="E18" s="724">
        <f t="shared" si="2"/>
        <v>5389661.6912374049</v>
      </c>
      <c r="F18" s="724">
        <f t="shared" si="2"/>
        <v>44072055.676028594</v>
      </c>
      <c r="G18" s="289">
        <f t="shared" si="2"/>
        <v>0</v>
      </c>
      <c r="H18" s="745"/>
      <c r="I18" s="745"/>
      <c r="J18" s="742"/>
    </row>
    <row r="19" spans="1:10">
      <c r="A19" s="286">
        <v>12</v>
      </c>
      <c r="B19" s="290" t="s">
        <v>439</v>
      </c>
      <c r="C19" s="291"/>
      <c r="D19" s="292">
        <v>8813229.4299999997</v>
      </c>
      <c r="E19" s="288"/>
      <c r="F19" s="288"/>
      <c r="G19" s="289"/>
      <c r="H19" s="745"/>
      <c r="I19" s="745"/>
      <c r="J19" s="742"/>
    </row>
    <row r="20" spans="1:10" ht="27.6">
      <c r="A20" s="286">
        <v>13</v>
      </c>
      <c r="B20" s="290" t="s">
        <v>440</v>
      </c>
      <c r="C20" s="300">
        <v>53706756.944498695</v>
      </c>
      <c r="D20" s="300">
        <v>2966289.9480956495</v>
      </c>
      <c r="E20" s="300">
        <v>5389661.6912374049</v>
      </c>
      <c r="F20" s="300">
        <v>44072055.676028594</v>
      </c>
      <c r="G20" s="743"/>
      <c r="I20" s="742"/>
      <c r="J20" s="742"/>
    </row>
    <row r="21" spans="1:10">
      <c r="A21" s="293">
        <v>14</v>
      </c>
      <c r="B21" s="294" t="s">
        <v>441</v>
      </c>
      <c r="C21" s="291"/>
      <c r="D21" s="291"/>
      <c r="E21" s="291"/>
      <c r="F21" s="291"/>
      <c r="G21" s="295">
        <f>SUM(G8,G11,G14,G17,G18)</f>
        <v>2928826850.8163896</v>
      </c>
      <c r="J21" s="742"/>
    </row>
    <row r="22" spans="1:10">
      <c r="A22" s="296"/>
      <c r="B22" s="314" t="s">
        <v>442</v>
      </c>
      <c r="C22" s="297"/>
      <c r="D22" s="298"/>
      <c r="E22" s="297"/>
      <c r="F22" s="297"/>
      <c r="G22" s="299"/>
      <c r="I22" s="742"/>
      <c r="J22" s="745"/>
    </row>
    <row r="23" spans="1:10">
      <c r="A23" s="286">
        <v>15</v>
      </c>
      <c r="B23" s="287" t="s">
        <v>310</v>
      </c>
      <c r="C23" s="740">
        <v>524264065.68061298</v>
      </c>
      <c r="D23" s="741">
        <v>34951267.3089417</v>
      </c>
      <c r="E23" s="740">
        <v>1816148.0192555799</v>
      </c>
      <c r="F23" s="740">
        <v>45086884.6718027</v>
      </c>
      <c r="G23" s="295">
        <v>13946352.1927725</v>
      </c>
      <c r="J23" s="742"/>
    </row>
    <row r="24" spans="1:10">
      <c r="A24" s="286">
        <v>16</v>
      </c>
      <c r="B24" s="287" t="s">
        <v>443</v>
      </c>
      <c r="C24" s="724">
        <f>SUM(C25:C27,C29,C31)</f>
        <v>222482.18115371501</v>
      </c>
      <c r="D24" s="684">
        <f t="shared" ref="D24:G24" si="3">SUM(D25:D27,D29,D31)</f>
        <v>559470941.49075007</v>
      </c>
      <c r="E24" s="724">
        <f t="shared" si="3"/>
        <v>465025024.77370459</v>
      </c>
      <c r="F24" s="724">
        <f t="shared" si="3"/>
        <v>1995523601.9902072</v>
      </c>
      <c r="G24" s="295">
        <f t="shared" si="3"/>
        <v>2183737002.6033263</v>
      </c>
    </row>
    <row r="25" spans="1:10" ht="27.6">
      <c r="A25" s="286">
        <v>17</v>
      </c>
      <c r="B25" s="290" t="s">
        <v>444</v>
      </c>
      <c r="C25" s="288"/>
      <c r="D25" s="292"/>
      <c r="E25" s="288"/>
      <c r="F25" s="288"/>
      <c r="G25" s="289"/>
    </row>
    <row r="26" spans="1:10" ht="27.6">
      <c r="A26" s="286">
        <v>18</v>
      </c>
      <c r="B26" s="290" t="s">
        <v>445</v>
      </c>
      <c r="C26" s="288">
        <v>222482.18115371501</v>
      </c>
      <c r="D26" s="292"/>
      <c r="E26" s="288"/>
      <c r="F26" s="288"/>
      <c r="G26" s="289">
        <f>C26*15%</f>
        <v>33372.327173057252</v>
      </c>
    </row>
    <row r="27" spans="1:10">
      <c r="A27" s="286">
        <v>19</v>
      </c>
      <c r="B27" s="290" t="s">
        <v>446</v>
      </c>
      <c r="C27" s="288"/>
      <c r="D27" s="292">
        <v>550251417.18384397</v>
      </c>
      <c r="E27" s="288">
        <v>455840287.61475599</v>
      </c>
      <c r="F27" s="288">
        <v>1870879229.2514901</v>
      </c>
      <c r="G27" s="289">
        <v>2093293197.2630601</v>
      </c>
    </row>
    <row r="28" spans="1:10">
      <c r="A28" s="286">
        <v>20</v>
      </c>
      <c r="B28" s="302" t="s">
        <v>447</v>
      </c>
      <c r="C28" s="288"/>
      <c r="D28" s="292">
        <v>0</v>
      </c>
      <c r="E28" s="288">
        <v>0</v>
      </c>
      <c r="F28" s="288">
        <v>0</v>
      </c>
      <c r="G28" s="289">
        <v>0</v>
      </c>
    </row>
    <row r="29" spans="1:10">
      <c r="A29" s="286">
        <v>21</v>
      </c>
      <c r="B29" s="290" t="s">
        <v>448</v>
      </c>
      <c r="C29" s="288"/>
      <c r="D29" s="292">
        <v>9219524.3069061302</v>
      </c>
      <c r="E29" s="288">
        <v>9184737.1589485798</v>
      </c>
      <c r="F29" s="288">
        <v>123697072.738717</v>
      </c>
      <c r="G29" s="289">
        <v>89605228.013093397</v>
      </c>
    </row>
    <row r="30" spans="1:10">
      <c r="A30" s="286">
        <v>22</v>
      </c>
      <c r="B30" s="302" t="s">
        <v>447</v>
      </c>
      <c r="C30" s="288"/>
      <c r="D30" s="292">
        <v>9219524.3069061302</v>
      </c>
      <c r="E30" s="288">
        <v>9184737.1589485798</v>
      </c>
      <c r="F30" s="288">
        <v>123697072.738717</v>
      </c>
      <c r="G30" s="289">
        <v>89605228.013093397</v>
      </c>
    </row>
    <row r="31" spans="1:10" ht="27.6">
      <c r="A31" s="286">
        <v>23</v>
      </c>
      <c r="B31" s="290" t="s">
        <v>449</v>
      </c>
      <c r="C31" s="288"/>
      <c r="D31" s="292">
        <v>0</v>
      </c>
      <c r="E31" s="288">
        <v>0</v>
      </c>
      <c r="F31" s="288">
        <v>947300</v>
      </c>
      <c r="G31" s="289">
        <v>805205</v>
      </c>
    </row>
    <row r="32" spans="1:10">
      <c r="A32" s="286">
        <v>24</v>
      </c>
      <c r="B32" s="287" t="s">
        <v>450</v>
      </c>
      <c r="C32" s="288"/>
      <c r="D32" s="292"/>
      <c r="E32" s="288"/>
      <c r="F32" s="288"/>
      <c r="G32" s="289"/>
    </row>
    <row r="33" spans="1:10">
      <c r="A33" s="286">
        <v>25</v>
      </c>
      <c r="B33" s="287" t="s">
        <v>88</v>
      </c>
      <c r="C33" s="724">
        <f>SUM(C34:C35)</f>
        <v>54883322.370000057</v>
      </c>
      <c r="D33" s="724">
        <f>SUM(D34:D35)</f>
        <v>65777961.838541403</v>
      </c>
      <c r="E33" s="724">
        <f>SUM(E34:E35)</f>
        <v>34973695.247039855</v>
      </c>
      <c r="F33" s="724">
        <f>SUM(F34:F35)</f>
        <v>93325975.764817998</v>
      </c>
      <c r="G33" s="289">
        <f>SUM(G34:G35)</f>
        <v>224469863.27000001</v>
      </c>
    </row>
    <row r="34" spans="1:10">
      <c r="A34" s="286">
        <v>26</v>
      </c>
      <c r="B34" s="290" t="s">
        <v>451</v>
      </c>
      <c r="C34" s="291"/>
      <c r="D34" s="292">
        <v>2531454.27</v>
      </c>
      <c r="E34" s="288"/>
      <c r="F34" s="288"/>
      <c r="G34" s="289">
        <v>2531454.27</v>
      </c>
    </row>
    <row r="35" spans="1:10">
      <c r="A35" s="286">
        <v>27</v>
      </c>
      <c r="B35" s="290" t="s">
        <v>452</v>
      </c>
      <c r="C35" s="300">
        <v>54883322.370000057</v>
      </c>
      <c r="D35" s="301">
        <v>63246507.5685414</v>
      </c>
      <c r="E35" s="300">
        <v>34973695.247039855</v>
      </c>
      <c r="F35" s="300">
        <v>93325975.764817998</v>
      </c>
      <c r="G35" s="743">
        <v>221938409</v>
      </c>
    </row>
    <row r="36" spans="1:10">
      <c r="A36" s="286">
        <v>28</v>
      </c>
      <c r="B36" s="287" t="s">
        <v>453</v>
      </c>
      <c r="C36" s="288">
        <v>431945476.92000002</v>
      </c>
      <c r="D36" s="292"/>
      <c r="E36" s="288"/>
      <c r="F36" s="288">
        <v>32935589.309999999</v>
      </c>
      <c r="G36" s="289">
        <f>SUM(C36:F36)*5%</f>
        <v>23244053.311500002</v>
      </c>
    </row>
    <row r="37" spans="1:10">
      <c r="A37" s="293">
        <v>29</v>
      </c>
      <c r="B37" s="294" t="s">
        <v>454</v>
      </c>
      <c r="C37" s="291"/>
      <c r="D37" s="291"/>
      <c r="E37" s="291"/>
      <c r="F37" s="291"/>
      <c r="G37" s="295">
        <f>SUM(G23:G24,G32:G33,G36)</f>
        <v>2445397271.3775988</v>
      </c>
      <c r="H37" s="745"/>
      <c r="I37" s="742"/>
    </row>
    <row r="38" spans="1:10">
      <c r="A38" s="282"/>
      <c r="B38" s="303"/>
      <c r="C38" s="304"/>
      <c r="D38" s="304"/>
      <c r="E38" s="304"/>
      <c r="F38" s="304"/>
      <c r="G38" s="305"/>
      <c r="J38" s="742"/>
    </row>
    <row r="39" spans="1:10" ht="15" thickBot="1">
      <c r="A39" s="306">
        <v>30</v>
      </c>
      <c r="B39" s="307" t="s">
        <v>422</v>
      </c>
      <c r="C39" s="201"/>
      <c r="D39" s="185"/>
      <c r="E39" s="185"/>
      <c r="F39" s="308"/>
      <c r="G39" s="309">
        <f>IFERROR(G21/G37,0)</f>
        <v>1.1976895881487812</v>
      </c>
    </row>
    <row r="42" spans="1:10" ht="41.4">
      <c r="B42" s="17"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D21" sqref="D21:E21"/>
    </sheetView>
  </sheetViews>
  <sheetFormatPr defaultColWidth="9.21875" defaultRowHeight="12"/>
  <cols>
    <col min="1" max="1" width="11.77734375" style="319" bestFit="1" customWidth="1"/>
    <col min="2" max="2" width="105.21875" style="319" bestFit="1" customWidth="1"/>
    <col min="3" max="3" width="19.21875" style="319" customWidth="1"/>
    <col min="4" max="4" width="18.33203125" style="319" customWidth="1"/>
    <col min="5" max="5" width="17.33203125" style="319" bestFit="1" customWidth="1"/>
    <col min="6" max="6" width="18.88671875" style="319" customWidth="1"/>
    <col min="7" max="7" width="30.44140625" style="319" customWidth="1"/>
    <col min="8" max="8" width="19" style="319" customWidth="1"/>
    <col min="9" max="16384" width="9.21875" style="319"/>
  </cols>
  <sheetData>
    <row r="1" spans="1:8" ht="13.8">
      <c r="A1" s="318" t="s">
        <v>97</v>
      </c>
      <c r="B1" s="247" t="str">
        <f>Info!C2</f>
        <v>სს "კრედო ბანკი"</v>
      </c>
    </row>
    <row r="2" spans="1:8">
      <c r="A2" s="318" t="s">
        <v>98</v>
      </c>
      <c r="B2" s="321">
        <f>'1. key ratios'!B2</f>
        <v>46112</v>
      </c>
    </row>
    <row r="3" spans="1:8">
      <c r="A3" s="320" t="s">
        <v>462</v>
      </c>
    </row>
    <row r="5" spans="1:8">
      <c r="A5" s="834" t="s">
        <v>463</v>
      </c>
      <c r="B5" s="835"/>
      <c r="C5" s="840" t="s">
        <v>464</v>
      </c>
      <c r="D5" s="841"/>
      <c r="E5" s="841"/>
      <c r="F5" s="841"/>
      <c r="G5" s="841"/>
      <c r="H5" s="842"/>
    </row>
    <row r="6" spans="1:8">
      <c r="A6" s="836"/>
      <c r="B6" s="837"/>
      <c r="C6" s="843"/>
      <c r="D6" s="844"/>
      <c r="E6" s="844"/>
      <c r="F6" s="844"/>
      <c r="G6" s="844"/>
      <c r="H6" s="845"/>
    </row>
    <row r="7" spans="1:8" ht="24">
      <c r="A7" s="838"/>
      <c r="B7" s="839"/>
      <c r="C7" s="428" t="s">
        <v>465</v>
      </c>
      <c r="D7" s="428" t="s">
        <v>466</v>
      </c>
      <c r="E7" s="428" t="s">
        <v>467</v>
      </c>
      <c r="F7" s="428" t="s">
        <v>468</v>
      </c>
      <c r="G7" s="428" t="s">
        <v>648</v>
      </c>
      <c r="H7" s="428" t="s">
        <v>66</v>
      </c>
    </row>
    <row r="8" spans="1:8">
      <c r="A8" s="424">
        <v>1</v>
      </c>
      <c r="B8" s="423" t="s">
        <v>123</v>
      </c>
      <c r="C8" s="726">
        <v>229529255.255164</v>
      </c>
      <c r="D8" s="726">
        <v>34081762.779002696</v>
      </c>
      <c r="E8" s="726">
        <v>19301237.3983333</v>
      </c>
      <c r="F8" s="726">
        <v>0</v>
      </c>
      <c r="G8" s="726">
        <v>0</v>
      </c>
      <c r="H8" s="725">
        <f t="shared" ref="H8:H20" si="0">SUM(C8:G8)</f>
        <v>282912255.4325</v>
      </c>
    </row>
    <row r="9" spans="1:8">
      <c r="A9" s="424">
        <v>2</v>
      </c>
      <c r="B9" s="423" t="s">
        <v>124</v>
      </c>
      <c r="C9" s="726">
        <v>0</v>
      </c>
      <c r="D9" s="726">
        <v>0</v>
      </c>
      <c r="E9" s="726">
        <v>0</v>
      </c>
      <c r="F9" s="726">
        <v>0</v>
      </c>
      <c r="G9" s="726">
        <v>0</v>
      </c>
      <c r="H9" s="725">
        <f t="shared" si="0"/>
        <v>0</v>
      </c>
    </row>
    <row r="10" spans="1:8">
      <c r="A10" s="424">
        <v>3</v>
      </c>
      <c r="B10" s="423" t="s">
        <v>125</v>
      </c>
      <c r="C10" s="726">
        <v>0</v>
      </c>
      <c r="D10" s="726">
        <v>0</v>
      </c>
      <c r="E10" s="726">
        <v>0</v>
      </c>
      <c r="F10" s="726">
        <v>0</v>
      </c>
      <c r="G10" s="726">
        <v>0</v>
      </c>
      <c r="H10" s="725">
        <f t="shared" si="0"/>
        <v>0</v>
      </c>
    </row>
    <row r="11" spans="1:8">
      <c r="A11" s="424">
        <v>4</v>
      </c>
      <c r="B11" s="423" t="s">
        <v>126</v>
      </c>
      <c r="C11" s="726">
        <v>0</v>
      </c>
      <c r="D11" s="726">
        <v>0</v>
      </c>
      <c r="E11" s="726">
        <v>0</v>
      </c>
      <c r="F11" s="726">
        <v>0</v>
      </c>
      <c r="G11" s="726">
        <v>0</v>
      </c>
      <c r="H11" s="725">
        <f t="shared" si="0"/>
        <v>0</v>
      </c>
    </row>
    <row r="12" spans="1:8">
      <c r="A12" s="424">
        <v>5</v>
      </c>
      <c r="B12" s="423" t="s">
        <v>911</v>
      </c>
      <c r="C12" s="726">
        <v>0</v>
      </c>
      <c r="D12" s="726">
        <v>0</v>
      </c>
      <c r="E12" s="726">
        <v>0</v>
      </c>
      <c r="F12" s="726">
        <v>0</v>
      </c>
      <c r="G12" s="726">
        <v>0</v>
      </c>
      <c r="H12" s="725">
        <f t="shared" si="0"/>
        <v>0</v>
      </c>
    </row>
    <row r="13" spans="1:8">
      <c r="A13" s="424">
        <v>6</v>
      </c>
      <c r="B13" s="423" t="s">
        <v>127</v>
      </c>
      <c r="C13" s="726">
        <v>197295226.036603</v>
      </c>
      <c r="D13" s="726">
        <v>0</v>
      </c>
      <c r="E13" s="726">
        <v>0</v>
      </c>
      <c r="F13" s="726">
        <v>0</v>
      </c>
      <c r="G13" s="726">
        <v>0</v>
      </c>
      <c r="H13" s="725">
        <f t="shared" si="0"/>
        <v>197295226.036603</v>
      </c>
    </row>
    <row r="14" spans="1:8">
      <c r="A14" s="424">
        <v>7</v>
      </c>
      <c r="B14" s="423" t="s">
        <v>71</v>
      </c>
      <c r="C14" s="726">
        <v>0</v>
      </c>
      <c r="D14" s="726">
        <v>23516855.107345812</v>
      </c>
      <c r="E14" s="726">
        <v>36695604.216495581</v>
      </c>
      <c r="F14" s="726">
        <v>59550049.771077581</v>
      </c>
      <c r="G14" s="726"/>
      <c r="H14" s="725">
        <f t="shared" si="0"/>
        <v>119762509.09491897</v>
      </c>
    </row>
    <row r="15" spans="1:8">
      <c r="A15" s="424">
        <v>8</v>
      </c>
      <c r="B15" s="425" t="s">
        <v>72</v>
      </c>
      <c r="C15" s="726">
        <v>683804.93721680203</v>
      </c>
      <c r="D15" s="726">
        <v>404307205.59552056</v>
      </c>
      <c r="E15" s="726">
        <v>1736398449.7555299</v>
      </c>
      <c r="F15" s="726">
        <v>761535334.02088284</v>
      </c>
      <c r="G15" s="726"/>
      <c r="H15" s="725">
        <f t="shared" si="0"/>
        <v>2902924794.3091497</v>
      </c>
    </row>
    <row r="16" spans="1:8">
      <c r="A16" s="424">
        <v>9</v>
      </c>
      <c r="B16" s="423" t="s">
        <v>912</v>
      </c>
      <c r="C16" s="726">
        <v>0</v>
      </c>
      <c r="D16" s="726">
        <v>2284678.5592124574</v>
      </c>
      <c r="E16" s="726">
        <v>33095140.156670529</v>
      </c>
      <c r="F16" s="726">
        <v>113812393.48551342</v>
      </c>
      <c r="G16" s="726"/>
      <c r="H16" s="725">
        <f t="shared" si="0"/>
        <v>149192212.20139641</v>
      </c>
    </row>
    <row r="17" spans="1:8">
      <c r="A17" s="424">
        <v>10</v>
      </c>
      <c r="B17" s="427" t="s">
        <v>483</v>
      </c>
      <c r="C17" s="726">
        <v>240193.11617277749</v>
      </c>
      <c r="D17" s="726">
        <v>830172.0841712798</v>
      </c>
      <c r="E17" s="726">
        <v>2658200.3617201983</v>
      </c>
      <c r="F17" s="726">
        <v>831761.55392567278</v>
      </c>
      <c r="G17" s="726"/>
      <c r="H17" s="725">
        <f t="shared" si="0"/>
        <v>4560327.1159899281</v>
      </c>
    </row>
    <row r="18" spans="1:8">
      <c r="A18" s="424">
        <v>11</v>
      </c>
      <c r="B18" s="423" t="s">
        <v>68</v>
      </c>
      <c r="C18" s="726">
        <v>0</v>
      </c>
      <c r="D18" s="726">
        <v>0</v>
      </c>
      <c r="E18" s="726">
        <v>0</v>
      </c>
      <c r="F18" s="726">
        <v>0</v>
      </c>
      <c r="G18" s="726">
        <v>0</v>
      </c>
      <c r="H18" s="725">
        <f t="shared" si="0"/>
        <v>0</v>
      </c>
    </row>
    <row r="19" spans="1:8">
      <c r="A19" s="424">
        <v>12</v>
      </c>
      <c r="B19" s="423" t="s">
        <v>69</v>
      </c>
      <c r="C19" s="726">
        <v>0</v>
      </c>
      <c r="D19" s="726">
        <v>0</v>
      </c>
      <c r="E19" s="726">
        <v>0</v>
      </c>
      <c r="F19" s="726">
        <v>0</v>
      </c>
      <c r="G19" s="726">
        <v>0</v>
      </c>
      <c r="H19" s="725">
        <f t="shared" si="0"/>
        <v>0</v>
      </c>
    </row>
    <row r="20" spans="1:8">
      <c r="A20" s="426">
        <v>13</v>
      </c>
      <c r="B20" s="425" t="s">
        <v>70</v>
      </c>
      <c r="C20" s="726">
        <v>0</v>
      </c>
      <c r="D20" s="726">
        <v>0</v>
      </c>
      <c r="E20" s="726">
        <v>0</v>
      </c>
      <c r="F20" s="726">
        <v>0</v>
      </c>
      <c r="G20" s="726">
        <v>0</v>
      </c>
      <c r="H20" s="725">
        <f t="shared" si="0"/>
        <v>0</v>
      </c>
    </row>
    <row r="21" spans="1:8">
      <c r="A21" s="424">
        <v>14</v>
      </c>
      <c r="B21" s="423" t="s">
        <v>469</v>
      </c>
      <c r="C21" s="726">
        <v>97662066.570000008</v>
      </c>
      <c r="D21" s="726">
        <v>25737151</v>
      </c>
      <c r="E21" s="726">
        <v>36537436.990000002</v>
      </c>
      <c r="F21" s="726">
        <v>0</v>
      </c>
      <c r="G21" s="726">
        <v>63297718.470000051</v>
      </c>
      <c r="H21" s="725">
        <f>SUM(C21:G21)</f>
        <v>223234373.03000006</v>
      </c>
    </row>
    <row r="22" spans="1:8">
      <c r="A22" s="422">
        <v>15</v>
      </c>
      <c r="B22" s="421" t="s">
        <v>66</v>
      </c>
      <c r="C22" s="725">
        <f>SUM(C18:C21)+SUM(C8:C16)</f>
        <v>525170352.79898381</v>
      </c>
      <c r="D22" s="725">
        <f t="shared" ref="D22:H22" si="1">SUM(D18:D21)+SUM(D8:D16)</f>
        <v>489927653.04108149</v>
      </c>
      <c r="E22" s="725">
        <f t="shared" si="1"/>
        <v>1862027868.5170293</v>
      </c>
      <c r="F22" s="725">
        <f t="shared" si="1"/>
        <v>934897777.27747393</v>
      </c>
      <c r="G22" s="725">
        <f t="shared" si="1"/>
        <v>63297718.470000051</v>
      </c>
      <c r="H22" s="725">
        <f t="shared" si="1"/>
        <v>3875321370.1045685</v>
      </c>
    </row>
    <row r="26" spans="1:8" ht="36">
      <c r="B26" s="336"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topLeftCell="A3" zoomScale="90" zoomScaleNormal="90" workbookViewId="0">
      <selection activeCell="D25" sqref="D25"/>
    </sheetView>
  </sheetViews>
  <sheetFormatPr defaultColWidth="9.21875" defaultRowHeight="12"/>
  <cols>
    <col min="1" max="1" width="11.77734375" style="322" bestFit="1" customWidth="1"/>
    <col min="2" max="2" width="78.21875" style="319" customWidth="1"/>
    <col min="3" max="4" width="31.5546875" style="319" customWidth="1"/>
    <col min="5" max="5" width="16.44140625" style="319" bestFit="1" customWidth="1"/>
    <col min="6" max="6" width="14.21875" style="319" bestFit="1" customWidth="1"/>
    <col min="7" max="7" width="20" style="319" bestFit="1" customWidth="1"/>
    <col min="8" max="8" width="25.21875" style="319" bestFit="1" customWidth="1"/>
    <col min="9" max="16384" width="9.21875" style="319"/>
  </cols>
  <sheetData>
    <row r="1" spans="1:8" ht="13.8">
      <c r="A1" s="318" t="s">
        <v>97</v>
      </c>
      <c r="B1" s="247" t="str">
        <f>Info!C2</f>
        <v>სს "კრედო ბანკი"</v>
      </c>
      <c r="C1" s="440"/>
      <c r="D1" s="440"/>
      <c r="E1" s="440"/>
      <c r="F1" s="440"/>
      <c r="G1" s="440"/>
      <c r="H1" s="440"/>
    </row>
    <row r="2" spans="1:8">
      <c r="A2" s="318" t="s">
        <v>98</v>
      </c>
      <c r="B2" s="321">
        <f>'1. key ratios'!B2</f>
        <v>46112</v>
      </c>
      <c r="C2" s="440"/>
      <c r="D2" s="440"/>
      <c r="E2" s="440"/>
      <c r="F2" s="440"/>
      <c r="G2" s="440"/>
      <c r="H2" s="440"/>
    </row>
    <row r="3" spans="1:8">
      <c r="A3" s="320" t="s">
        <v>470</v>
      </c>
      <c r="B3" s="440"/>
      <c r="C3" s="440"/>
      <c r="D3" s="440"/>
      <c r="E3" s="440"/>
      <c r="F3" s="440"/>
      <c r="G3" s="440"/>
      <c r="H3" s="440"/>
    </row>
    <row r="4" spans="1:8">
      <c r="A4" s="441"/>
      <c r="B4" s="440"/>
      <c r="C4" s="439" t="s">
        <v>471</v>
      </c>
      <c r="D4" s="439" t="s">
        <v>472</v>
      </c>
      <c r="E4" s="439" t="s">
        <v>473</v>
      </c>
      <c r="F4" s="439" t="s">
        <v>474</v>
      </c>
      <c r="G4" s="439" t="s">
        <v>475</v>
      </c>
      <c r="H4" s="439" t="s">
        <v>476</v>
      </c>
    </row>
    <row r="5" spans="1:8" ht="34.049999999999997" customHeight="1">
      <c r="A5" s="834" t="s">
        <v>835</v>
      </c>
      <c r="B5" s="835"/>
      <c r="C5" s="848" t="s">
        <v>565</v>
      </c>
      <c r="D5" s="848"/>
      <c r="E5" s="848" t="s">
        <v>834</v>
      </c>
      <c r="F5" s="846" t="s">
        <v>833</v>
      </c>
      <c r="G5" s="846" t="s">
        <v>480</v>
      </c>
      <c r="H5" s="437" t="s">
        <v>832</v>
      </c>
    </row>
    <row r="6" spans="1:8" ht="24">
      <c r="A6" s="838"/>
      <c r="B6" s="839"/>
      <c r="C6" s="438" t="s">
        <v>481</v>
      </c>
      <c r="D6" s="438" t="s">
        <v>482</v>
      </c>
      <c r="E6" s="848"/>
      <c r="F6" s="847"/>
      <c r="G6" s="847"/>
      <c r="H6" s="437" t="s">
        <v>831</v>
      </c>
    </row>
    <row r="7" spans="1:8" ht="24">
      <c r="A7" s="435">
        <v>1</v>
      </c>
      <c r="B7" s="423" t="s">
        <v>123</v>
      </c>
      <c r="C7" s="727"/>
      <c r="D7" s="727">
        <v>283018836.35999995</v>
      </c>
      <c r="E7" s="727">
        <v>106580.93483631569</v>
      </c>
      <c r="F7" s="727"/>
      <c r="G7" s="727"/>
      <c r="H7" s="429">
        <f t="shared" ref="H7:H20" si="0">C7+D7-E7-F7</f>
        <v>282912255.42516363</v>
      </c>
    </row>
    <row r="8" spans="1:8" ht="14.55" customHeight="1">
      <c r="A8" s="435">
        <v>2</v>
      </c>
      <c r="B8" s="423" t="s">
        <v>124</v>
      </c>
      <c r="C8" s="727"/>
      <c r="D8" s="727">
        <v>0</v>
      </c>
      <c r="E8" s="727"/>
      <c r="F8" s="727"/>
      <c r="G8" s="727"/>
      <c r="H8" s="429">
        <f t="shared" si="0"/>
        <v>0</v>
      </c>
    </row>
    <row r="9" spans="1:8">
      <c r="A9" s="435">
        <v>3</v>
      </c>
      <c r="B9" s="423" t="s">
        <v>125</v>
      </c>
      <c r="C9" s="727"/>
      <c r="D9" s="727">
        <v>0</v>
      </c>
      <c r="E9" s="727"/>
      <c r="F9" s="727"/>
      <c r="G9" s="727"/>
      <c r="H9" s="429">
        <f t="shared" si="0"/>
        <v>0</v>
      </c>
    </row>
    <row r="10" spans="1:8">
      <c r="A10" s="435">
        <v>4</v>
      </c>
      <c r="B10" s="423" t="s">
        <v>126</v>
      </c>
      <c r="C10" s="727"/>
      <c r="D10" s="727">
        <v>0</v>
      </c>
      <c r="E10" s="727"/>
      <c r="F10" s="727"/>
      <c r="G10" s="727"/>
      <c r="H10" s="429">
        <f t="shared" si="0"/>
        <v>0</v>
      </c>
    </row>
    <row r="11" spans="1:8">
      <c r="A11" s="435">
        <v>5</v>
      </c>
      <c r="B11" s="423" t="s">
        <v>911</v>
      </c>
      <c r="C11" s="727"/>
      <c r="D11" s="727">
        <v>0</v>
      </c>
      <c r="E11" s="727"/>
      <c r="F11" s="727"/>
      <c r="G11" s="727"/>
      <c r="H11" s="429">
        <f t="shared" si="0"/>
        <v>0</v>
      </c>
    </row>
    <row r="12" spans="1:8">
      <c r="A12" s="435">
        <v>6</v>
      </c>
      <c r="B12" s="423" t="s">
        <v>127</v>
      </c>
      <c r="C12" s="727"/>
      <c r="D12" s="727">
        <v>197312270.15000001</v>
      </c>
      <c r="E12" s="727">
        <v>17043.878422844431</v>
      </c>
      <c r="F12" s="727"/>
      <c r="G12" s="727"/>
      <c r="H12" s="429">
        <f t="shared" si="0"/>
        <v>197295226.27157715</v>
      </c>
    </row>
    <row r="13" spans="1:8">
      <c r="A13" s="435">
        <v>7</v>
      </c>
      <c r="B13" s="423" t="s">
        <v>71</v>
      </c>
      <c r="C13" s="727">
        <v>2266068.5593658835</v>
      </c>
      <c r="D13" s="727">
        <v>118978539.64879847</v>
      </c>
      <c r="E13" s="727">
        <v>1482099.1132453319</v>
      </c>
      <c r="F13" s="727"/>
      <c r="G13" s="727">
        <v>2943960.9691059999</v>
      </c>
      <c r="H13" s="429">
        <f t="shared" si="0"/>
        <v>119762509.09491901</v>
      </c>
    </row>
    <row r="14" spans="1:8">
      <c r="A14" s="435">
        <v>8</v>
      </c>
      <c r="B14" s="425" t="s">
        <v>72</v>
      </c>
      <c r="C14" s="727">
        <v>23115766.057626013</v>
      </c>
      <c r="D14" s="727">
        <v>2952312899.2586617</v>
      </c>
      <c r="E14" s="727">
        <v>72503871.007194802</v>
      </c>
      <c r="F14" s="727"/>
      <c r="G14" s="727">
        <v>16180552.770913055</v>
      </c>
      <c r="H14" s="429">
        <f t="shared" si="0"/>
        <v>2902924794.309093</v>
      </c>
    </row>
    <row r="15" spans="1:8" ht="24">
      <c r="A15" s="435">
        <v>9</v>
      </c>
      <c r="B15" s="423" t="s">
        <v>912</v>
      </c>
      <c r="C15" s="727">
        <v>569627.29350901826</v>
      </c>
      <c r="D15" s="727">
        <v>149806154.27813888</v>
      </c>
      <c r="E15" s="727">
        <v>1183569.3702516668</v>
      </c>
      <c r="F15" s="727"/>
      <c r="G15" s="727">
        <v>79916.339527999939</v>
      </c>
      <c r="H15" s="429">
        <f t="shared" si="0"/>
        <v>149192212.20139623</v>
      </c>
    </row>
    <row r="16" spans="1:8">
      <c r="A16" s="435">
        <v>10</v>
      </c>
      <c r="B16" s="427" t="s">
        <v>483</v>
      </c>
      <c r="C16" s="727">
        <v>22203211.84649618</v>
      </c>
      <c r="D16" s="727">
        <v>0</v>
      </c>
      <c r="E16" s="727">
        <v>17642884.730506238</v>
      </c>
      <c r="F16" s="727"/>
      <c r="G16" s="727">
        <v>19204430.079547055</v>
      </c>
      <c r="H16" s="429">
        <f t="shared" si="0"/>
        <v>4560327.1159899421</v>
      </c>
    </row>
    <row r="17" spans="1:8">
      <c r="A17" s="435">
        <v>11</v>
      </c>
      <c r="B17" s="423" t="s">
        <v>68</v>
      </c>
      <c r="C17" s="727"/>
      <c r="D17" s="727"/>
      <c r="E17" s="727"/>
      <c r="F17" s="727"/>
      <c r="G17" s="727"/>
      <c r="H17" s="429">
        <f t="shared" si="0"/>
        <v>0</v>
      </c>
    </row>
    <row r="18" spans="1:8">
      <c r="A18" s="435">
        <v>12</v>
      </c>
      <c r="B18" s="423" t="s">
        <v>69</v>
      </c>
      <c r="C18" s="727"/>
      <c r="D18" s="727"/>
      <c r="E18" s="727"/>
      <c r="F18" s="727"/>
      <c r="G18" s="727"/>
      <c r="H18" s="429">
        <f t="shared" si="0"/>
        <v>0</v>
      </c>
    </row>
    <row r="19" spans="1:8">
      <c r="A19" s="436">
        <v>13</v>
      </c>
      <c r="B19" s="425" t="s">
        <v>70</v>
      </c>
      <c r="C19" s="727"/>
      <c r="D19" s="727"/>
      <c r="E19" s="727"/>
      <c r="F19" s="727"/>
      <c r="G19" s="727"/>
      <c r="H19" s="429">
        <f t="shared" si="0"/>
        <v>0</v>
      </c>
    </row>
    <row r="20" spans="1:8">
      <c r="A20" s="435">
        <v>14</v>
      </c>
      <c r="B20" s="423" t="s">
        <v>469</v>
      </c>
      <c r="C20" s="727"/>
      <c r="D20" s="727">
        <v>269344184.76674104</v>
      </c>
      <c r="E20" s="727">
        <v>8514403.1967408396</v>
      </c>
      <c r="F20" s="727"/>
      <c r="G20" s="727"/>
      <c r="H20" s="429">
        <f t="shared" si="0"/>
        <v>260829781.5700002</v>
      </c>
    </row>
    <row r="21" spans="1:8" s="323" customFormat="1">
      <c r="A21" s="434">
        <v>15</v>
      </c>
      <c r="B21" s="433" t="s">
        <v>66</v>
      </c>
      <c r="C21" s="728">
        <f t="shared" ref="C21:H21" si="1">SUM(C7:C15)+SUM(C17:C20)</f>
        <v>25951461.910500914</v>
      </c>
      <c r="D21" s="728">
        <f t="shared" si="1"/>
        <v>3970772884.4623404</v>
      </c>
      <c r="E21" s="728">
        <f t="shared" si="1"/>
        <v>83807567.500691801</v>
      </c>
      <c r="F21" s="728">
        <f t="shared" si="1"/>
        <v>0</v>
      </c>
      <c r="G21" s="728">
        <f t="shared" si="1"/>
        <v>19204430.079547051</v>
      </c>
      <c r="H21" s="429">
        <f t="shared" si="1"/>
        <v>3912916778.872149</v>
      </c>
    </row>
    <row r="22" spans="1:8">
      <c r="A22" s="432">
        <v>16</v>
      </c>
      <c r="B22" s="431" t="s">
        <v>484</v>
      </c>
      <c r="C22" s="727">
        <v>25951461.910500914</v>
      </c>
      <c r="D22" s="727">
        <v>3221097593.1855993</v>
      </c>
      <c r="E22" s="727">
        <v>75169539.490691811</v>
      </c>
      <c r="F22" s="727"/>
      <c r="G22" s="727">
        <v>19204430.079547055</v>
      </c>
      <c r="H22" s="429">
        <f>C22+D22-E22-F22</f>
        <v>3171879515.6054087</v>
      </c>
    </row>
    <row r="23" spans="1:8">
      <c r="A23" s="432">
        <v>17</v>
      </c>
      <c r="B23" s="431" t="s">
        <v>485</v>
      </c>
      <c r="C23" s="727"/>
      <c r="D23" s="727">
        <v>53426850.729999997</v>
      </c>
      <c r="E23" s="727">
        <v>43850.559999999998</v>
      </c>
      <c r="F23" s="727"/>
      <c r="G23" s="727"/>
      <c r="H23" s="429">
        <f>C23+D23-E23-F23</f>
        <v>53383000.169999994</v>
      </c>
    </row>
    <row r="26" spans="1:8" ht="42.45" customHeight="1">
      <c r="B26" s="336" t="s">
        <v>647</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H36"/>
  <sheetViews>
    <sheetView showGridLines="0" topLeftCell="B1" zoomScale="80" zoomScaleNormal="80" workbookViewId="0">
      <selection activeCell="C34" sqref="C34:D34"/>
    </sheetView>
  </sheetViews>
  <sheetFormatPr defaultColWidth="9.21875" defaultRowHeight="12"/>
  <cols>
    <col min="1" max="1" width="11" style="319" bestFit="1" customWidth="1"/>
    <col min="2" max="2" width="73.77734375" style="319" customWidth="1"/>
    <col min="3" max="4" width="35" style="319" customWidth="1"/>
    <col min="5" max="7" width="22" style="319" customWidth="1"/>
    <col min="8" max="8" width="35.6640625" style="319" customWidth="1"/>
    <col min="9" max="16384" width="9.21875" style="319"/>
  </cols>
  <sheetData>
    <row r="1" spans="1:8" ht="13.8">
      <c r="A1" s="318" t="s">
        <v>97</v>
      </c>
      <c r="B1" s="247" t="str">
        <f>Info!C2</f>
        <v>სს "კრედო ბანკი"</v>
      </c>
      <c r="C1" s="440"/>
      <c r="D1" s="440"/>
      <c r="E1" s="440"/>
      <c r="F1" s="440"/>
      <c r="G1" s="440"/>
      <c r="H1" s="440"/>
    </row>
    <row r="2" spans="1:8">
      <c r="A2" s="318" t="s">
        <v>98</v>
      </c>
      <c r="B2" s="321">
        <f>'1. key ratios'!B2</f>
        <v>46112</v>
      </c>
      <c r="C2" s="440"/>
      <c r="D2" s="440"/>
      <c r="E2" s="440"/>
      <c r="F2" s="440"/>
      <c r="G2" s="440"/>
      <c r="H2" s="440"/>
    </row>
    <row r="3" spans="1:8">
      <c r="A3" s="320" t="s">
        <v>486</v>
      </c>
      <c r="B3" s="440"/>
      <c r="C3" s="440"/>
      <c r="D3" s="440"/>
      <c r="E3" s="440"/>
      <c r="F3" s="440"/>
      <c r="G3" s="440"/>
      <c r="H3" s="440"/>
    </row>
    <row r="4" spans="1:8">
      <c r="A4" s="440"/>
      <c r="B4" s="440"/>
      <c r="C4" s="439" t="s">
        <v>471</v>
      </c>
      <c r="D4" s="439" t="s">
        <v>472</v>
      </c>
      <c r="E4" s="439" t="s">
        <v>473</v>
      </c>
      <c r="F4" s="439" t="s">
        <v>474</v>
      </c>
      <c r="G4" s="439" t="s">
        <v>475</v>
      </c>
      <c r="H4" s="439" t="s">
        <v>476</v>
      </c>
    </row>
    <row r="5" spans="1:8" ht="41.55" customHeight="1">
      <c r="A5" s="834" t="s">
        <v>837</v>
      </c>
      <c r="B5" s="835"/>
      <c r="C5" s="849" t="s">
        <v>565</v>
      </c>
      <c r="D5" s="850"/>
      <c r="E5" s="846" t="s">
        <v>834</v>
      </c>
      <c r="F5" s="846" t="s">
        <v>833</v>
      </c>
      <c r="G5" s="846" t="s">
        <v>480</v>
      </c>
      <c r="H5" s="437" t="s">
        <v>832</v>
      </c>
    </row>
    <row r="6" spans="1:8" ht="24">
      <c r="A6" s="838"/>
      <c r="B6" s="839"/>
      <c r="C6" s="438" t="s">
        <v>481</v>
      </c>
      <c r="D6" s="438" t="s">
        <v>482</v>
      </c>
      <c r="E6" s="847"/>
      <c r="F6" s="847"/>
      <c r="G6" s="847"/>
      <c r="H6" s="437" t="s">
        <v>831</v>
      </c>
    </row>
    <row r="7" spans="1:8">
      <c r="A7" s="430">
        <v>1</v>
      </c>
      <c r="B7" s="443" t="s">
        <v>487</v>
      </c>
      <c r="C7" s="727">
        <v>76680.41</v>
      </c>
      <c r="D7" s="727">
        <v>310661337.48999995</v>
      </c>
      <c r="E7" s="727">
        <v>531602.29483631568</v>
      </c>
      <c r="F7" s="727"/>
      <c r="G7" s="727">
        <v>51602.35588399999</v>
      </c>
      <c r="H7" s="429">
        <f t="shared" ref="H7:H34" si="0">C7+D7-E7-F7</f>
        <v>310206415.60516363</v>
      </c>
    </row>
    <row r="8" spans="1:8">
      <c r="A8" s="430">
        <v>2</v>
      </c>
      <c r="B8" s="443" t="s">
        <v>488</v>
      </c>
      <c r="C8" s="727">
        <v>48785.43</v>
      </c>
      <c r="D8" s="727">
        <v>222220374.34325919</v>
      </c>
      <c r="E8" s="727">
        <v>268484.65842284443</v>
      </c>
      <c r="F8" s="727"/>
      <c r="G8" s="727">
        <v>30789.690000000002</v>
      </c>
      <c r="H8" s="429">
        <f t="shared" si="0"/>
        <v>222000675.11483634</v>
      </c>
    </row>
    <row r="9" spans="1:8">
      <c r="A9" s="430">
        <v>3</v>
      </c>
      <c r="B9" s="443" t="s">
        <v>836</v>
      </c>
      <c r="C9" s="727">
        <v>78824.850000000006</v>
      </c>
      <c r="D9" s="727">
        <v>8509231.5999999996</v>
      </c>
      <c r="E9" s="727">
        <v>211578.37</v>
      </c>
      <c r="F9" s="727"/>
      <c r="G9" s="727">
        <v>87891.77</v>
      </c>
      <c r="H9" s="429">
        <f t="shared" si="0"/>
        <v>8376478.0799999991</v>
      </c>
    </row>
    <row r="10" spans="1:8">
      <c r="A10" s="430">
        <v>4</v>
      </c>
      <c r="B10" s="443" t="s">
        <v>489</v>
      </c>
      <c r="C10" s="727">
        <v>2266068.56</v>
      </c>
      <c r="D10" s="727">
        <v>61376708.549999997</v>
      </c>
      <c r="E10" s="727">
        <v>1351912.66</v>
      </c>
      <c r="F10" s="727"/>
      <c r="G10" s="727">
        <v>36.869999999999997</v>
      </c>
      <c r="H10" s="429">
        <f t="shared" si="0"/>
        <v>62290864.450000003</v>
      </c>
    </row>
    <row r="11" spans="1:8">
      <c r="A11" s="430">
        <v>5</v>
      </c>
      <c r="B11" s="443" t="s">
        <v>490</v>
      </c>
      <c r="C11" s="727">
        <v>41289.870000000003</v>
      </c>
      <c r="D11" s="727">
        <v>55962546.460000001</v>
      </c>
      <c r="E11" s="727">
        <v>357413.75000000006</v>
      </c>
      <c r="F11" s="727"/>
      <c r="G11" s="727">
        <v>2508.7718020000002</v>
      </c>
      <c r="H11" s="429">
        <f t="shared" si="0"/>
        <v>55646422.579999998</v>
      </c>
    </row>
    <row r="12" spans="1:8">
      <c r="A12" s="430">
        <v>6</v>
      </c>
      <c r="B12" s="443" t="s">
        <v>491</v>
      </c>
      <c r="C12" s="727">
        <v>38189.910000000003</v>
      </c>
      <c r="D12" s="727">
        <v>15290363.329999998</v>
      </c>
      <c r="E12" s="727">
        <v>248607.29</v>
      </c>
      <c r="F12" s="727"/>
      <c r="G12" s="727">
        <v>135516.79</v>
      </c>
      <c r="H12" s="429">
        <f t="shared" si="0"/>
        <v>15079945.949999999</v>
      </c>
    </row>
    <row r="13" spans="1:8">
      <c r="A13" s="430">
        <v>7</v>
      </c>
      <c r="B13" s="443" t="s">
        <v>492</v>
      </c>
      <c r="C13" s="727">
        <v>95021.26</v>
      </c>
      <c r="D13" s="727">
        <v>5999176.4500000002</v>
      </c>
      <c r="E13" s="727">
        <v>178569.77000000002</v>
      </c>
      <c r="F13" s="727"/>
      <c r="G13" s="727">
        <v>25074.779999999995</v>
      </c>
      <c r="H13" s="429">
        <f t="shared" si="0"/>
        <v>5915627.9399999995</v>
      </c>
    </row>
    <row r="14" spans="1:8">
      <c r="A14" s="430">
        <v>8</v>
      </c>
      <c r="B14" s="443" t="s">
        <v>493</v>
      </c>
      <c r="C14" s="727">
        <v>985527.49</v>
      </c>
      <c r="D14" s="727">
        <v>220891231.31</v>
      </c>
      <c r="E14" s="727">
        <v>4131875.35</v>
      </c>
      <c r="F14" s="727"/>
      <c r="G14" s="727">
        <v>818234.17947299988</v>
      </c>
      <c r="H14" s="429">
        <f t="shared" si="0"/>
        <v>217744883.45000002</v>
      </c>
    </row>
    <row r="15" spans="1:8">
      <c r="A15" s="430">
        <v>9</v>
      </c>
      <c r="B15" s="443" t="s">
        <v>494</v>
      </c>
      <c r="C15" s="727">
        <v>195799.17</v>
      </c>
      <c r="D15" s="727">
        <v>38091259.700000003</v>
      </c>
      <c r="E15" s="727">
        <v>843426.4</v>
      </c>
      <c r="F15" s="727"/>
      <c r="G15" s="727">
        <v>134182.21903599994</v>
      </c>
      <c r="H15" s="429">
        <f t="shared" si="0"/>
        <v>37443632.470000006</v>
      </c>
    </row>
    <row r="16" spans="1:8">
      <c r="A16" s="430">
        <v>10</v>
      </c>
      <c r="B16" s="443" t="s">
        <v>495</v>
      </c>
      <c r="C16" s="727">
        <v>122039.47</v>
      </c>
      <c r="D16" s="727">
        <v>18955285.960000001</v>
      </c>
      <c r="E16" s="727">
        <v>417008.55999999994</v>
      </c>
      <c r="F16" s="727"/>
      <c r="G16" s="727">
        <v>3069738.0470079998</v>
      </c>
      <c r="H16" s="429">
        <f t="shared" si="0"/>
        <v>18660316.870000001</v>
      </c>
    </row>
    <row r="17" spans="1:8">
      <c r="A17" s="430">
        <v>11</v>
      </c>
      <c r="B17" s="443" t="s">
        <v>496</v>
      </c>
      <c r="C17" s="727">
        <v>59857.96</v>
      </c>
      <c r="D17" s="727">
        <v>9756518.5</v>
      </c>
      <c r="E17" s="727">
        <v>230441.88</v>
      </c>
      <c r="F17" s="727"/>
      <c r="G17" s="727">
        <v>79015.135307999997</v>
      </c>
      <c r="H17" s="429">
        <f t="shared" si="0"/>
        <v>9585934.5800000001</v>
      </c>
    </row>
    <row r="18" spans="1:8">
      <c r="A18" s="430">
        <v>12</v>
      </c>
      <c r="B18" s="443" t="s">
        <v>497</v>
      </c>
      <c r="C18" s="727">
        <v>1058584.29</v>
      </c>
      <c r="D18" s="727">
        <v>170861659.38999999</v>
      </c>
      <c r="E18" s="727">
        <v>3245090.38</v>
      </c>
      <c r="F18" s="727"/>
      <c r="G18" s="727">
        <v>446909.60587399994</v>
      </c>
      <c r="H18" s="429">
        <f t="shared" si="0"/>
        <v>168675153.29999998</v>
      </c>
    </row>
    <row r="19" spans="1:8">
      <c r="A19" s="430">
        <v>13</v>
      </c>
      <c r="B19" s="443" t="s">
        <v>498</v>
      </c>
      <c r="C19" s="727">
        <v>197998.44</v>
      </c>
      <c r="D19" s="727">
        <v>29725707.93</v>
      </c>
      <c r="E19" s="727">
        <v>719194.71000000008</v>
      </c>
      <c r="F19" s="727"/>
      <c r="G19" s="727">
        <v>322783.28015000006</v>
      </c>
      <c r="H19" s="429">
        <f t="shared" si="0"/>
        <v>29204511.66</v>
      </c>
    </row>
    <row r="20" spans="1:8">
      <c r="A20" s="430">
        <v>14</v>
      </c>
      <c r="B20" s="443" t="s">
        <v>499</v>
      </c>
      <c r="C20" s="727">
        <v>1572127.13</v>
      </c>
      <c r="D20" s="727">
        <v>98351977.629999995</v>
      </c>
      <c r="E20" s="727">
        <v>1567348.6600000001</v>
      </c>
      <c r="F20" s="727"/>
      <c r="G20" s="727">
        <v>201350.06121200003</v>
      </c>
      <c r="H20" s="429">
        <f t="shared" si="0"/>
        <v>98356756.099999994</v>
      </c>
    </row>
    <row r="21" spans="1:8">
      <c r="A21" s="430">
        <v>15</v>
      </c>
      <c r="B21" s="443" t="s">
        <v>500</v>
      </c>
      <c r="C21" s="727">
        <v>508221.59</v>
      </c>
      <c r="D21" s="727">
        <v>67550739.120000005</v>
      </c>
      <c r="E21" s="727">
        <v>1488841.2200000002</v>
      </c>
      <c r="F21" s="727"/>
      <c r="G21" s="727">
        <v>276164.24313000019</v>
      </c>
      <c r="H21" s="429">
        <f t="shared" si="0"/>
        <v>66570119.49000001</v>
      </c>
    </row>
    <row r="22" spans="1:8">
      <c r="A22" s="430">
        <v>16</v>
      </c>
      <c r="B22" s="443" t="s">
        <v>501</v>
      </c>
      <c r="C22" s="727">
        <v>70657.59</v>
      </c>
      <c r="D22" s="727">
        <v>15203701.050000001</v>
      </c>
      <c r="E22" s="727">
        <v>378350.83</v>
      </c>
      <c r="F22" s="727"/>
      <c r="G22" s="727">
        <v>95995.89</v>
      </c>
      <c r="H22" s="429">
        <f t="shared" si="0"/>
        <v>14896007.810000001</v>
      </c>
    </row>
    <row r="23" spans="1:8">
      <c r="A23" s="430">
        <v>17</v>
      </c>
      <c r="B23" s="443" t="s">
        <v>502</v>
      </c>
      <c r="C23" s="727">
        <v>2831.99</v>
      </c>
      <c r="D23" s="727">
        <v>963718.83000000007</v>
      </c>
      <c r="E23" s="727">
        <v>16569.45</v>
      </c>
      <c r="F23" s="727"/>
      <c r="G23" s="727">
        <v>7021.05</v>
      </c>
      <c r="H23" s="429">
        <f t="shared" si="0"/>
        <v>949981.37000000011</v>
      </c>
    </row>
    <row r="24" spans="1:8">
      <c r="A24" s="430">
        <v>18</v>
      </c>
      <c r="B24" s="443" t="s">
        <v>503</v>
      </c>
      <c r="C24" s="727">
        <v>4051.6</v>
      </c>
      <c r="D24" s="727">
        <v>4434226.43</v>
      </c>
      <c r="E24" s="727">
        <v>82678.400000000009</v>
      </c>
      <c r="F24" s="727"/>
      <c r="G24" s="727">
        <v>9701.9499999999989</v>
      </c>
      <c r="H24" s="429">
        <f t="shared" si="0"/>
        <v>4355599.629999999</v>
      </c>
    </row>
    <row r="25" spans="1:8">
      <c r="A25" s="430">
        <v>19</v>
      </c>
      <c r="B25" s="443" t="s">
        <v>504</v>
      </c>
      <c r="C25" s="727">
        <v>23330.55</v>
      </c>
      <c r="D25" s="727">
        <v>10395363.389999999</v>
      </c>
      <c r="E25" s="727">
        <v>181489.11000000002</v>
      </c>
      <c r="F25" s="727"/>
      <c r="G25" s="727">
        <v>63983.300000000017</v>
      </c>
      <c r="H25" s="429">
        <f t="shared" si="0"/>
        <v>10237204.83</v>
      </c>
    </row>
    <row r="26" spans="1:8">
      <c r="A26" s="430">
        <v>20</v>
      </c>
      <c r="B26" s="443" t="s">
        <v>505</v>
      </c>
      <c r="C26" s="727">
        <v>1235.18</v>
      </c>
      <c r="D26" s="727">
        <v>24043778.309999999</v>
      </c>
      <c r="E26" s="727">
        <v>235438.27</v>
      </c>
      <c r="F26" s="727"/>
      <c r="G26" s="727">
        <v>5521.8236059999999</v>
      </c>
      <c r="H26" s="429">
        <f t="shared" si="0"/>
        <v>23809575.219999999</v>
      </c>
    </row>
    <row r="27" spans="1:8">
      <c r="A27" s="430">
        <v>21</v>
      </c>
      <c r="B27" s="443" t="s">
        <v>506</v>
      </c>
      <c r="C27" s="727">
        <v>621.99</v>
      </c>
      <c r="D27" s="727">
        <v>3096034.65</v>
      </c>
      <c r="E27" s="727">
        <v>36201.74</v>
      </c>
      <c r="F27" s="727"/>
      <c r="G27" s="727">
        <v>18310.330000000002</v>
      </c>
      <c r="H27" s="429">
        <f t="shared" si="0"/>
        <v>3060454.9</v>
      </c>
    </row>
    <row r="28" spans="1:8">
      <c r="A28" s="430">
        <v>22</v>
      </c>
      <c r="B28" s="443" t="s">
        <v>507</v>
      </c>
      <c r="C28" s="727">
        <v>0</v>
      </c>
      <c r="D28" s="727">
        <v>1721698.85</v>
      </c>
      <c r="E28" s="727">
        <v>16944.28</v>
      </c>
      <c r="F28" s="727"/>
      <c r="G28" s="727">
        <v>297.32</v>
      </c>
      <c r="H28" s="429">
        <f t="shared" si="0"/>
        <v>1704754.57</v>
      </c>
    </row>
    <row r="29" spans="1:8">
      <c r="A29" s="430">
        <v>23</v>
      </c>
      <c r="B29" s="443" t="s">
        <v>508</v>
      </c>
      <c r="C29" s="727">
        <v>5874683.6200000001</v>
      </c>
      <c r="D29" s="727">
        <v>738879642.31000006</v>
      </c>
      <c r="E29" s="727">
        <v>19721388.050000001</v>
      </c>
      <c r="F29" s="727"/>
      <c r="G29" s="727">
        <v>4197328.8750360012</v>
      </c>
      <c r="H29" s="429">
        <f t="shared" si="0"/>
        <v>725032937.88000011</v>
      </c>
    </row>
    <row r="30" spans="1:8">
      <c r="A30" s="430">
        <v>24</v>
      </c>
      <c r="B30" s="443" t="s">
        <v>509</v>
      </c>
      <c r="C30" s="727">
        <v>9303222.3499999996</v>
      </c>
      <c r="D30" s="727">
        <v>1121602307.7</v>
      </c>
      <c r="E30" s="727">
        <v>28642424.640000001</v>
      </c>
      <c r="F30" s="727"/>
      <c r="G30" s="727">
        <v>6314283.8514380008</v>
      </c>
      <c r="H30" s="429">
        <f t="shared" si="0"/>
        <v>1102263105.4099998</v>
      </c>
    </row>
    <row r="31" spans="1:8">
      <c r="A31" s="430">
        <v>25</v>
      </c>
      <c r="B31" s="443" t="s">
        <v>510</v>
      </c>
      <c r="C31" s="727">
        <v>2369497.2800000003</v>
      </c>
      <c r="D31" s="727">
        <v>347250766.34999996</v>
      </c>
      <c r="E31" s="727">
        <v>7483576.1600000001</v>
      </c>
      <c r="F31" s="727"/>
      <c r="G31" s="727">
        <v>2000951.040590052</v>
      </c>
      <c r="H31" s="429">
        <f t="shared" si="0"/>
        <v>342136687.46999991</v>
      </c>
    </row>
    <row r="32" spans="1:8">
      <c r="A32" s="430">
        <v>26</v>
      </c>
      <c r="B32" s="443" t="s">
        <v>511</v>
      </c>
      <c r="C32" s="727">
        <v>956313.93</v>
      </c>
      <c r="D32" s="727">
        <v>99633344.060000002</v>
      </c>
      <c r="E32" s="727">
        <v>2706707.43</v>
      </c>
      <c r="F32" s="727"/>
      <c r="G32" s="727">
        <v>809236.85000000056</v>
      </c>
      <c r="H32" s="429">
        <f t="shared" si="0"/>
        <v>97882950.560000002</v>
      </c>
    </row>
    <row r="33" spans="1:8">
      <c r="A33" s="430">
        <v>27</v>
      </c>
      <c r="B33" s="430" t="s">
        <v>88</v>
      </c>
      <c r="C33" s="727"/>
      <c r="D33" s="727">
        <v>269344184.76674104</v>
      </c>
      <c r="E33" s="727">
        <v>8514403.1967408396</v>
      </c>
      <c r="F33" s="727"/>
      <c r="G33" s="727"/>
      <c r="H33" s="429">
        <f t="shared" si="0"/>
        <v>260829781.5700002</v>
      </c>
    </row>
    <row r="34" spans="1:8">
      <c r="A34" s="430">
        <v>28</v>
      </c>
      <c r="B34" s="433" t="s">
        <v>66</v>
      </c>
      <c r="C34" s="728">
        <f>SUM(C7:C33)</f>
        <v>25951461.91</v>
      </c>
      <c r="D34" s="728">
        <f>SUM(D7:D33)</f>
        <v>3970772884.46</v>
      </c>
      <c r="E34" s="728">
        <f>SUM(E7:E33)</f>
        <v>83807567.510000005</v>
      </c>
      <c r="F34" s="728">
        <f>SUM(F7:F33)</f>
        <v>0</v>
      </c>
      <c r="G34" s="728">
        <f>SUM(G7:G33)</f>
        <v>19204430.079547055</v>
      </c>
      <c r="H34" s="429">
        <f t="shared" si="0"/>
        <v>3912916778.8599997</v>
      </c>
    </row>
    <row r="36" spans="1:8">
      <c r="B36" s="324"/>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election activeCell="C10" sqref="C10"/>
    </sheetView>
  </sheetViews>
  <sheetFormatPr defaultColWidth="9.21875" defaultRowHeight="12"/>
  <cols>
    <col min="1" max="1" width="11.77734375" style="319" bestFit="1" customWidth="1"/>
    <col min="2" max="2" width="108" style="319" bestFit="1" customWidth="1"/>
    <col min="3" max="3" width="35.5546875" style="319" customWidth="1"/>
    <col min="4" max="4" width="38.44140625" style="319" customWidth="1"/>
    <col min="5" max="16384" width="9.21875" style="319"/>
  </cols>
  <sheetData>
    <row r="1" spans="1:4" ht="13.8">
      <c r="A1" s="318" t="s">
        <v>97</v>
      </c>
      <c r="B1" s="247" t="str">
        <f>Info!C2</f>
        <v>სს "კრედო ბანკი"</v>
      </c>
    </row>
    <row r="2" spans="1:4">
      <c r="A2" s="318" t="s">
        <v>98</v>
      </c>
      <c r="B2" s="321">
        <f>'1. key ratios'!B2</f>
        <v>46112</v>
      </c>
    </row>
    <row r="3" spans="1:4">
      <c r="A3" s="320" t="s">
        <v>512</v>
      </c>
    </row>
    <row r="5" spans="1:4" ht="18" customHeight="1">
      <c r="A5" s="851" t="s">
        <v>848</v>
      </c>
      <c r="B5" s="851"/>
      <c r="C5" s="451" t="s">
        <v>531</v>
      </c>
      <c r="D5" s="451" t="s">
        <v>847</v>
      </c>
    </row>
    <row r="6" spans="1:4" ht="18" customHeight="1">
      <c r="A6" s="450">
        <v>1</v>
      </c>
      <c r="B6" s="444" t="s">
        <v>846</v>
      </c>
      <c r="C6" s="729">
        <v>68143721.959005162</v>
      </c>
      <c r="D6" s="729"/>
    </row>
    <row r="7" spans="1:4" ht="18" customHeight="1">
      <c r="A7" s="447">
        <v>2</v>
      </c>
      <c r="B7" s="444" t="s">
        <v>845</v>
      </c>
      <c r="C7" s="730">
        <f>SUM(C8:C9)</f>
        <v>52758206.663489386</v>
      </c>
      <c r="D7" s="729">
        <f>SUM(D8:D9)</f>
        <v>0</v>
      </c>
    </row>
    <row r="8" spans="1:4" ht="18" customHeight="1">
      <c r="A8" s="449">
        <v>2.1</v>
      </c>
      <c r="B8" s="448" t="s">
        <v>844</v>
      </c>
      <c r="C8" s="729">
        <v>7098162.4736115653</v>
      </c>
      <c r="D8" s="729"/>
    </row>
    <row r="9" spans="1:4" ht="18" customHeight="1">
      <c r="A9" s="449">
        <v>2.2000000000000002</v>
      </c>
      <c r="B9" s="448" t="s">
        <v>843</v>
      </c>
      <c r="C9" s="729">
        <v>45660044.189877823</v>
      </c>
      <c r="D9" s="729"/>
    </row>
    <row r="10" spans="1:4" ht="18" customHeight="1">
      <c r="A10" s="450">
        <v>3</v>
      </c>
      <c r="B10" s="444" t="s">
        <v>842</v>
      </c>
      <c r="C10" s="730">
        <f>SUM(C11:C13)</f>
        <v>45734181.837781109</v>
      </c>
      <c r="D10" s="729">
        <f>SUM(D11:D13)</f>
        <v>0</v>
      </c>
    </row>
    <row r="11" spans="1:4" ht="18" customHeight="1">
      <c r="A11" s="449">
        <v>3.1</v>
      </c>
      <c r="B11" s="448" t="s">
        <v>513</v>
      </c>
      <c r="C11" s="729">
        <v>19204440.219547048</v>
      </c>
      <c r="D11" s="729"/>
    </row>
    <row r="12" spans="1:4" ht="18" customHeight="1">
      <c r="A12" s="449">
        <v>3.2</v>
      </c>
      <c r="B12" s="448" t="s">
        <v>841</v>
      </c>
      <c r="C12" s="729">
        <v>11880439.447421156</v>
      </c>
      <c r="D12" s="729"/>
    </row>
    <row r="13" spans="1:4" ht="18" customHeight="1">
      <c r="A13" s="449">
        <v>3.3</v>
      </c>
      <c r="B13" s="448" t="s">
        <v>840</v>
      </c>
      <c r="C13" s="729">
        <v>14649302.170812905</v>
      </c>
      <c r="D13" s="729"/>
    </row>
    <row r="14" spans="1:4" ht="18" customHeight="1">
      <c r="A14" s="447">
        <v>4</v>
      </c>
      <c r="B14" s="446" t="s">
        <v>839</v>
      </c>
      <c r="C14" s="729">
        <v>1792.7170256400941</v>
      </c>
      <c r="D14" s="729"/>
    </row>
    <row r="15" spans="1:4" ht="18" customHeight="1">
      <c r="A15" s="445">
        <v>5</v>
      </c>
      <c r="B15" s="444" t="s">
        <v>838</v>
      </c>
      <c r="C15" s="730">
        <f>C6+C7-C10+C14</f>
        <v>75169539.501739085</v>
      </c>
      <c r="D15" s="730">
        <f>D6+D7-D10+D14</f>
        <v>0</v>
      </c>
    </row>
  </sheetData>
  <mergeCells count="1">
    <mergeCell ref="A5:B5"/>
  </mergeCells>
  <pageMargins left="0.7" right="0.7" top="0.75" bottom="0.75" header="0.3" footer="0.3"/>
  <pageSetup orientation="portrait" horizontalDpi="4294967292" verticalDpi="0" r:id="rId1"/>
  <ignoredErrors>
    <ignoredError sqref="C10" formulaRange="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C12" sqref="C12:C16"/>
    </sheetView>
  </sheetViews>
  <sheetFormatPr defaultColWidth="9.21875" defaultRowHeight="12"/>
  <cols>
    <col min="1" max="1" width="11.77734375" style="440" bestFit="1" customWidth="1"/>
    <col min="2" max="2" width="128.88671875" style="440" bestFit="1" customWidth="1"/>
    <col min="3" max="3" width="37" style="440" customWidth="1"/>
    <col min="4" max="4" width="50.5546875" style="440" customWidth="1"/>
    <col min="5" max="16384" width="9.21875" style="440"/>
  </cols>
  <sheetData>
    <row r="1" spans="1:4" ht="13.8">
      <c r="A1" s="318" t="s">
        <v>97</v>
      </c>
      <c r="B1" s="247" t="str">
        <f>Info!C2</f>
        <v>სს "კრედო ბანკი"</v>
      </c>
    </row>
    <row r="2" spans="1:4">
      <c r="A2" s="318" t="s">
        <v>98</v>
      </c>
      <c r="B2" s="321">
        <f>'1. key ratios'!B2</f>
        <v>46112</v>
      </c>
    </row>
    <row r="3" spans="1:4">
      <c r="A3" s="320" t="s">
        <v>514</v>
      </c>
    </row>
    <row r="4" spans="1:4">
      <c r="A4" s="320"/>
    </row>
    <row r="5" spans="1:4" ht="15" customHeight="1">
      <c r="A5" s="852" t="s">
        <v>515</v>
      </c>
      <c r="B5" s="853"/>
      <c r="C5" s="856" t="s">
        <v>516</v>
      </c>
      <c r="D5" s="856" t="s">
        <v>517</v>
      </c>
    </row>
    <row r="6" spans="1:4">
      <c r="A6" s="854"/>
      <c r="B6" s="855"/>
      <c r="C6" s="856"/>
      <c r="D6" s="856"/>
    </row>
    <row r="7" spans="1:4" ht="18" customHeight="1">
      <c r="A7" s="433">
        <v>1</v>
      </c>
      <c r="B7" s="433" t="s">
        <v>518</v>
      </c>
      <c r="C7" s="731">
        <v>23453193.536004618</v>
      </c>
      <c r="D7" s="452"/>
    </row>
    <row r="8" spans="1:4" ht="18" customHeight="1">
      <c r="A8" s="430">
        <v>2</v>
      </c>
      <c r="B8" s="430" t="s">
        <v>519</v>
      </c>
      <c r="C8" s="732">
        <v>27024801.394356053</v>
      </c>
      <c r="D8" s="452"/>
    </row>
    <row r="9" spans="1:4" ht="18" customHeight="1">
      <c r="A9" s="430">
        <v>3</v>
      </c>
      <c r="B9" s="455" t="s">
        <v>520</v>
      </c>
      <c r="C9" s="732">
        <v>3969.4971249655873</v>
      </c>
      <c r="D9" s="452"/>
    </row>
    <row r="10" spans="1:4" ht="18" customHeight="1">
      <c r="A10" s="430">
        <v>4</v>
      </c>
      <c r="B10" s="430" t="s">
        <v>521</v>
      </c>
      <c r="C10" s="731">
        <f>SUM(C11:C17)</f>
        <v>24530502.506970324</v>
      </c>
      <c r="D10" s="452"/>
    </row>
    <row r="11" spans="1:4" ht="18" customHeight="1">
      <c r="A11" s="430">
        <v>5</v>
      </c>
      <c r="B11" s="454" t="s">
        <v>849</v>
      </c>
      <c r="C11" s="732"/>
      <c r="D11" s="452"/>
    </row>
    <row r="12" spans="1:4" ht="18" customHeight="1">
      <c r="A12" s="430">
        <v>6</v>
      </c>
      <c r="B12" s="454" t="s">
        <v>522</v>
      </c>
      <c r="C12" s="732">
        <v>1962437.2299999967</v>
      </c>
      <c r="D12" s="452"/>
    </row>
    <row r="13" spans="1:4" ht="18" customHeight="1">
      <c r="A13" s="430">
        <v>7</v>
      </c>
      <c r="B13" s="454" t="s">
        <v>525</v>
      </c>
      <c r="C13" s="732">
        <v>19204440.219547048</v>
      </c>
      <c r="D13" s="452"/>
    </row>
    <row r="14" spans="1:4" ht="18" customHeight="1">
      <c r="A14" s="430">
        <v>8</v>
      </c>
      <c r="B14" s="454" t="s">
        <v>523</v>
      </c>
      <c r="C14" s="732"/>
      <c r="D14" s="430"/>
    </row>
    <row r="15" spans="1:4" ht="18" customHeight="1">
      <c r="A15" s="430">
        <v>9</v>
      </c>
      <c r="B15" s="454" t="s">
        <v>524</v>
      </c>
      <c r="C15" s="732"/>
      <c r="D15" s="430"/>
    </row>
    <row r="16" spans="1:4" ht="18" customHeight="1">
      <c r="A16" s="430">
        <v>10</v>
      </c>
      <c r="B16" s="454" t="s">
        <v>526</v>
      </c>
      <c r="C16" s="732">
        <v>3363625.0574232768</v>
      </c>
      <c r="D16" s="430"/>
    </row>
    <row r="17" spans="1:4" ht="18" customHeight="1">
      <c r="A17" s="430">
        <v>11</v>
      </c>
      <c r="B17" s="454" t="s">
        <v>527</v>
      </c>
      <c r="C17" s="732"/>
      <c r="D17" s="452"/>
    </row>
    <row r="18" spans="1:4" ht="18" customHeight="1">
      <c r="A18" s="433">
        <v>12</v>
      </c>
      <c r="B18" s="453" t="s">
        <v>528</v>
      </c>
      <c r="C18" s="731">
        <f>C7+C8+C9-C10</f>
        <v>25951461.920515314</v>
      </c>
      <c r="D18" s="452"/>
    </row>
    <row r="21" spans="1:4">
      <c r="B21" s="318"/>
    </row>
    <row r="22" spans="1:4">
      <c r="B22" s="318"/>
    </row>
    <row r="23" spans="1:4">
      <c r="B23" s="320"/>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election activeCell="C29" sqref="C29"/>
    </sheetView>
  </sheetViews>
  <sheetFormatPr defaultColWidth="9.21875" defaultRowHeight="12"/>
  <cols>
    <col min="1" max="1" width="11.77734375" style="440" bestFit="1" customWidth="1"/>
    <col min="2" max="2" width="63.88671875" style="440" customWidth="1"/>
    <col min="3" max="3" width="15.5546875" style="440" customWidth="1"/>
    <col min="4" max="18" width="22.21875" style="440" customWidth="1"/>
    <col min="19" max="19" width="23.21875" style="440" bestFit="1" customWidth="1"/>
    <col min="20" max="26" width="22.21875" style="440" customWidth="1"/>
    <col min="27" max="27" width="23.21875" style="440" bestFit="1" customWidth="1"/>
    <col min="28" max="28" width="20" style="440" customWidth="1"/>
    <col min="29" max="16384" width="9.21875" style="440"/>
  </cols>
  <sheetData>
    <row r="1" spans="1:28" ht="13.8">
      <c r="A1" s="318" t="s">
        <v>97</v>
      </c>
      <c r="B1" s="247" t="str">
        <f>Info!C2</f>
        <v>სს "კრედო ბანკი"</v>
      </c>
    </row>
    <row r="2" spans="1:28">
      <c r="A2" s="318" t="s">
        <v>98</v>
      </c>
      <c r="B2" s="321">
        <f>'1. key ratios'!B2</f>
        <v>46112</v>
      </c>
      <c r="C2" s="441"/>
    </row>
    <row r="3" spans="1:28">
      <c r="A3" s="320" t="s">
        <v>529</v>
      </c>
    </row>
    <row r="5" spans="1:28" ht="15" customHeight="1">
      <c r="A5" s="857" t="s">
        <v>862</v>
      </c>
      <c r="B5" s="858"/>
      <c r="C5" s="849" t="s">
        <v>861</v>
      </c>
      <c r="D5" s="863"/>
      <c r="E5" s="863"/>
      <c r="F5" s="863"/>
      <c r="G5" s="863"/>
      <c r="H5" s="863"/>
      <c r="I5" s="863"/>
      <c r="J5" s="863"/>
      <c r="K5" s="863"/>
      <c r="L5" s="863"/>
      <c r="M5" s="863"/>
      <c r="N5" s="863"/>
      <c r="O5" s="863"/>
      <c r="P5" s="863"/>
      <c r="Q5" s="863"/>
      <c r="R5" s="863"/>
      <c r="S5" s="863"/>
      <c r="T5" s="466"/>
      <c r="U5" s="466"/>
      <c r="V5" s="466"/>
      <c r="W5" s="466"/>
      <c r="X5" s="466"/>
      <c r="Y5" s="466"/>
      <c r="Z5" s="466"/>
      <c r="AA5" s="465"/>
      <c r="AB5" s="458"/>
    </row>
    <row r="6" spans="1:28">
      <c r="A6" s="859"/>
      <c r="B6" s="860"/>
      <c r="C6" s="864" t="s">
        <v>66</v>
      </c>
      <c r="D6" s="866" t="s">
        <v>860</v>
      </c>
      <c r="E6" s="866"/>
      <c r="F6" s="866"/>
      <c r="G6" s="866"/>
      <c r="H6" s="867" t="s">
        <v>859</v>
      </c>
      <c r="I6" s="868"/>
      <c r="J6" s="868"/>
      <c r="K6" s="869"/>
      <c r="L6" s="463"/>
      <c r="M6" s="870" t="s">
        <v>858</v>
      </c>
      <c r="N6" s="870"/>
      <c r="O6" s="870"/>
      <c r="P6" s="870"/>
      <c r="Q6" s="870"/>
      <c r="R6" s="870"/>
      <c r="S6" s="847"/>
      <c r="T6" s="464"/>
      <c r="U6" s="850" t="s">
        <v>857</v>
      </c>
      <c r="V6" s="850"/>
      <c r="W6" s="850"/>
      <c r="X6" s="850"/>
      <c r="Y6" s="850"/>
      <c r="Z6" s="850"/>
      <c r="AA6" s="848"/>
      <c r="AB6" s="463"/>
    </row>
    <row r="7" spans="1:28" ht="24">
      <c r="A7" s="861"/>
      <c r="B7" s="862"/>
      <c r="C7" s="865"/>
      <c r="D7" s="462"/>
      <c r="E7" s="437" t="s">
        <v>530</v>
      </c>
      <c r="F7" s="437" t="s">
        <v>855</v>
      </c>
      <c r="G7" s="437" t="s">
        <v>856</v>
      </c>
      <c r="H7" s="461"/>
      <c r="I7" s="437" t="s">
        <v>530</v>
      </c>
      <c r="J7" s="437" t="s">
        <v>855</v>
      </c>
      <c r="K7" s="437" t="s">
        <v>856</v>
      </c>
      <c r="L7" s="460"/>
      <c r="M7" s="437" t="s">
        <v>530</v>
      </c>
      <c r="N7" s="437" t="s">
        <v>855</v>
      </c>
      <c r="O7" s="437" t="s">
        <v>854</v>
      </c>
      <c r="P7" s="437" t="s">
        <v>853</v>
      </c>
      <c r="Q7" s="437" t="s">
        <v>852</v>
      </c>
      <c r="R7" s="437" t="s">
        <v>851</v>
      </c>
      <c r="S7" s="437" t="s">
        <v>850</v>
      </c>
      <c r="T7" s="459"/>
      <c r="U7" s="437" t="s">
        <v>530</v>
      </c>
      <c r="V7" s="437" t="s">
        <v>855</v>
      </c>
      <c r="W7" s="437" t="s">
        <v>854</v>
      </c>
      <c r="X7" s="437" t="s">
        <v>853</v>
      </c>
      <c r="Y7" s="437" t="s">
        <v>852</v>
      </c>
      <c r="Z7" s="437" t="s">
        <v>851</v>
      </c>
      <c r="AA7" s="437" t="s">
        <v>850</v>
      </c>
      <c r="AB7" s="458"/>
    </row>
    <row r="8" spans="1:28">
      <c r="A8" s="457">
        <v>1</v>
      </c>
      <c r="B8" s="433" t="s">
        <v>531</v>
      </c>
      <c r="C8" s="728">
        <f t="shared" ref="C8:L8" si="0">SUM(C9:C14)</f>
        <v>3247049055.113595</v>
      </c>
      <c r="D8" s="728">
        <f t="shared" si="0"/>
        <v>3074432501.5187845</v>
      </c>
      <c r="E8" s="728">
        <f t="shared" si="0"/>
        <v>18406780.391262811</v>
      </c>
      <c r="F8" s="728">
        <f t="shared" si="0"/>
        <v>0</v>
      </c>
      <c r="G8" s="728">
        <f t="shared" si="0"/>
        <v>0</v>
      </c>
      <c r="H8" s="728">
        <f t="shared" si="0"/>
        <v>146665091.6742951</v>
      </c>
      <c r="I8" s="728">
        <f t="shared" si="0"/>
        <v>7847165.1719548749</v>
      </c>
      <c r="J8" s="728">
        <f t="shared" si="0"/>
        <v>29501468.149452761</v>
      </c>
      <c r="K8" s="728">
        <f t="shared" si="0"/>
        <v>0</v>
      </c>
      <c r="L8" s="728">
        <f t="shared" si="0"/>
        <v>25944502.799470369</v>
      </c>
      <c r="M8" s="728">
        <f t="shared" ref="M8:S8" si="1">SUM(M9:M14)</f>
        <v>148300.59792223739</v>
      </c>
      <c r="N8" s="728">
        <f t="shared" si="1"/>
        <v>1359424.5720906304</v>
      </c>
      <c r="O8" s="728">
        <f t="shared" si="1"/>
        <v>19304244.924341142</v>
      </c>
      <c r="P8" s="728">
        <f t="shared" si="1"/>
        <v>0</v>
      </c>
      <c r="Q8" s="728">
        <f t="shared" si="1"/>
        <v>0</v>
      </c>
      <c r="R8" s="728">
        <f t="shared" si="1"/>
        <v>0</v>
      </c>
      <c r="S8" s="728">
        <f t="shared" si="1"/>
        <v>0</v>
      </c>
      <c r="T8" s="728">
        <f>SUM(T9:T14)</f>
        <v>6959.1210450519302</v>
      </c>
      <c r="U8" s="728">
        <f t="shared" ref="U8:AA8" si="2">SUM(U9:U14)</f>
        <v>813.14</v>
      </c>
      <c r="V8" s="728">
        <f t="shared" si="2"/>
        <v>0</v>
      </c>
      <c r="W8" s="728">
        <f t="shared" si="2"/>
        <v>0</v>
      </c>
      <c r="X8" s="728">
        <f t="shared" si="2"/>
        <v>0</v>
      </c>
      <c r="Y8" s="728">
        <f t="shared" si="2"/>
        <v>0</v>
      </c>
      <c r="Z8" s="728">
        <f t="shared" si="2"/>
        <v>0</v>
      </c>
      <c r="AA8" s="728">
        <f t="shared" si="2"/>
        <v>0</v>
      </c>
    </row>
    <row r="9" spans="1:28">
      <c r="A9" s="430">
        <v>1.1000000000000001</v>
      </c>
      <c r="B9" s="447" t="s">
        <v>532</v>
      </c>
      <c r="C9" s="447"/>
      <c r="D9" s="727"/>
      <c r="E9" s="727"/>
      <c r="F9" s="727"/>
      <c r="G9" s="727"/>
      <c r="H9" s="727"/>
      <c r="I9" s="727"/>
      <c r="J9" s="727"/>
      <c r="K9" s="727"/>
      <c r="L9" s="727"/>
      <c r="M9" s="727"/>
      <c r="N9" s="727"/>
      <c r="O9" s="727"/>
      <c r="P9" s="727"/>
      <c r="Q9" s="727"/>
      <c r="R9" s="727"/>
      <c r="S9" s="727"/>
      <c r="T9" s="727"/>
      <c r="U9" s="727"/>
      <c r="V9" s="727"/>
      <c r="W9" s="727"/>
      <c r="X9" s="727"/>
      <c r="Y9" s="727"/>
      <c r="Z9" s="727"/>
      <c r="AA9" s="727"/>
    </row>
    <row r="10" spans="1:28">
      <c r="A10" s="430">
        <v>1.2</v>
      </c>
      <c r="B10" s="447" t="s">
        <v>533</v>
      </c>
      <c r="C10" s="447"/>
      <c r="D10" s="727"/>
      <c r="E10" s="727"/>
      <c r="F10" s="727"/>
      <c r="G10" s="727"/>
      <c r="H10" s="727"/>
      <c r="I10" s="727"/>
      <c r="J10" s="727"/>
      <c r="K10" s="727"/>
      <c r="L10" s="727"/>
      <c r="M10" s="727"/>
      <c r="N10" s="727"/>
      <c r="O10" s="727"/>
      <c r="P10" s="727"/>
      <c r="Q10" s="727"/>
      <c r="R10" s="727"/>
      <c r="S10" s="727"/>
      <c r="T10" s="727"/>
      <c r="U10" s="727"/>
      <c r="V10" s="727"/>
      <c r="W10" s="727"/>
      <c r="X10" s="727"/>
      <c r="Y10" s="727"/>
      <c r="Z10" s="727"/>
      <c r="AA10" s="727"/>
    </row>
    <row r="11" spans="1:28">
      <c r="A11" s="430">
        <v>1.3</v>
      </c>
      <c r="B11" s="447" t="s">
        <v>534</v>
      </c>
      <c r="C11" s="447"/>
      <c r="D11" s="727"/>
      <c r="E11" s="727"/>
      <c r="F11" s="727"/>
      <c r="G11" s="727"/>
      <c r="H11" s="727"/>
      <c r="I11" s="727"/>
      <c r="J11" s="727"/>
      <c r="K11" s="727"/>
      <c r="L11" s="727"/>
      <c r="M11" s="727"/>
      <c r="N11" s="727"/>
      <c r="O11" s="727"/>
      <c r="P11" s="727"/>
      <c r="Q11" s="727"/>
      <c r="R11" s="727"/>
      <c r="S11" s="727"/>
      <c r="T11" s="727"/>
      <c r="U11" s="727"/>
      <c r="V11" s="727"/>
      <c r="W11" s="727"/>
      <c r="X11" s="727"/>
      <c r="Y11" s="727"/>
      <c r="Z11" s="727"/>
      <c r="AA11" s="727"/>
    </row>
    <row r="12" spans="1:28">
      <c r="A12" s="430">
        <v>1.4</v>
      </c>
      <c r="B12" s="447" t="s">
        <v>535</v>
      </c>
      <c r="C12" s="447"/>
      <c r="D12" s="727"/>
      <c r="E12" s="727"/>
      <c r="F12" s="727"/>
      <c r="G12" s="727"/>
      <c r="H12" s="727"/>
      <c r="I12" s="727"/>
      <c r="J12" s="727"/>
      <c r="K12" s="727"/>
      <c r="L12" s="727"/>
      <c r="M12" s="727"/>
      <c r="N12" s="727"/>
      <c r="O12" s="727"/>
      <c r="P12" s="727"/>
      <c r="Q12" s="727"/>
      <c r="R12" s="727"/>
      <c r="S12" s="727"/>
      <c r="T12" s="727"/>
      <c r="U12" s="727"/>
      <c r="V12" s="727"/>
      <c r="W12" s="727"/>
      <c r="X12" s="727"/>
      <c r="Y12" s="727"/>
      <c r="Z12" s="727"/>
      <c r="AA12" s="727"/>
    </row>
    <row r="13" spans="1:28">
      <c r="A13" s="430">
        <v>1.5</v>
      </c>
      <c r="B13" s="447" t="s">
        <v>536</v>
      </c>
      <c r="C13" s="733">
        <f>D13+H13+L13+T13</f>
        <v>221369760.84427375</v>
      </c>
      <c r="D13" s="727">
        <v>213712828.50459871</v>
      </c>
      <c r="E13" s="727">
        <v>219502.12973973271</v>
      </c>
      <c r="F13" s="727">
        <v>0</v>
      </c>
      <c r="G13" s="727">
        <v>0</v>
      </c>
      <c r="H13" s="727">
        <v>3913289.3067008723</v>
      </c>
      <c r="I13" s="727">
        <v>0</v>
      </c>
      <c r="J13" s="727">
        <v>305315.67948130268</v>
      </c>
      <c r="K13" s="727">
        <v>0</v>
      </c>
      <c r="L13" s="727">
        <v>3743643.0329741673</v>
      </c>
      <c r="M13" s="727">
        <v>0</v>
      </c>
      <c r="N13" s="727">
        <v>0</v>
      </c>
      <c r="O13" s="727">
        <v>2352.09</v>
      </c>
      <c r="P13" s="727">
        <v>0</v>
      </c>
      <c r="Q13" s="727">
        <v>0</v>
      </c>
      <c r="R13" s="727">
        <v>0</v>
      </c>
      <c r="S13" s="727">
        <v>0</v>
      </c>
      <c r="T13" s="727">
        <v>0</v>
      </c>
      <c r="U13" s="727">
        <v>0</v>
      </c>
      <c r="V13" s="727">
        <v>0</v>
      </c>
      <c r="W13" s="727">
        <v>0</v>
      </c>
      <c r="X13" s="727">
        <v>0</v>
      </c>
      <c r="Y13" s="727">
        <v>0</v>
      </c>
      <c r="Z13" s="727">
        <v>0</v>
      </c>
      <c r="AA13" s="727">
        <v>0</v>
      </c>
    </row>
    <row r="14" spans="1:28">
      <c r="A14" s="430">
        <v>1.6</v>
      </c>
      <c r="B14" s="447" t="s">
        <v>537</v>
      </c>
      <c r="C14" s="733">
        <f>D14+H14+L14+T14</f>
        <v>3025679294.2693214</v>
      </c>
      <c r="D14" s="727">
        <v>2860719673.0141859</v>
      </c>
      <c r="E14" s="727">
        <v>18187278.261523079</v>
      </c>
      <c r="F14" s="727">
        <v>0</v>
      </c>
      <c r="G14" s="727">
        <v>0</v>
      </c>
      <c r="H14" s="727">
        <v>142751802.36759421</v>
      </c>
      <c r="I14" s="727">
        <v>7847165.1719548749</v>
      </c>
      <c r="J14" s="727">
        <v>29196152.469971459</v>
      </c>
      <c r="K14" s="727">
        <v>0</v>
      </c>
      <c r="L14" s="727">
        <v>22200859.7664962</v>
      </c>
      <c r="M14" s="727">
        <v>148300.59792223739</v>
      </c>
      <c r="N14" s="727">
        <v>1359424.5720906304</v>
      </c>
      <c r="O14" s="727">
        <v>19301892.834341142</v>
      </c>
      <c r="P14" s="727">
        <v>0</v>
      </c>
      <c r="Q14" s="727">
        <v>0</v>
      </c>
      <c r="R14" s="727">
        <v>0</v>
      </c>
      <c r="S14" s="727">
        <v>0</v>
      </c>
      <c r="T14" s="727">
        <v>6959.1210450519302</v>
      </c>
      <c r="U14" s="727">
        <v>813.14</v>
      </c>
      <c r="V14" s="727">
        <v>0</v>
      </c>
      <c r="W14" s="727">
        <v>0</v>
      </c>
      <c r="X14" s="727">
        <v>0</v>
      </c>
      <c r="Y14" s="727">
        <v>0</v>
      </c>
      <c r="Z14" s="727">
        <v>0</v>
      </c>
      <c r="AA14" s="727">
        <v>0</v>
      </c>
    </row>
    <row r="15" spans="1:28">
      <c r="A15" s="457">
        <v>2</v>
      </c>
      <c r="B15" s="433" t="s">
        <v>538</v>
      </c>
      <c r="C15" s="733">
        <f>D15+H15+L15+T15</f>
        <v>53383000.169999994</v>
      </c>
      <c r="D15" s="734">
        <f>SUM(D16:D21)</f>
        <v>53383000.169999994</v>
      </c>
      <c r="E15" s="430"/>
      <c r="F15" s="430"/>
      <c r="G15" s="430"/>
      <c r="H15" s="430"/>
      <c r="I15" s="430"/>
      <c r="J15" s="430"/>
      <c r="K15" s="430"/>
      <c r="L15" s="430"/>
      <c r="M15" s="430"/>
      <c r="N15" s="430"/>
      <c r="O15" s="430"/>
      <c r="P15" s="430"/>
      <c r="Q15" s="430"/>
      <c r="R15" s="430"/>
      <c r="S15" s="430"/>
      <c r="T15" s="430"/>
      <c r="U15" s="430"/>
      <c r="V15" s="430"/>
      <c r="W15" s="430"/>
      <c r="X15" s="430"/>
      <c r="Y15" s="430"/>
      <c r="Z15" s="430"/>
      <c r="AA15" s="430"/>
    </row>
    <row r="16" spans="1:28">
      <c r="A16" s="430">
        <v>2.1</v>
      </c>
      <c r="B16" s="447" t="s">
        <v>532</v>
      </c>
      <c r="C16" s="733">
        <f t="shared" ref="C16:C17" si="3">D16+H16+L16+T16</f>
        <v>0</v>
      </c>
      <c r="D16" s="430"/>
      <c r="E16" s="430"/>
      <c r="F16" s="430"/>
      <c r="G16" s="430"/>
      <c r="H16" s="430"/>
      <c r="I16" s="430"/>
      <c r="J16" s="430"/>
      <c r="K16" s="430"/>
      <c r="L16" s="430"/>
      <c r="M16" s="430"/>
      <c r="N16" s="430"/>
      <c r="O16" s="430"/>
      <c r="P16" s="430"/>
      <c r="Q16" s="430"/>
      <c r="R16" s="430"/>
      <c r="S16" s="430"/>
      <c r="T16" s="430"/>
      <c r="U16" s="430"/>
      <c r="V16" s="430"/>
      <c r="W16" s="430"/>
      <c r="X16" s="430"/>
      <c r="Y16" s="430"/>
      <c r="Z16" s="430"/>
      <c r="AA16" s="430"/>
    </row>
    <row r="17" spans="1:27">
      <c r="A17" s="430">
        <v>2.2000000000000002</v>
      </c>
      <c r="B17" s="447" t="s">
        <v>533</v>
      </c>
      <c r="C17" s="733">
        <f t="shared" si="3"/>
        <v>53383000.169999994</v>
      </c>
      <c r="D17" s="727">
        <v>53383000.169999994</v>
      </c>
      <c r="E17" s="430"/>
      <c r="F17" s="430"/>
      <c r="G17" s="430"/>
      <c r="H17" s="430"/>
      <c r="I17" s="430"/>
      <c r="J17" s="430"/>
      <c r="K17" s="430"/>
      <c r="L17" s="430"/>
      <c r="M17" s="430"/>
      <c r="N17" s="430"/>
      <c r="O17" s="430"/>
      <c r="P17" s="430"/>
      <c r="Q17" s="430"/>
      <c r="R17" s="430"/>
      <c r="S17" s="430"/>
      <c r="T17" s="430"/>
      <c r="U17" s="430"/>
      <c r="V17" s="430"/>
      <c r="W17" s="430"/>
      <c r="X17" s="430"/>
      <c r="Y17" s="430"/>
      <c r="Z17" s="430"/>
      <c r="AA17" s="430"/>
    </row>
    <row r="18" spans="1:27">
      <c r="A18" s="430">
        <v>2.2999999999999998</v>
      </c>
      <c r="B18" s="447" t="s">
        <v>534</v>
      </c>
      <c r="C18" s="447"/>
      <c r="D18" s="430"/>
      <c r="E18" s="430"/>
      <c r="F18" s="430"/>
      <c r="G18" s="430"/>
      <c r="H18" s="430"/>
      <c r="I18" s="430"/>
      <c r="J18" s="430"/>
      <c r="K18" s="430"/>
      <c r="L18" s="430"/>
      <c r="M18" s="430"/>
      <c r="N18" s="430"/>
      <c r="O18" s="430"/>
      <c r="P18" s="430"/>
      <c r="Q18" s="430"/>
      <c r="R18" s="430"/>
      <c r="S18" s="430"/>
      <c r="T18" s="430"/>
      <c r="U18" s="430"/>
      <c r="V18" s="430"/>
      <c r="W18" s="430"/>
      <c r="X18" s="430"/>
      <c r="Y18" s="430"/>
      <c r="Z18" s="430"/>
      <c r="AA18" s="430"/>
    </row>
    <row r="19" spans="1:27">
      <c r="A19" s="430">
        <v>2.4</v>
      </c>
      <c r="B19" s="447" t="s">
        <v>535</v>
      </c>
      <c r="C19" s="447"/>
      <c r="D19" s="430"/>
      <c r="E19" s="430"/>
      <c r="F19" s="430"/>
      <c r="G19" s="430"/>
      <c r="H19" s="430"/>
      <c r="I19" s="430"/>
      <c r="J19" s="430"/>
      <c r="K19" s="430"/>
      <c r="L19" s="430"/>
      <c r="M19" s="430"/>
      <c r="N19" s="430"/>
      <c r="O19" s="430"/>
      <c r="P19" s="430"/>
      <c r="Q19" s="430"/>
      <c r="R19" s="430"/>
      <c r="S19" s="430"/>
      <c r="T19" s="430"/>
      <c r="U19" s="430"/>
      <c r="V19" s="430"/>
      <c r="W19" s="430"/>
      <c r="X19" s="430"/>
      <c r="Y19" s="430"/>
      <c r="Z19" s="430"/>
      <c r="AA19" s="430"/>
    </row>
    <row r="20" spans="1:27">
      <c r="A20" s="430">
        <v>2.5</v>
      </c>
      <c r="B20" s="447" t="s">
        <v>536</v>
      </c>
      <c r="C20" s="447"/>
      <c r="D20" s="430"/>
      <c r="E20" s="430"/>
      <c r="F20" s="430"/>
      <c r="G20" s="430"/>
      <c r="H20" s="430"/>
      <c r="I20" s="430"/>
      <c r="J20" s="430"/>
      <c r="K20" s="430"/>
      <c r="L20" s="430"/>
      <c r="M20" s="430"/>
      <c r="N20" s="430"/>
      <c r="O20" s="430"/>
      <c r="P20" s="430"/>
      <c r="Q20" s="430"/>
      <c r="R20" s="430"/>
      <c r="S20" s="430"/>
      <c r="T20" s="430"/>
      <c r="U20" s="430"/>
      <c r="V20" s="430"/>
      <c r="W20" s="430"/>
      <c r="X20" s="430"/>
      <c r="Y20" s="430"/>
      <c r="Z20" s="430"/>
      <c r="AA20" s="430"/>
    </row>
    <row r="21" spans="1:27">
      <c r="A21" s="430">
        <v>2.6</v>
      </c>
      <c r="B21" s="447" t="s">
        <v>537</v>
      </c>
      <c r="C21" s="447"/>
      <c r="D21" s="430"/>
      <c r="E21" s="430"/>
      <c r="F21" s="430"/>
      <c r="G21" s="430"/>
      <c r="H21" s="430"/>
      <c r="I21" s="430"/>
      <c r="J21" s="430"/>
      <c r="K21" s="430"/>
      <c r="L21" s="430"/>
      <c r="M21" s="430"/>
      <c r="N21" s="430"/>
      <c r="O21" s="430"/>
      <c r="P21" s="430"/>
      <c r="Q21" s="430"/>
      <c r="R21" s="430"/>
      <c r="S21" s="430"/>
      <c r="T21" s="430"/>
      <c r="U21" s="430"/>
      <c r="V21" s="430"/>
      <c r="W21" s="430"/>
      <c r="X21" s="430"/>
      <c r="Y21" s="430"/>
      <c r="Z21" s="430"/>
      <c r="AA21" s="430"/>
    </row>
    <row r="22" spans="1:27">
      <c r="A22" s="457">
        <v>3</v>
      </c>
      <c r="B22" s="433" t="s">
        <v>539</v>
      </c>
      <c r="C22" s="734">
        <f>C27+C28</f>
        <v>468593611.06937999</v>
      </c>
      <c r="D22" s="433"/>
      <c r="E22" s="456"/>
      <c r="F22" s="456"/>
      <c r="G22" s="456"/>
      <c r="H22" s="433"/>
      <c r="I22" s="456"/>
      <c r="J22" s="456"/>
      <c r="K22" s="456"/>
      <c r="L22" s="433"/>
      <c r="M22" s="456"/>
      <c r="N22" s="456"/>
      <c r="O22" s="456"/>
      <c r="P22" s="456"/>
      <c r="Q22" s="456"/>
      <c r="R22" s="456"/>
      <c r="S22" s="456"/>
      <c r="T22" s="433"/>
      <c r="U22" s="456"/>
      <c r="V22" s="456"/>
      <c r="W22" s="456"/>
      <c r="X22" s="456"/>
      <c r="Y22" s="456"/>
      <c r="Z22" s="456"/>
      <c r="AA22" s="456"/>
    </row>
    <row r="23" spans="1:27">
      <c r="A23" s="430">
        <v>3.1</v>
      </c>
      <c r="B23" s="447" t="s">
        <v>532</v>
      </c>
      <c r="C23" s="447"/>
      <c r="D23" s="433"/>
      <c r="E23" s="456"/>
      <c r="F23" s="456"/>
      <c r="G23" s="456"/>
      <c r="H23" s="433"/>
      <c r="I23" s="456"/>
      <c r="J23" s="456"/>
      <c r="K23" s="456"/>
      <c r="L23" s="433"/>
      <c r="M23" s="456"/>
      <c r="N23" s="456"/>
      <c r="O23" s="456"/>
      <c r="P23" s="456"/>
      <c r="Q23" s="456"/>
      <c r="R23" s="456"/>
      <c r="S23" s="456"/>
      <c r="T23" s="433"/>
      <c r="U23" s="456"/>
      <c r="V23" s="456"/>
      <c r="W23" s="456"/>
      <c r="X23" s="456"/>
      <c r="Y23" s="456"/>
      <c r="Z23" s="456"/>
      <c r="AA23" s="456"/>
    </row>
    <row r="24" spans="1:27">
      <c r="A24" s="430">
        <v>3.2</v>
      </c>
      <c r="B24" s="447" t="s">
        <v>533</v>
      </c>
      <c r="C24" s="447"/>
      <c r="D24" s="433"/>
      <c r="E24" s="456"/>
      <c r="F24" s="456"/>
      <c r="G24" s="456"/>
      <c r="H24" s="433"/>
      <c r="I24" s="456"/>
      <c r="J24" s="456"/>
      <c r="K24" s="456"/>
      <c r="L24" s="433"/>
      <c r="M24" s="456"/>
      <c r="N24" s="456"/>
      <c r="O24" s="456"/>
      <c r="P24" s="456"/>
      <c r="Q24" s="456"/>
      <c r="R24" s="456"/>
      <c r="S24" s="456"/>
      <c r="T24" s="433"/>
      <c r="U24" s="456"/>
      <c r="V24" s="456"/>
      <c r="W24" s="456"/>
      <c r="X24" s="456"/>
      <c r="Y24" s="456"/>
      <c r="Z24" s="456"/>
      <c r="AA24" s="456"/>
    </row>
    <row r="25" spans="1:27">
      <c r="A25" s="430">
        <v>3.3</v>
      </c>
      <c r="B25" s="447" t="s">
        <v>534</v>
      </c>
      <c r="C25" s="447"/>
      <c r="D25" s="433"/>
      <c r="E25" s="456"/>
      <c r="F25" s="456"/>
      <c r="G25" s="456"/>
      <c r="H25" s="433"/>
      <c r="I25" s="456"/>
      <c r="J25" s="456"/>
      <c r="K25" s="456"/>
      <c r="L25" s="433"/>
      <c r="M25" s="456"/>
      <c r="N25" s="456"/>
      <c r="O25" s="456"/>
      <c r="P25" s="456"/>
      <c r="Q25" s="456"/>
      <c r="R25" s="456"/>
      <c r="S25" s="456"/>
      <c r="T25" s="433"/>
      <c r="U25" s="456"/>
      <c r="V25" s="456"/>
      <c r="W25" s="456"/>
      <c r="X25" s="456"/>
      <c r="Y25" s="456"/>
      <c r="Z25" s="456"/>
      <c r="AA25" s="456"/>
    </row>
    <row r="26" spans="1:27">
      <c r="A26" s="430">
        <v>3.4</v>
      </c>
      <c r="B26" s="447" t="s">
        <v>535</v>
      </c>
      <c r="C26" s="447"/>
      <c r="D26" s="433"/>
      <c r="E26" s="456"/>
      <c r="F26" s="456"/>
      <c r="G26" s="456"/>
      <c r="H26" s="433"/>
      <c r="I26" s="456"/>
      <c r="J26" s="456"/>
      <c r="K26" s="456"/>
      <c r="L26" s="433"/>
      <c r="M26" s="456"/>
      <c r="N26" s="456"/>
      <c r="O26" s="456"/>
      <c r="P26" s="456"/>
      <c r="Q26" s="456"/>
      <c r="R26" s="456"/>
      <c r="S26" s="456"/>
      <c r="T26" s="433"/>
      <c r="U26" s="456"/>
      <c r="V26" s="456"/>
      <c r="W26" s="456"/>
      <c r="X26" s="456"/>
      <c r="Y26" s="456"/>
      <c r="Z26" s="456"/>
      <c r="AA26" s="456"/>
    </row>
    <row r="27" spans="1:27">
      <c r="A27" s="430">
        <v>3.5</v>
      </c>
      <c r="B27" s="447" t="s">
        <v>536</v>
      </c>
      <c r="C27" s="735">
        <v>20160090</v>
      </c>
      <c r="D27" s="728">
        <v>20160090</v>
      </c>
      <c r="E27" s="456"/>
      <c r="F27" s="456"/>
      <c r="G27" s="456"/>
      <c r="H27" s="433"/>
      <c r="I27" s="456"/>
      <c r="J27" s="456"/>
      <c r="K27" s="456"/>
      <c r="L27" s="433"/>
      <c r="M27" s="456"/>
      <c r="N27" s="456"/>
      <c r="O27" s="456"/>
      <c r="P27" s="456"/>
      <c r="Q27" s="456"/>
      <c r="R27" s="456"/>
      <c r="S27" s="456"/>
      <c r="T27" s="433"/>
      <c r="U27" s="456"/>
      <c r="V27" s="456"/>
      <c r="W27" s="456"/>
      <c r="X27" s="456"/>
      <c r="Y27" s="456"/>
      <c r="Z27" s="456"/>
      <c r="AA27" s="456"/>
    </row>
    <row r="28" spans="1:27">
      <c r="A28" s="430">
        <v>3.6</v>
      </c>
      <c r="B28" s="447" t="s">
        <v>537</v>
      </c>
      <c r="C28" s="735">
        <f>446219608.06938+2213913</f>
        <v>448433521.06937999</v>
      </c>
      <c r="D28" s="728"/>
      <c r="E28" s="456"/>
      <c r="F28" s="456"/>
      <c r="G28" s="456"/>
      <c r="H28" s="433"/>
      <c r="I28" s="456"/>
      <c r="J28" s="456"/>
      <c r="K28" s="456"/>
      <c r="L28" s="433"/>
      <c r="M28" s="456"/>
      <c r="N28" s="456"/>
      <c r="O28" s="456"/>
      <c r="P28" s="456"/>
      <c r="Q28" s="456"/>
      <c r="R28" s="456"/>
      <c r="S28" s="456"/>
      <c r="T28" s="433"/>
      <c r="U28" s="456"/>
      <c r="V28" s="456"/>
      <c r="W28" s="456"/>
      <c r="X28" s="456"/>
      <c r="Y28" s="456"/>
      <c r="Z28" s="456"/>
      <c r="AA28" s="456"/>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election activeCell="T8" activeCellId="3" sqref="D8 H8 L8 T8"/>
    </sheetView>
  </sheetViews>
  <sheetFormatPr defaultColWidth="9.21875" defaultRowHeight="12"/>
  <cols>
    <col min="1" max="1" width="11.77734375" style="440" bestFit="1" customWidth="1"/>
    <col min="2" max="2" width="90.21875" style="440" bestFit="1" customWidth="1"/>
    <col min="3" max="3" width="20.21875" style="440" customWidth="1"/>
    <col min="4" max="4" width="22.21875" style="440" customWidth="1"/>
    <col min="5" max="7" width="17.109375" style="440" customWidth="1"/>
    <col min="8" max="8" width="22.21875" style="440" customWidth="1"/>
    <col min="9" max="10" width="17.109375" style="440" customWidth="1"/>
    <col min="11" max="27" width="22.21875" style="440" customWidth="1"/>
    <col min="28" max="16384" width="9.21875" style="440"/>
  </cols>
  <sheetData>
    <row r="1" spans="1:27" ht="13.8">
      <c r="A1" s="318" t="s">
        <v>97</v>
      </c>
      <c r="B1" s="247" t="str">
        <f>Info!C2</f>
        <v>სს "კრედო ბანკი"</v>
      </c>
    </row>
    <row r="2" spans="1:27">
      <c r="A2" s="318" t="s">
        <v>98</v>
      </c>
      <c r="B2" s="321">
        <f>'1. key ratios'!B2</f>
        <v>46112</v>
      </c>
    </row>
    <row r="3" spans="1:27">
      <c r="A3" s="320" t="s">
        <v>540</v>
      </c>
      <c r="C3" s="442"/>
    </row>
    <row r="4" spans="1:27" ht="12.6" thickBot="1">
      <c r="A4" s="320"/>
      <c r="B4" s="442"/>
      <c r="C4" s="442"/>
    </row>
    <row r="5" spans="1:27" ht="13.5" customHeight="1">
      <c r="A5" s="875" t="s">
        <v>869</v>
      </c>
      <c r="B5" s="876"/>
      <c r="C5" s="872" t="s">
        <v>541</v>
      </c>
      <c r="D5" s="873"/>
      <c r="E5" s="873"/>
      <c r="F5" s="873"/>
      <c r="G5" s="873"/>
      <c r="H5" s="873"/>
      <c r="I5" s="873"/>
      <c r="J5" s="873"/>
      <c r="K5" s="873"/>
      <c r="L5" s="873"/>
      <c r="M5" s="873"/>
      <c r="N5" s="873"/>
      <c r="O5" s="873"/>
      <c r="P5" s="873"/>
      <c r="Q5" s="873"/>
      <c r="R5" s="873"/>
      <c r="S5" s="873"/>
      <c r="T5" s="873"/>
      <c r="U5" s="873"/>
      <c r="V5" s="873"/>
      <c r="W5" s="873"/>
      <c r="X5" s="873"/>
      <c r="Y5" s="873"/>
      <c r="Z5" s="873"/>
      <c r="AA5" s="874"/>
    </row>
    <row r="6" spans="1:27" ht="12" customHeight="1">
      <c r="A6" s="877"/>
      <c r="B6" s="878"/>
      <c r="C6" s="881" t="s">
        <v>66</v>
      </c>
      <c r="D6" s="846" t="s">
        <v>860</v>
      </c>
      <c r="E6" s="846"/>
      <c r="F6" s="846"/>
      <c r="G6" s="846"/>
      <c r="H6" s="867" t="s">
        <v>859</v>
      </c>
      <c r="I6" s="868"/>
      <c r="J6" s="868"/>
      <c r="K6" s="868"/>
      <c r="L6" s="464"/>
      <c r="M6" s="850" t="s">
        <v>858</v>
      </c>
      <c r="N6" s="850"/>
      <c r="O6" s="850"/>
      <c r="P6" s="850"/>
      <c r="Q6" s="850"/>
      <c r="R6" s="850"/>
      <c r="S6" s="848"/>
      <c r="T6" s="464"/>
      <c r="U6" s="850" t="s">
        <v>857</v>
      </c>
      <c r="V6" s="850"/>
      <c r="W6" s="850"/>
      <c r="X6" s="850"/>
      <c r="Y6" s="850"/>
      <c r="Z6" s="850"/>
      <c r="AA6" s="871"/>
    </row>
    <row r="7" spans="1:27" ht="36">
      <c r="A7" s="879"/>
      <c r="B7" s="880"/>
      <c r="C7" s="882"/>
      <c r="D7" s="462"/>
      <c r="E7" s="437" t="s">
        <v>530</v>
      </c>
      <c r="F7" s="437" t="s">
        <v>855</v>
      </c>
      <c r="G7" s="437" t="s">
        <v>856</v>
      </c>
      <c r="H7" s="441"/>
      <c r="I7" s="437" t="s">
        <v>530</v>
      </c>
      <c r="J7" s="437" t="s">
        <v>855</v>
      </c>
      <c r="K7" s="437" t="s">
        <v>856</v>
      </c>
      <c r="L7" s="459"/>
      <c r="M7" s="437" t="s">
        <v>530</v>
      </c>
      <c r="N7" s="437" t="s">
        <v>868</v>
      </c>
      <c r="O7" s="437" t="s">
        <v>867</v>
      </c>
      <c r="P7" s="437" t="s">
        <v>866</v>
      </c>
      <c r="Q7" s="437" t="s">
        <v>865</v>
      </c>
      <c r="R7" s="437" t="s">
        <v>864</v>
      </c>
      <c r="S7" s="437" t="s">
        <v>850</v>
      </c>
      <c r="T7" s="459"/>
      <c r="U7" s="437" t="s">
        <v>530</v>
      </c>
      <c r="V7" s="437" t="s">
        <v>868</v>
      </c>
      <c r="W7" s="437" t="s">
        <v>867</v>
      </c>
      <c r="X7" s="437" t="s">
        <v>866</v>
      </c>
      <c r="Y7" s="437" t="s">
        <v>865</v>
      </c>
      <c r="Z7" s="437" t="s">
        <v>864</v>
      </c>
      <c r="AA7" s="437" t="s">
        <v>850</v>
      </c>
    </row>
    <row r="8" spans="1:27">
      <c r="A8" s="485">
        <v>1</v>
      </c>
      <c r="B8" s="484" t="s">
        <v>531</v>
      </c>
      <c r="C8" s="746">
        <f>D8+H8+L8+T8</f>
        <v>3247049055.1135688</v>
      </c>
      <c r="D8" s="727">
        <v>3074432501.5187578</v>
      </c>
      <c r="E8" s="727">
        <v>18406780.391262837</v>
      </c>
      <c r="F8" s="727">
        <v>0</v>
      </c>
      <c r="G8" s="727">
        <v>0</v>
      </c>
      <c r="H8" s="727">
        <v>146665091.67429531</v>
      </c>
      <c r="I8" s="727">
        <v>7847165.1719548684</v>
      </c>
      <c r="J8" s="727">
        <v>29501468.149452765</v>
      </c>
      <c r="K8" s="727">
        <v>0</v>
      </c>
      <c r="L8" s="727">
        <v>25944502.799470276</v>
      </c>
      <c r="M8" s="727">
        <v>148300.59792223742</v>
      </c>
      <c r="N8" s="727">
        <v>1359424.5720906309</v>
      </c>
      <c r="O8" s="727">
        <v>19304244.92434103</v>
      </c>
      <c r="P8" s="727">
        <v>0</v>
      </c>
      <c r="Q8" s="727">
        <v>0</v>
      </c>
      <c r="R8" s="727">
        <v>0</v>
      </c>
      <c r="S8" s="727">
        <v>0</v>
      </c>
      <c r="T8" s="727">
        <v>6959.1210450519302</v>
      </c>
      <c r="U8" s="727">
        <v>813.14</v>
      </c>
      <c r="V8" s="727"/>
      <c r="W8" s="727"/>
      <c r="X8" s="727"/>
      <c r="Y8" s="727"/>
      <c r="Z8" s="727"/>
      <c r="AA8" s="747"/>
    </row>
    <row r="9" spans="1:27">
      <c r="A9" s="477">
        <v>1.1000000000000001</v>
      </c>
      <c r="B9" s="483" t="s">
        <v>542</v>
      </c>
      <c r="C9" s="748">
        <f>D9+H9+L9+T9</f>
        <v>1362907181.7373946</v>
      </c>
      <c r="D9" s="727">
        <v>1333044541.7910085</v>
      </c>
      <c r="E9" s="727">
        <v>5190323.5353382984</v>
      </c>
      <c r="F9" s="727">
        <v>0</v>
      </c>
      <c r="G9" s="727">
        <v>0</v>
      </c>
      <c r="H9" s="727">
        <v>22859147.233212348</v>
      </c>
      <c r="I9" s="727">
        <v>495979.33420771954</v>
      </c>
      <c r="J9" s="727">
        <v>4845486.7338034138</v>
      </c>
      <c r="K9" s="727">
        <v>0</v>
      </c>
      <c r="L9" s="727">
        <v>7003492.7131738411</v>
      </c>
      <c r="M9" s="727">
        <v>23012.706167324239</v>
      </c>
      <c r="N9" s="727">
        <v>258301.44877033372</v>
      </c>
      <c r="O9" s="727">
        <v>2631892.7944409642</v>
      </c>
      <c r="P9" s="727">
        <v>0</v>
      </c>
      <c r="Q9" s="727">
        <v>0</v>
      </c>
      <c r="R9" s="727">
        <v>0</v>
      </c>
      <c r="S9" s="727">
        <v>0</v>
      </c>
      <c r="T9" s="727"/>
      <c r="U9" s="727"/>
      <c r="V9" s="727"/>
      <c r="W9" s="727"/>
      <c r="X9" s="727"/>
      <c r="Y9" s="727"/>
      <c r="Z9" s="727"/>
      <c r="AA9" s="747"/>
    </row>
    <row r="10" spans="1:27">
      <c r="A10" s="481" t="s">
        <v>146</v>
      </c>
      <c r="B10" s="482" t="s">
        <v>543</v>
      </c>
      <c r="C10" s="749">
        <f>SUM(C11:C14)</f>
        <v>1221433334.8237689</v>
      </c>
      <c r="D10" s="749">
        <f t="shared" ref="D10:AA10" si="0">SUM(D11:D14)</f>
        <v>1196136042.8696845</v>
      </c>
      <c r="E10" s="749">
        <f t="shared" si="0"/>
        <v>4226383.1489711506</v>
      </c>
      <c r="F10" s="749">
        <f t="shared" si="0"/>
        <v>0</v>
      </c>
      <c r="G10" s="749">
        <f t="shared" si="0"/>
        <v>0</v>
      </c>
      <c r="H10" s="749">
        <f t="shared" si="0"/>
        <v>20066802.428955644</v>
      </c>
      <c r="I10" s="749">
        <f t="shared" si="0"/>
        <v>236036.92859961279</v>
      </c>
      <c r="J10" s="749">
        <f t="shared" si="0"/>
        <v>3557425.3264098219</v>
      </c>
      <c r="K10" s="749">
        <f t="shared" si="0"/>
        <v>109821.2075861177</v>
      </c>
      <c r="L10" s="749">
        <f t="shared" si="0"/>
        <v>5230489.5251284158</v>
      </c>
      <c r="M10" s="749">
        <f t="shared" si="0"/>
        <v>0</v>
      </c>
      <c r="N10" s="749">
        <f t="shared" si="0"/>
        <v>79008.173421396306</v>
      </c>
      <c r="O10" s="749">
        <f t="shared" si="0"/>
        <v>1168860.6222410654</v>
      </c>
      <c r="P10" s="749">
        <f t="shared" si="0"/>
        <v>0</v>
      </c>
      <c r="Q10" s="749">
        <f t="shared" si="0"/>
        <v>0</v>
      </c>
      <c r="R10" s="749">
        <f t="shared" si="0"/>
        <v>0</v>
      </c>
      <c r="S10" s="749">
        <f t="shared" si="0"/>
        <v>0</v>
      </c>
      <c r="T10" s="749">
        <f t="shared" si="0"/>
        <v>0</v>
      </c>
      <c r="U10" s="749">
        <f t="shared" si="0"/>
        <v>0</v>
      </c>
      <c r="V10" s="749">
        <f t="shared" si="0"/>
        <v>0</v>
      </c>
      <c r="W10" s="749">
        <f t="shared" si="0"/>
        <v>0</v>
      </c>
      <c r="X10" s="749">
        <f t="shared" si="0"/>
        <v>0</v>
      </c>
      <c r="Y10" s="749">
        <f t="shared" si="0"/>
        <v>0</v>
      </c>
      <c r="Z10" s="749">
        <f t="shared" si="0"/>
        <v>0</v>
      </c>
      <c r="AA10" s="749">
        <f t="shared" si="0"/>
        <v>0</v>
      </c>
    </row>
    <row r="11" spans="1:27">
      <c r="A11" s="479" t="s">
        <v>544</v>
      </c>
      <c r="B11" s="480" t="s">
        <v>545</v>
      </c>
      <c r="C11" s="748">
        <f>D11+H11+L11+T11</f>
        <v>714722908.55590403</v>
      </c>
      <c r="D11" s="727">
        <v>702645381.82798934</v>
      </c>
      <c r="E11" s="727">
        <v>2080524.6772838244</v>
      </c>
      <c r="F11" s="727">
        <v>0</v>
      </c>
      <c r="G11" s="727">
        <v>0</v>
      </c>
      <c r="H11" s="727">
        <v>7753984.2917059381</v>
      </c>
      <c r="I11" s="727">
        <v>48982.406831495697</v>
      </c>
      <c r="J11" s="727">
        <v>1867332.4388748114</v>
      </c>
      <c r="K11" s="727">
        <v>0</v>
      </c>
      <c r="L11" s="727">
        <v>4323542.4362086738</v>
      </c>
      <c r="M11" s="727">
        <v>0</v>
      </c>
      <c r="N11" s="727">
        <v>79008.173421396306</v>
      </c>
      <c r="O11" s="727">
        <v>359182.18276736833</v>
      </c>
      <c r="P11" s="727"/>
      <c r="Q11" s="727"/>
      <c r="R11" s="727"/>
      <c r="S11" s="727"/>
      <c r="T11" s="727"/>
      <c r="U11" s="727"/>
      <c r="V11" s="727"/>
      <c r="W11" s="727"/>
      <c r="X11" s="727"/>
      <c r="Y11" s="727"/>
      <c r="Z11" s="727"/>
      <c r="AA11" s="747"/>
    </row>
    <row r="12" spans="1:27">
      <c r="A12" s="479" t="s">
        <v>546</v>
      </c>
      <c r="B12" s="480" t="s">
        <v>547</v>
      </c>
      <c r="C12" s="748">
        <f t="shared" ref="C12:C15" si="1">D12+H12+L12+T12</f>
        <v>290906256.56574541</v>
      </c>
      <c r="D12" s="727">
        <v>286561439.69243991</v>
      </c>
      <c r="E12" s="727">
        <v>1976372.676442598</v>
      </c>
      <c r="F12" s="727">
        <v>0</v>
      </c>
      <c r="G12" s="727">
        <v>0</v>
      </c>
      <c r="H12" s="727">
        <v>4263608.9284205316</v>
      </c>
      <c r="I12" s="727">
        <v>12071.445266091199</v>
      </c>
      <c r="J12" s="727">
        <v>1261314.7600234398</v>
      </c>
      <c r="K12" s="727">
        <v>0</v>
      </c>
      <c r="L12" s="727">
        <v>81207.944884979297</v>
      </c>
      <c r="M12" s="727">
        <v>0</v>
      </c>
      <c r="N12" s="727">
        <v>0</v>
      </c>
      <c r="O12" s="727">
        <v>81207.944884979297</v>
      </c>
      <c r="P12" s="727"/>
      <c r="Q12" s="727"/>
      <c r="R12" s="727"/>
      <c r="S12" s="727"/>
      <c r="T12" s="727"/>
      <c r="U12" s="727"/>
      <c r="V12" s="727"/>
      <c r="W12" s="727"/>
      <c r="X12" s="727"/>
      <c r="Y12" s="727"/>
      <c r="Z12" s="727"/>
      <c r="AA12" s="747"/>
    </row>
    <row r="13" spans="1:27">
      <c r="A13" s="479" t="s">
        <v>548</v>
      </c>
      <c r="B13" s="480" t="s">
        <v>549</v>
      </c>
      <c r="C13" s="748">
        <f t="shared" si="1"/>
        <v>111309659.53150575</v>
      </c>
      <c r="D13" s="727">
        <v>109456455.88096307</v>
      </c>
      <c r="E13" s="727">
        <v>138527.720052416</v>
      </c>
      <c r="F13" s="727">
        <v>0</v>
      </c>
      <c r="G13" s="727">
        <v>0</v>
      </c>
      <c r="H13" s="727">
        <v>1767369.5454705989</v>
      </c>
      <c r="I13" s="727">
        <v>135064.58978507199</v>
      </c>
      <c r="J13" s="727">
        <v>318956.91992545291</v>
      </c>
      <c r="K13" s="727">
        <v>0</v>
      </c>
      <c r="L13" s="727">
        <v>85834.105072081802</v>
      </c>
      <c r="M13" s="727">
        <v>0</v>
      </c>
      <c r="N13" s="727">
        <v>0</v>
      </c>
      <c r="O13" s="727">
        <v>17926.759566957498</v>
      </c>
      <c r="P13" s="727"/>
      <c r="Q13" s="727"/>
      <c r="R13" s="727"/>
      <c r="S13" s="727"/>
      <c r="T13" s="727"/>
      <c r="U13" s="727"/>
      <c r="V13" s="727"/>
      <c r="W13" s="727"/>
      <c r="X13" s="727"/>
      <c r="Y13" s="727"/>
      <c r="Z13" s="727"/>
      <c r="AA13" s="747"/>
    </row>
    <row r="14" spans="1:27">
      <c r="A14" s="479" t="s">
        <v>550</v>
      </c>
      <c r="B14" s="480" t="s">
        <v>551</v>
      </c>
      <c r="C14" s="748">
        <f t="shared" si="1"/>
        <v>104494510.17061356</v>
      </c>
      <c r="D14" s="727">
        <v>97472765.468292311</v>
      </c>
      <c r="E14" s="727">
        <v>30958.075192311699</v>
      </c>
      <c r="F14" s="727">
        <v>0</v>
      </c>
      <c r="G14" s="727">
        <v>0</v>
      </c>
      <c r="H14" s="727">
        <v>6281839.6633585747</v>
      </c>
      <c r="I14" s="727">
        <v>39918.486716953899</v>
      </c>
      <c r="J14" s="727">
        <v>109821.2075861177</v>
      </c>
      <c r="K14" s="727">
        <v>109821.2075861177</v>
      </c>
      <c r="L14" s="727">
        <v>739905.03896268061</v>
      </c>
      <c r="M14" s="727">
        <v>0</v>
      </c>
      <c r="N14" s="727">
        <v>0</v>
      </c>
      <c r="O14" s="727">
        <v>710543.73502176022</v>
      </c>
      <c r="P14" s="727"/>
      <c r="Q14" s="727"/>
      <c r="R14" s="727"/>
      <c r="S14" s="727"/>
      <c r="T14" s="727"/>
      <c r="U14" s="727"/>
      <c r="V14" s="727"/>
      <c r="W14" s="727"/>
      <c r="X14" s="727"/>
      <c r="Y14" s="727"/>
      <c r="Z14" s="727"/>
      <c r="AA14" s="747"/>
    </row>
    <row r="15" spans="1:27">
      <c r="A15" s="478">
        <v>1.2</v>
      </c>
      <c r="B15" s="476" t="s">
        <v>863</v>
      </c>
      <c r="C15" s="748">
        <f t="shared" si="1"/>
        <v>12751510.976691812</v>
      </c>
      <c r="D15" s="727">
        <v>5157519.8846785715</v>
      </c>
      <c r="E15" s="727">
        <v>656197.10919343145</v>
      </c>
      <c r="F15" s="727">
        <v>0</v>
      </c>
      <c r="G15" s="727">
        <v>0</v>
      </c>
      <c r="H15" s="727">
        <v>3484193.2134520253</v>
      </c>
      <c r="I15" s="727">
        <v>105221.28506678295</v>
      </c>
      <c r="J15" s="727">
        <v>1388412.7827794857</v>
      </c>
      <c r="K15" s="727">
        <v>0</v>
      </c>
      <c r="L15" s="727">
        <v>4109797.878561215</v>
      </c>
      <c r="M15" s="727">
        <v>18562.37749819981</v>
      </c>
      <c r="N15" s="727">
        <v>165134.67584141085</v>
      </c>
      <c r="O15" s="727">
        <v>1715556.4534631241</v>
      </c>
      <c r="P15" s="727"/>
      <c r="Q15" s="727"/>
      <c r="R15" s="727"/>
      <c r="S15" s="727"/>
      <c r="T15" s="727"/>
      <c r="U15" s="727"/>
      <c r="V15" s="727"/>
      <c r="W15" s="727"/>
      <c r="X15" s="727"/>
      <c r="Y15" s="727"/>
      <c r="Z15" s="727"/>
      <c r="AA15" s="747"/>
    </row>
    <row r="16" spans="1:27">
      <c r="A16" s="477">
        <v>1.3</v>
      </c>
      <c r="B16" s="476" t="s">
        <v>552</v>
      </c>
      <c r="C16" s="750"/>
      <c r="D16" s="751"/>
      <c r="E16" s="751"/>
      <c r="F16" s="751"/>
      <c r="G16" s="751"/>
      <c r="H16" s="751"/>
      <c r="I16" s="751"/>
      <c r="J16" s="751"/>
      <c r="K16" s="751"/>
      <c r="L16" s="751"/>
      <c r="M16" s="751"/>
      <c r="N16" s="751"/>
      <c r="O16" s="751"/>
      <c r="P16" s="751"/>
      <c r="Q16" s="751"/>
      <c r="R16" s="751"/>
      <c r="S16" s="751"/>
      <c r="T16" s="751"/>
      <c r="U16" s="751"/>
      <c r="V16" s="751"/>
      <c r="W16" s="751"/>
      <c r="X16" s="751"/>
      <c r="Y16" s="751"/>
      <c r="Z16" s="751"/>
      <c r="AA16" s="752"/>
    </row>
    <row r="17" spans="1:27" ht="24">
      <c r="A17" s="473" t="s">
        <v>553</v>
      </c>
      <c r="B17" s="475" t="s">
        <v>554</v>
      </c>
      <c r="C17" s="746">
        <f>D17+H17+L17+T17</f>
        <v>1340267887.2353048</v>
      </c>
      <c r="D17" s="727">
        <v>1311302258.1635802</v>
      </c>
      <c r="E17" s="727">
        <v>5166412.0175708467</v>
      </c>
      <c r="F17" s="727">
        <v>0</v>
      </c>
      <c r="G17" s="727">
        <v>0</v>
      </c>
      <c r="H17" s="727">
        <v>22141692.868124679</v>
      </c>
      <c r="I17" s="727">
        <v>481279.0801803096</v>
      </c>
      <c r="J17" s="727">
        <v>4822779.524918017</v>
      </c>
      <c r="K17" s="727">
        <v>0</v>
      </c>
      <c r="L17" s="727">
        <v>6823936.203599968</v>
      </c>
      <c r="M17" s="727">
        <v>23012.706167324239</v>
      </c>
      <c r="N17" s="727">
        <v>258301.44877033372</v>
      </c>
      <c r="O17" s="727">
        <v>2473598.1888080132</v>
      </c>
      <c r="P17" s="727">
        <v>0</v>
      </c>
      <c r="Q17" s="727">
        <v>0</v>
      </c>
      <c r="R17" s="727">
        <v>0</v>
      </c>
      <c r="S17" s="727">
        <v>0</v>
      </c>
      <c r="T17" s="727">
        <v>0</v>
      </c>
      <c r="U17" s="727">
        <v>0</v>
      </c>
      <c r="V17" s="727"/>
      <c r="W17" s="727"/>
      <c r="X17" s="727"/>
      <c r="Y17" s="727"/>
      <c r="Z17" s="727"/>
      <c r="AA17" s="747"/>
    </row>
    <row r="18" spans="1:27" ht="24">
      <c r="A18" s="471" t="s">
        <v>555</v>
      </c>
      <c r="B18" s="472" t="s">
        <v>556</v>
      </c>
      <c r="C18" s="746">
        <f t="shared" ref="C18:C22" si="2">D18+H18+L18+T18</f>
        <v>1192538947.9541078</v>
      </c>
      <c r="D18" s="727">
        <v>1168696610.4499648</v>
      </c>
      <c r="E18" s="727">
        <v>4211494.8737788377</v>
      </c>
      <c r="F18" s="727">
        <v>0</v>
      </c>
      <c r="G18" s="727">
        <v>0</v>
      </c>
      <c r="H18" s="727">
        <v>18741868.197977424</v>
      </c>
      <c r="I18" s="727">
        <v>226264.57044162828</v>
      </c>
      <c r="J18" s="727">
        <v>3541750.1486013336</v>
      </c>
      <c r="K18" s="727">
        <v>0</v>
      </c>
      <c r="L18" s="727">
        <v>5100469.3061657343</v>
      </c>
      <c r="M18" s="727">
        <v>0</v>
      </c>
      <c r="N18" s="727">
        <v>79008.173421396306</v>
      </c>
      <c r="O18" s="727">
        <v>1060102.3072193051</v>
      </c>
      <c r="P18" s="727">
        <v>0</v>
      </c>
      <c r="Q18" s="727">
        <v>0</v>
      </c>
      <c r="R18" s="727">
        <v>0</v>
      </c>
      <c r="S18" s="727">
        <v>0</v>
      </c>
      <c r="T18" s="727">
        <v>0</v>
      </c>
      <c r="U18" s="727">
        <v>0</v>
      </c>
      <c r="V18" s="727"/>
      <c r="W18" s="727"/>
      <c r="X18" s="727"/>
      <c r="Y18" s="727"/>
      <c r="Z18" s="727"/>
      <c r="AA18" s="747"/>
    </row>
    <row r="19" spans="1:27">
      <c r="A19" s="473" t="s">
        <v>557</v>
      </c>
      <c r="B19" s="474" t="s">
        <v>558</v>
      </c>
      <c r="C19" s="746">
        <f t="shared" si="2"/>
        <v>1479001365.7083921</v>
      </c>
      <c r="D19" s="727">
        <v>1454243746.0601969</v>
      </c>
      <c r="E19" s="727">
        <v>5371151.564300172</v>
      </c>
      <c r="F19" s="727">
        <v>0</v>
      </c>
      <c r="G19" s="727">
        <v>0</v>
      </c>
      <c r="H19" s="727">
        <v>17386554.727638338</v>
      </c>
      <c r="I19" s="727">
        <v>457737.73354018515</v>
      </c>
      <c r="J19" s="727">
        <v>4270529.2813602649</v>
      </c>
      <c r="K19" s="727">
        <v>0</v>
      </c>
      <c r="L19" s="727">
        <v>7371064.9205569504</v>
      </c>
      <c r="M19" s="727">
        <v>16267.29383267577</v>
      </c>
      <c r="N19" s="727">
        <v>111287.69943347073</v>
      </c>
      <c r="O19" s="727">
        <v>1247967.6393694731</v>
      </c>
      <c r="P19" s="727">
        <v>0</v>
      </c>
      <c r="Q19" s="727">
        <v>0</v>
      </c>
      <c r="R19" s="727">
        <v>0</v>
      </c>
      <c r="S19" s="727">
        <v>0</v>
      </c>
      <c r="T19" s="727">
        <v>0</v>
      </c>
      <c r="U19" s="727">
        <v>0</v>
      </c>
      <c r="V19" s="727"/>
      <c r="W19" s="727"/>
      <c r="X19" s="727"/>
      <c r="Y19" s="727"/>
      <c r="Z19" s="727"/>
      <c r="AA19" s="747"/>
    </row>
    <row r="20" spans="1:27">
      <c r="A20" s="471" t="s">
        <v>559</v>
      </c>
      <c r="B20" s="472" t="s">
        <v>560</v>
      </c>
      <c r="C20" s="746">
        <f t="shared" si="2"/>
        <v>1313632862.8539858</v>
      </c>
      <c r="D20" s="727">
        <v>1292717036.3024089</v>
      </c>
      <c r="E20" s="727">
        <v>4621663.7080921801</v>
      </c>
      <c r="F20" s="727">
        <v>0</v>
      </c>
      <c r="G20" s="727">
        <v>0</v>
      </c>
      <c r="H20" s="727">
        <v>14167292.733585594</v>
      </c>
      <c r="I20" s="727">
        <v>94262.243278866255</v>
      </c>
      <c r="J20" s="727">
        <v>3035798.6576769501</v>
      </c>
      <c r="K20" s="727">
        <v>0</v>
      </c>
      <c r="L20" s="727">
        <v>6748533.8179911859</v>
      </c>
      <c r="M20" s="727">
        <v>0</v>
      </c>
      <c r="N20" s="727">
        <v>72660.974782408186</v>
      </c>
      <c r="O20" s="727">
        <v>805165.52095818124</v>
      </c>
      <c r="P20" s="727">
        <v>0</v>
      </c>
      <c r="Q20" s="727">
        <v>0</v>
      </c>
      <c r="R20" s="727">
        <v>0</v>
      </c>
      <c r="S20" s="727">
        <v>0</v>
      </c>
      <c r="T20" s="727">
        <v>0</v>
      </c>
      <c r="U20" s="727">
        <v>0</v>
      </c>
      <c r="V20" s="727"/>
      <c r="W20" s="727"/>
      <c r="X20" s="727"/>
      <c r="Y20" s="727"/>
      <c r="Z20" s="727"/>
      <c r="AA20" s="747"/>
    </row>
    <row r="21" spans="1:27">
      <c r="A21" s="470">
        <v>1.4</v>
      </c>
      <c r="B21" s="469" t="s">
        <v>649</v>
      </c>
      <c r="C21" s="746">
        <f t="shared" si="2"/>
        <v>36103.41468864966</v>
      </c>
      <c r="D21" s="727">
        <v>36103.41468864966</v>
      </c>
      <c r="E21" s="727">
        <v>0</v>
      </c>
      <c r="F21" s="727">
        <v>0</v>
      </c>
      <c r="G21" s="727">
        <v>0</v>
      </c>
      <c r="H21" s="727">
        <v>0</v>
      </c>
      <c r="I21" s="727">
        <v>0</v>
      </c>
      <c r="J21" s="727">
        <v>0</v>
      </c>
      <c r="K21" s="727">
        <v>0</v>
      </c>
      <c r="L21" s="727">
        <v>0</v>
      </c>
      <c r="M21" s="727">
        <v>0</v>
      </c>
      <c r="N21" s="727">
        <v>0</v>
      </c>
      <c r="O21" s="727">
        <v>0</v>
      </c>
      <c r="P21" s="727">
        <v>0</v>
      </c>
      <c r="Q21" s="727">
        <v>0</v>
      </c>
      <c r="R21" s="727">
        <v>0</v>
      </c>
      <c r="S21" s="727">
        <v>0</v>
      </c>
      <c r="T21" s="727">
        <v>0</v>
      </c>
      <c r="U21" s="727">
        <v>0</v>
      </c>
      <c r="V21" s="727"/>
      <c r="W21" s="727"/>
      <c r="X21" s="727"/>
      <c r="Y21" s="727"/>
      <c r="Z21" s="727"/>
      <c r="AA21" s="747"/>
    </row>
    <row r="22" spans="1:27" ht="12.6" thickBot="1">
      <c r="A22" s="468">
        <v>1.5</v>
      </c>
      <c r="B22" s="467" t="s">
        <v>650</v>
      </c>
      <c r="C22" s="746">
        <f t="shared" si="2"/>
        <v>0</v>
      </c>
      <c r="D22" s="753"/>
      <c r="E22" s="753"/>
      <c r="F22" s="753"/>
      <c r="G22" s="753"/>
      <c r="H22" s="753"/>
      <c r="I22" s="753"/>
      <c r="J22" s="753"/>
      <c r="K22" s="753"/>
      <c r="L22" s="753"/>
      <c r="M22" s="753"/>
      <c r="N22" s="753"/>
      <c r="O22" s="753"/>
      <c r="P22" s="753"/>
      <c r="Q22" s="753"/>
      <c r="R22" s="753"/>
      <c r="S22" s="753"/>
      <c r="T22" s="753"/>
      <c r="U22" s="753"/>
      <c r="V22" s="753"/>
      <c r="W22" s="753"/>
      <c r="X22" s="753"/>
      <c r="Y22" s="753"/>
      <c r="Z22" s="753"/>
      <c r="AA22" s="754"/>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72"/>
  <sheetViews>
    <sheetView topLeftCell="A20" zoomScale="90" zoomScaleNormal="90" workbookViewId="0">
      <selection activeCell="C27" sqref="C27"/>
    </sheetView>
  </sheetViews>
  <sheetFormatPr defaultRowHeight="14.4"/>
  <cols>
    <col min="1" max="1" width="8.77734375" style="392"/>
    <col min="2" max="2" width="69.21875" style="366" customWidth="1"/>
    <col min="3" max="3" width="17.88671875" bestFit="1" customWidth="1"/>
    <col min="4" max="5" width="15" bestFit="1" customWidth="1"/>
    <col min="6" max="6" width="16.6640625" bestFit="1" customWidth="1"/>
    <col min="7" max="7" width="13.21875" customWidth="1"/>
    <col min="8" max="8" width="15" bestFit="1" customWidth="1"/>
  </cols>
  <sheetData>
    <row r="1" spans="1:8">
      <c r="A1" s="13" t="s">
        <v>97</v>
      </c>
      <c r="B1" s="247" t="str">
        <f>Info!C2</f>
        <v>სს "კრედო ბანკი"</v>
      </c>
      <c r="C1" s="12"/>
      <c r="D1" s="1"/>
      <c r="E1" s="1"/>
      <c r="F1" s="1"/>
      <c r="G1" s="1"/>
    </row>
    <row r="2" spans="1:8">
      <c r="A2" s="13" t="s">
        <v>98</v>
      </c>
      <c r="B2" s="275">
        <f>'1. key ratios'!B2</f>
        <v>46112</v>
      </c>
      <c r="C2" s="12"/>
      <c r="D2" s="1"/>
      <c r="E2" s="1"/>
      <c r="F2" s="1"/>
      <c r="G2" s="1"/>
    </row>
    <row r="3" spans="1:8">
      <c r="A3" s="13"/>
      <c r="B3" s="12"/>
      <c r="C3" s="12"/>
      <c r="D3" s="1"/>
      <c r="E3" s="1"/>
      <c r="F3" s="1"/>
      <c r="G3" s="1"/>
    </row>
    <row r="4" spans="1:8" ht="21" customHeight="1">
      <c r="A4" s="784" t="s">
        <v>25</v>
      </c>
      <c r="B4" s="785" t="s">
        <v>697</v>
      </c>
      <c r="C4" s="787" t="s">
        <v>103</v>
      </c>
      <c r="D4" s="787"/>
      <c r="E4" s="787"/>
      <c r="F4" s="787" t="s">
        <v>104</v>
      </c>
      <c r="G4" s="787"/>
      <c r="H4" s="788"/>
    </row>
    <row r="5" spans="1:8" ht="21" customHeight="1">
      <c r="A5" s="784"/>
      <c r="B5" s="786"/>
      <c r="C5" s="338" t="s">
        <v>26</v>
      </c>
      <c r="D5" s="338" t="s">
        <v>77</v>
      </c>
      <c r="E5" s="338" t="s">
        <v>66</v>
      </c>
      <c r="F5" s="338" t="s">
        <v>26</v>
      </c>
      <c r="G5" s="338" t="s">
        <v>77</v>
      </c>
      <c r="H5" s="338" t="s">
        <v>66</v>
      </c>
    </row>
    <row r="6" spans="1:8" ht="26.55" customHeight="1">
      <c r="A6" s="784"/>
      <c r="B6" s="339" t="s">
        <v>84</v>
      </c>
      <c r="C6" s="778"/>
      <c r="D6" s="779"/>
      <c r="E6" s="779"/>
      <c r="F6" s="779"/>
      <c r="G6" s="779"/>
      <c r="H6" s="780"/>
    </row>
    <row r="7" spans="1:8" ht="22.95" customHeight="1">
      <c r="A7" s="381">
        <v>1</v>
      </c>
      <c r="B7" s="340" t="s">
        <v>811</v>
      </c>
      <c r="C7" s="658">
        <f>SUM(C8:C10)</f>
        <v>225270120.6855005</v>
      </c>
      <c r="D7" s="658">
        <f>SUM(D8:D10)</f>
        <v>299216427.40928519</v>
      </c>
      <c r="E7" s="659">
        <f>C7+D7</f>
        <v>524486548.09478569</v>
      </c>
      <c r="F7" s="658">
        <f>SUM(F8:F10)</f>
        <v>233153725.53999999</v>
      </c>
      <c r="G7" s="658">
        <f>SUM(G8:G10)</f>
        <v>173331534.82913715</v>
      </c>
      <c r="H7" s="659">
        <f>F7+G7</f>
        <v>406485260.36913717</v>
      </c>
    </row>
    <row r="8" spans="1:8">
      <c r="A8" s="381">
        <v>1.1000000000000001</v>
      </c>
      <c r="B8" s="342" t="s">
        <v>85</v>
      </c>
      <c r="C8" s="662">
        <v>58980267.100000001</v>
      </c>
      <c r="D8" s="662">
        <v>38681799.470000006</v>
      </c>
      <c r="E8" s="659">
        <f t="shared" ref="E8:E36" si="0">C8+D8</f>
        <v>97662066.570000008</v>
      </c>
      <c r="F8" s="656">
        <v>57561452.049999997</v>
      </c>
      <c r="G8" s="656">
        <v>45013543.820000008</v>
      </c>
      <c r="H8" s="659">
        <f t="shared" ref="H8:H36" si="1">F8+G8</f>
        <v>102574995.87</v>
      </c>
    </row>
    <row r="9" spans="1:8">
      <c r="A9" s="381">
        <v>1.2</v>
      </c>
      <c r="B9" s="342" t="s">
        <v>86</v>
      </c>
      <c r="C9" s="662">
        <v>159828518.27550051</v>
      </c>
      <c r="D9" s="662">
        <v>69700736.979999989</v>
      </c>
      <c r="E9" s="659">
        <f t="shared" si="0"/>
        <v>229529255.2555005</v>
      </c>
      <c r="F9" s="656">
        <v>173376962.94999999</v>
      </c>
      <c r="G9" s="656">
        <v>60396695.620000005</v>
      </c>
      <c r="H9" s="659">
        <f t="shared" si="1"/>
        <v>233773658.56999999</v>
      </c>
    </row>
    <row r="10" spans="1:8">
      <c r="A10" s="381">
        <v>1.3</v>
      </c>
      <c r="B10" s="342" t="s">
        <v>87</v>
      </c>
      <c r="C10" s="662">
        <v>6461335.3099999996</v>
      </c>
      <c r="D10" s="662">
        <v>190833890.95928523</v>
      </c>
      <c r="E10" s="659">
        <f t="shared" si="0"/>
        <v>197295226.26928523</v>
      </c>
      <c r="F10" s="656">
        <v>2215310.5399999996</v>
      </c>
      <c r="G10" s="656">
        <v>67921295.389137119</v>
      </c>
      <c r="H10" s="659">
        <f t="shared" si="1"/>
        <v>70136605.929137126</v>
      </c>
    </row>
    <row r="11" spans="1:8">
      <c r="A11" s="381">
        <v>2</v>
      </c>
      <c r="B11" s="343" t="s">
        <v>698</v>
      </c>
      <c r="C11" s="662">
        <v>2531454.27</v>
      </c>
      <c r="D11" s="662"/>
      <c r="E11" s="659">
        <f t="shared" si="0"/>
        <v>2531454.27</v>
      </c>
      <c r="F11" s="656">
        <v>394724.62</v>
      </c>
      <c r="G11" s="587"/>
      <c r="H11" s="659">
        <f t="shared" si="1"/>
        <v>394724.62</v>
      </c>
    </row>
    <row r="12" spans="1:8">
      <c r="A12" s="381">
        <v>2.1</v>
      </c>
      <c r="B12" s="344" t="s">
        <v>699</v>
      </c>
      <c r="C12" s="662">
        <v>2531454.27</v>
      </c>
      <c r="D12" s="662"/>
      <c r="E12" s="659">
        <f t="shared" si="0"/>
        <v>2531454.27</v>
      </c>
      <c r="F12" s="656">
        <v>394724.62</v>
      </c>
      <c r="G12" s="587"/>
      <c r="H12" s="659">
        <f t="shared" si="1"/>
        <v>394724.62</v>
      </c>
    </row>
    <row r="13" spans="1:8" ht="26.55" customHeight="1">
      <c r="A13" s="381">
        <v>3</v>
      </c>
      <c r="B13" s="345" t="s">
        <v>700</v>
      </c>
      <c r="C13" s="662"/>
      <c r="D13" s="662"/>
      <c r="E13" s="659">
        <f t="shared" si="0"/>
        <v>0</v>
      </c>
      <c r="F13" s="341"/>
      <c r="G13" s="341"/>
      <c r="H13" s="659">
        <f t="shared" si="1"/>
        <v>0</v>
      </c>
    </row>
    <row r="14" spans="1:8" ht="26.55" customHeight="1">
      <c r="A14" s="381">
        <v>4</v>
      </c>
      <c r="B14" s="346" t="s">
        <v>701</v>
      </c>
      <c r="C14" s="662"/>
      <c r="D14" s="662"/>
      <c r="E14" s="659">
        <f t="shared" si="0"/>
        <v>0</v>
      </c>
      <c r="F14" s="341"/>
      <c r="G14" s="341"/>
      <c r="H14" s="659">
        <f t="shared" si="1"/>
        <v>0</v>
      </c>
    </row>
    <row r="15" spans="1:8" ht="24.45" customHeight="1">
      <c r="A15" s="381">
        <v>5</v>
      </c>
      <c r="B15" s="346" t="s">
        <v>702</v>
      </c>
      <c r="C15" s="666">
        <f>SUM(C16:C18)</f>
        <v>0</v>
      </c>
      <c r="D15" s="666">
        <f>SUM(D16:D18)</f>
        <v>0</v>
      </c>
      <c r="E15" s="660">
        <f t="shared" si="0"/>
        <v>0</v>
      </c>
      <c r="F15" s="666">
        <f>SUM(F16:F18)</f>
        <v>0</v>
      </c>
      <c r="G15" s="666">
        <f>SUM(G16:G18)</f>
        <v>0</v>
      </c>
      <c r="H15" s="660">
        <f t="shared" si="1"/>
        <v>0</v>
      </c>
    </row>
    <row r="16" spans="1:8">
      <c r="A16" s="381">
        <v>5.0999999999999996</v>
      </c>
      <c r="B16" s="347" t="s">
        <v>703</v>
      </c>
      <c r="C16" s="662"/>
      <c r="D16" s="662"/>
      <c r="E16" s="659">
        <f t="shared" si="0"/>
        <v>0</v>
      </c>
      <c r="F16" s="341"/>
      <c r="G16" s="341"/>
      <c r="H16" s="659">
        <f t="shared" si="1"/>
        <v>0</v>
      </c>
    </row>
    <row r="17" spans="1:8">
      <c r="A17" s="381">
        <v>5.2</v>
      </c>
      <c r="B17" s="347" t="s">
        <v>538</v>
      </c>
      <c r="C17" s="662"/>
      <c r="D17" s="662"/>
      <c r="E17" s="659">
        <f t="shared" si="0"/>
        <v>0</v>
      </c>
      <c r="F17" s="341"/>
      <c r="G17" s="341"/>
      <c r="H17" s="659">
        <f t="shared" si="1"/>
        <v>0</v>
      </c>
    </row>
    <row r="18" spans="1:8">
      <c r="A18" s="381">
        <v>5.3</v>
      </c>
      <c r="B18" s="347" t="s">
        <v>704</v>
      </c>
      <c r="C18" s="662"/>
      <c r="D18" s="662"/>
      <c r="E18" s="659">
        <f t="shared" si="0"/>
        <v>0</v>
      </c>
      <c r="F18" s="341"/>
      <c r="G18" s="341"/>
      <c r="H18" s="659">
        <f t="shared" si="1"/>
        <v>0</v>
      </c>
    </row>
    <row r="19" spans="1:8">
      <c r="A19" s="381">
        <v>6</v>
      </c>
      <c r="B19" s="345" t="s">
        <v>705</v>
      </c>
      <c r="C19" s="658">
        <f>SUM(C20:C21)</f>
        <v>2887966754.8063965</v>
      </c>
      <c r="D19" s="658">
        <f>SUM(D20:D21)</f>
        <v>337295760.97564554</v>
      </c>
      <c r="E19" s="659">
        <f t="shared" si="0"/>
        <v>3225262515.782042</v>
      </c>
      <c r="F19" s="658">
        <f>SUM(F20:F21)</f>
        <v>2382195226.906363</v>
      </c>
      <c r="G19" s="658">
        <f>SUM(G20:G21)</f>
        <v>263642399.39111948</v>
      </c>
      <c r="H19" s="659">
        <f t="shared" si="1"/>
        <v>2645837626.2974825</v>
      </c>
    </row>
    <row r="20" spans="1:8">
      <c r="A20" s="381">
        <v>6.1</v>
      </c>
      <c r="B20" s="347" t="s">
        <v>538</v>
      </c>
      <c r="C20" s="662">
        <v>53383000.169999994</v>
      </c>
      <c r="D20" s="662"/>
      <c r="E20" s="659">
        <f t="shared" si="0"/>
        <v>53383000.169999994</v>
      </c>
      <c r="F20" s="656">
        <v>71826196.570000008</v>
      </c>
      <c r="G20" s="656"/>
      <c r="H20" s="659">
        <f t="shared" si="1"/>
        <v>71826196.570000008</v>
      </c>
    </row>
    <row r="21" spans="1:8">
      <c r="A21" s="381">
        <v>6.2</v>
      </c>
      <c r="B21" s="347" t="s">
        <v>704</v>
      </c>
      <c r="C21" s="662">
        <v>2834583754.6363964</v>
      </c>
      <c r="D21" s="662">
        <v>337295760.97564554</v>
      </c>
      <c r="E21" s="659">
        <f t="shared" si="0"/>
        <v>3171879515.612042</v>
      </c>
      <c r="F21" s="656">
        <v>2310369030.3363628</v>
      </c>
      <c r="G21" s="656">
        <v>263642399.39111948</v>
      </c>
      <c r="H21" s="659">
        <f t="shared" si="1"/>
        <v>2574011429.7274823</v>
      </c>
    </row>
    <row r="22" spans="1:8">
      <c r="A22" s="381">
        <v>7</v>
      </c>
      <c r="B22" s="348" t="s">
        <v>706</v>
      </c>
      <c r="C22" s="662">
        <v>3589432.99</v>
      </c>
      <c r="D22" s="662"/>
      <c r="E22" s="659">
        <f t="shared" si="0"/>
        <v>3589432.99</v>
      </c>
      <c r="F22" s="656">
        <v>2328266.9</v>
      </c>
      <c r="G22" s="656"/>
      <c r="H22" s="659">
        <f t="shared" si="1"/>
        <v>2328266.9</v>
      </c>
    </row>
    <row r="23" spans="1:8">
      <c r="A23" s="381">
        <v>8</v>
      </c>
      <c r="B23" s="349" t="s">
        <v>707</v>
      </c>
      <c r="C23" s="662"/>
      <c r="D23" s="662"/>
      <c r="E23" s="659">
        <f t="shared" si="0"/>
        <v>0</v>
      </c>
      <c r="F23" s="341"/>
      <c r="G23" s="341"/>
      <c r="H23" s="659">
        <f t="shared" si="1"/>
        <v>0</v>
      </c>
    </row>
    <row r="24" spans="1:8">
      <c r="A24" s="381">
        <v>9</v>
      </c>
      <c r="B24" s="346" t="s">
        <v>708</v>
      </c>
      <c r="C24" s="657">
        <f>SUM(C25:C26)</f>
        <v>54883322.370000057</v>
      </c>
      <c r="D24" s="657">
        <f>SUM(D25:D26)</f>
        <v>0</v>
      </c>
      <c r="E24" s="659">
        <f t="shared" si="0"/>
        <v>54883322.370000057</v>
      </c>
      <c r="F24" s="658">
        <f>SUM(F25:F26)</f>
        <v>50195587.62999998</v>
      </c>
      <c r="G24" s="658">
        <f>SUM(G25:G26)</f>
        <v>0</v>
      </c>
      <c r="H24" s="659">
        <f t="shared" si="1"/>
        <v>50195587.62999998</v>
      </c>
    </row>
    <row r="25" spans="1:8">
      <c r="A25" s="381">
        <v>9.1</v>
      </c>
      <c r="B25" s="350" t="s">
        <v>709</v>
      </c>
      <c r="C25" s="662">
        <v>54883322.370000057</v>
      </c>
      <c r="D25" s="662"/>
      <c r="E25" s="659">
        <f t="shared" si="0"/>
        <v>54883322.370000057</v>
      </c>
      <c r="F25" s="656">
        <v>50195587.62999998</v>
      </c>
      <c r="G25" s="341"/>
      <c r="H25" s="659">
        <f t="shared" si="1"/>
        <v>50195587.62999998</v>
      </c>
    </row>
    <row r="26" spans="1:8">
      <c r="A26" s="381">
        <v>9.1999999999999993</v>
      </c>
      <c r="B26" s="350" t="s">
        <v>710</v>
      </c>
      <c r="C26" s="662"/>
      <c r="D26" s="662"/>
      <c r="E26" s="659">
        <f t="shared" si="0"/>
        <v>0</v>
      </c>
      <c r="F26" s="341"/>
      <c r="G26" s="341"/>
      <c r="H26" s="659">
        <f t="shared" si="1"/>
        <v>0</v>
      </c>
    </row>
    <row r="27" spans="1:8">
      <c r="A27" s="381">
        <v>10</v>
      </c>
      <c r="B27" s="346" t="s">
        <v>36</v>
      </c>
      <c r="C27" s="658">
        <f>SUM(C28:C29)</f>
        <v>42420371.899999999</v>
      </c>
      <c r="D27" s="658">
        <f>SUM(D28:D29)</f>
        <v>0</v>
      </c>
      <c r="E27" s="659">
        <f t="shared" si="0"/>
        <v>42420371.899999999</v>
      </c>
      <c r="F27" s="658">
        <f>SUM(F28:F29)</f>
        <v>31598291.749999996</v>
      </c>
      <c r="G27" s="658">
        <f>SUM(G28:G29)</f>
        <v>0</v>
      </c>
      <c r="H27" s="659">
        <f t="shared" si="1"/>
        <v>31598291.749999996</v>
      </c>
    </row>
    <row r="28" spans="1:8">
      <c r="A28" s="381">
        <v>10.1</v>
      </c>
      <c r="B28" s="350" t="s">
        <v>711</v>
      </c>
      <c r="C28" s="662"/>
      <c r="D28" s="662"/>
      <c r="E28" s="659">
        <f t="shared" si="0"/>
        <v>0</v>
      </c>
      <c r="F28" s="341"/>
      <c r="G28" s="341"/>
      <c r="H28" s="659">
        <f t="shared" si="1"/>
        <v>0</v>
      </c>
    </row>
    <row r="29" spans="1:8">
      <c r="A29" s="381">
        <v>10.199999999999999</v>
      </c>
      <c r="B29" s="350" t="s">
        <v>712</v>
      </c>
      <c r="C29" s="662">
        <v>42420371.899999999</v>
      </c>
      <c r="D29" s="662"/>
      <c r="E29" s="659">
        <f t="shared" si="0"/>
        <v>42420371.899999999</v>
      </c>
      <c r="F29" s="662">
        <v>31598291.749999996</v>
      </c>
      <c r="G29" s="341"/>
      <c r="H29" s="659">
        <f t="shared" si="1"/>
        <v>31598291.749999996</v>
      </c>
    </row>
    <row r="30" spans="1:8">
      <c r="A30" s="381">
        <v>11</v>
      </c>
      <c r="B30" s="346" t="s">
        <v>713</v>
      </c>
      <c r="C30" s="658">
        <f>SUM(C31:C32)</f>
        <v>0</v>
      </c>
      <c r="D30" s="658">
        <f>SUM(D31:D32)</f>
        <v>0</v>
      </c>
      <c r="E30" s="659">
        <f t="shared" si="0"/>
        <v>0</v>
      </c>
      <c r="F30" s="662">
        <f>SUM(F31:F32)</f>
        <v>0</v>
      </c>
      <c r="G30" s="662">
        <f>SUM(G31:G32)</f>
        <v>0</v>
      </c>
      <c r="H30" s="659">
        <f t="shared" si="1"/>
        <v>0</v>
      </c>
    </row>
    <row r="31" spans="1:8">
      <c r="A31" s="381">
        <v>11.1</v>
      </c>
      <c r="B31" s="350" t="s">
        <v>714</v>
      </c>
      <c r="C31" s="662"/>
      <c r="D31" s="662"/>
      <c r="E31" s="659">
        <f t="shared" si="0"/>
        <v>0</v>
      </c>
      <c r="F31" s="341"/>
      <c r="G31" s="341"/>
      <c r="H31" s="659">
        <f t="shared" si="1"/>
        <v>0</v>
      </c>
    </row>
    <row r="32" spans="1:8">
      <c r="A32" s="381">
        <v>11.2</v>
      </c>
      <c r="B32" s="350" t="s">
        <v>715</v>
      </c>
      <c r="C32" s="662"/>
      <c r="D32" s="662"/>
      <c r="E32" s="659">
        <f t="shared" si="0"/>
        <v>0</v>
      </c>
      <c r="F32" s="341"/>
      <c r="G32" s="341"/>
      <c r="H32" s="659">
        <f t="shared" si="1"/>
        <v>0</v>
      </c>
    </row>
    <row r="33" spans="1:8">
      <c r="A33" s="381">
        <v>13</v>
      </c>
      <c r="B33" s="346" t="s">
        <v>88</v>
      </c>
      <c r="C33" s="658">
        <v>55896929.770000018</v>
      </c>
      <c r="D33" s="658">
        <v>3846203.7899999991</v>
      </c>
      <c r="E33" s="659">
        <f t="shared" si="0"/>
        <v>59743133.560000017</v>
      </c>
      <c r="F33" s="658">
        <v>48084987.600000016</v>
      </c>
      <c r="G33" s="658">
        <v>4986498.0899999961</v>
      </c>
      <c r="H33" s="659">
        <f t="shared" si="1"/>
        <v>53071485.690000013</v>
      </c>
    </row>
    <row r="34" spans="1:8">
      <c r="A34" s="381">
        <v>13.1</v>
      </c>
      <c r="B34" s="351" t="s">
        <v>716</v>
      </c>
      <c r="C34" s="662">
        <v>34805793.789999999</v>
      </c>
      <c r="D34" s="662"/>
      <c r="E34" s="659">
        <f t="shared" si="0"/>
        <v>34805793.789999999</v>
      </c>
      <c r="F34" s="662">
        <v>22355548</v>
      </c>
      <c r="G34" s="662"/>
      <c r="H34" s="659">
        <f t="shared" si="1"/>
        <v>22355548</v>
      </c>
    </row>
    <row r="35" spans="1:8">
      <c r="A35" s="381">
        <v>13.2</v>
      </c>
      <c r="B35" s="351" t="s">
        <v>717</v>
      </c>
      <c r="C35" s="662"/>
      <c r="D35" s="662"/>
      <c r="E35" s="659">
        <f t="shared" si="0"/>
        <v>0</v>
      </c>
      <c r="F35" s="341"/>
      <c r="G35" s="341"/>
      <c r="H35" s="659">
        <f t="shared" si="1"/>
        <v>0</v>
      </c>
    </row>
    <row r="36" spans="1:8">
      <c r="A36" s="381">
        <v>14</v>
      </c>
      <c r="B36" s="352" t="s">
        <v>718</v>
      </c>
      <c r="C36" s="658">
        <f>SUM(C7,C11,C13,C14,C15,C19,C22,C23,C24,C27,C30,C33)</f>
        <v>3272558386.7918968</v>
      </c>
      <c r="D36" s="658">
        <f>SUM(D7,D11,D13,D14,D15,D19,D22,D23,D24,D27,D30,D33)</f>
        <v>640358392.17493069</v>
      </c>
      <c r="E36" s="659">
        <f t="shared" si="0"/>
        <v>3912916778.9668274</v>
      </c>
      <c r="F36" s="658">
        <f>SUM(F7,F11,F13,F14,F15,F19,F22,F23,F24,F27,F30,F33)</f>
        <v>2747950810.946363</v>
      </c>
      <c r="G36" s="658">
        <f>SUM(G7,G11,G13,G14,G15,G19,G22,G23,G24,G27,G30,G33)</f>
        <v>441960432.3102566</v>
      </c>
      <c r="H36" s="659">
        <f t="shared" si="1"/>
        <v>3189911243.2566195</v>
      </c>
    </row>
    <row r="37" spans="1:8" ht="22.5" customHeight="1">
      <c r="A37" s="381"/>
      <c r="B37" s="353" t="s">
        <v>93</v>
      </c>
      <c r="C37" s="778"/>
      <c r="D37" s="779"/>
      <c r="E37" s="779"/>
      <c r="F37" s="779"/>
      <c r="G37" s="779"/>
      <c r="H37" s="780"/>
    </row>
    <row r="38" spans="1:8">
      <c r="A38" s="381">
        <v>15</v>
      </c>
      <c r="B38" s="354" t="s">
        <v>719</v>
      </c>
      <c r="C38" s="663">
        <v>8813229.4299999997</v>
      </c>
      <c r="D38" s="355"/>
      <c r="E38" s="661">
        <f>C38+D38</f>
        <v>8813229.4299999997</v>
      </c>
      <c r="F38" s="663">
        <v>5139643.17</v>
      </c>
      <c r="G38" s="355"/>
      <c r="H38" s="661">
        <f>F38+G38</f>
        <v>5139643.17</v>
      </c>
    </row>
    <row r="39" spans="1:8">
      <c r="A39" s="381">
        <v>15.1</v>
      </c>
      <c r="B39" s="356" t="s">
        <v>699</v>
      </c>
      <c r="C39" s="663">
        <v>8813229.4299999997</v>
      </c>
      <c r="D39" s="355"/>
      <c r="E39" s="661">
        <f t="shared" ref="E39:E53" si="2">C39+D39</f>
        <v>8813229.4299999997</v>
      </c>
      <c r="F39" s="663">
        <v>5139643.17</v>
      </c>
      <c r="G39" s="355"/>
      <c r="H39" s="661">
        <f t="shared" ref="H39:H53" si="3">F39+G39</f>
        <v>5139643.17</v>
      </c>
    </row>
    <row r="40" spans="1:8" ht="24" customHeight="1">
      <c r="A40" s="381">
        <v>16</v>
      </c>
      <c r="B40" s="348" t="s">
        <v>720</v>
      </c>
      <c r="C40" s="355"/>
      <c r="D40" s="355"/>
      <c r="E40" s="661">
        <f t="shared" si="2"/>
        <v>0</v>
      </c>
      <c r="F40" s="355"/>
      <c r="G40" s="355"/>
      <c r="H40" s="661">
        <f t="shared" si="3"/>
        <v>0</v>
      </c>
    </row>
    <row r="41" spans="1:8">
      <c r="A41" s="381">
        <v>17</v>
      </c>
      <c r="B41" s="348" t="s">
        <v>721</v>
      </c>
      <c r="C41" s="665">
        <f>SUM(C42:C45)</f>
        <v>2293718912.4900002</v>
      </c>
      <c r="D41" s="665">
        <f>SUM(D42:D45)</f>
        <v>823313621.26999986</v>
      </c>
      <c r="E41" s="661">
        <f t="shared" si="2"/>
        <v>3117032533.7600002</v>
      </c>
      <c r="F41" s="664">
        <f>SUM(F42:F45)</f>
        <v>1881331533.9900045</v>
      </c>
      <c r="G41" s="664">
        <f>SUM(G42:G45)</f>
        <v>690601770.19489908</v>
      </c>
      <c r="H41" s="661">
        <f t="shared" si="3"/>
        <v>2571933304.1849036</v>
      </c>
    </row>
    <row r="42" spans="1:8">
      <c r="A42" s="381">
        <v>17.100000000000001</v>
      </c>
      <c r="B42" s="357" t="s">
        <v>722</v>
      </c>
      <c r="C42" s="663">
        <v>1329823740</v>
      </c>
      <c r="D42" s="663">
        <v>523452795</v>
      </c>
      <c r="E42" s="661">
        <f t="shared" si="2"/>
        <v>1853276535</v>
      </c>
      <c r="F42" s="656">
        <v>879254444.99000442</v>
      </c>
      <c r="G42" s="656">
        <v>403246009.56489903</v>
      </c>
      <c r="H42" s="661">
        <f t="shared" si="3"/>
        <v>1282500454.5549035</v>
      </c>
    </row>
    <row r="43" spans="1:8">
      <c r="A43" s="381">
        <v>17.2</v>
      </c>
      <c r="B43" s="358" t="s">
        <v>89</v>
      </c>
      <c r="C43" s="663">
        <v>942549322.85000014</v>
      </c>
      <c r="D43" s="663">
        <v>296809177.38999987</v>
      </c>
      <c r="E43" s="661">
        <f t="shared" si="2"/>
        <v>1239358500.24</v>
      </c>
      <c r="F43" s="656">
        <v>985077545.17000008</v>
      </c>
      <c r="G43" s="656">
        <v>281912587.54000002</v>
      </c>
      <c r="H43" s="661">
        <f t="shared" si="3"/>
        <v>1266990132.71</v>
      </c>
    </row>
    <row r="44" spans="1:8">
      <c r="A44" s="381">
        <v>17.3</v>
      </c>
      <c r="B44" s="357" t="s">
        <v>723</v>
      </c>
      <c r="C44" s="663"/>
      <c r="D44" s="663"/>
      <c r="E44" s="661">
        <f t="shared" si="2"/>
        <v>0</v>
      </c>
      <c r="F44" s="656"/>
      <c r="G44" s="656"/>
      <c r="H44" s="661">
        <f t="shared" si="3"/>
        <v>0</v>
      </c>
    </row>
    <row r="45" spans="1:8">
      <c r="A45" s="381">
        <v>17.399999999999999</v>
      </c>
      <c r="B45" s="357" t="s">
        <v>724</v>
      </c>
      <c r="C45" s="663">
        <v>21345849.640000001</v>
      </c>
      <c r="D45" s="663">
        <v>3051648.88</v>
      </c>
      <c r="E45" s="661">
        <f t="shared" si="2"/>
        <v>24397498.52</v>
      </c>
      <c r="F45" s="656">
        <v>16999543.829999998</v>
      </c>
      <c r="G45" s="656">
        <v>5443173.0899999999</v>
      </c>
      <c r="H45" s="661">
        <f t="shared" si="3"/>
        <v>22442716.919999998</v>
      </c>
    </row>
    <row r="46" spans="1:8">
      <c r="A46" s="381">
        <v>18</v>
      </c>
      <c r="B46" s="346" t="s">
        <v>725</v>
      </c>
      <c r="C46" s="663">
        <v>2213912.61</v>
      </c>
      <c r="D46" s="663"/>
      <c r="E46" s="661">
        <f t="shared" si="2"/>
        <v>2213912.61</v>
      </c>
      <c r="F46" s="663">
        <v>1439434.75</v>
      </c>
      <c r="G46" s="355"/>
      <c r="H46" s="661">
        <f t="shared" si="3"/>
        <v>1439434.75</v>
      </c>
    </row>
    <row r="47" spans="1:8">
      <c r="A47" s="381">
        <v>19</v>
      </c>
      <c r="B47" s="346" t="s">
        <v>726</v>
      </c>
      <c r="C47" s="665">
        <f>SUM(C48:C49)</f>
        <v>9069864.3300000019</v>
      </c>
      <c r="D47" s="665">
        <f>SUM(D48:D49)</f>
        <v>0</v>
      </c>
      <c r="E47" s="661">
        <f t="shared" si="2"/>
        <v>9069864.3300000019</v>
      </c>
      <c r="F47" s="664">
        <f>SUM(F48:F49)</f>
        <v>8286211.3900000006</v>
      </c>
      <c r="G47" s="355">
        <f>SUM(G48:G49)</f>
        <v>0</v>
      </c>
      <c r="H47" s="661">
        <f t="shared" si="3"/>
        <v>8286211.3900000006</v>
      </c>
    </row>
    <row r="48" spans="1:8">
      <c r="A48" s="381">
        <v>19.100000000000001</v>
      </c>
      <c r="B48" s="359" t="s">
        <v>727</v>
      </c>
      <c r="C48" s="663">
        <v>2207732.6600000025</v>
      </c>
      <c r="D48" s="663"/>
      <c r="E48" s="661">
        <f t="shared" si="2"/>
        <v>2207732.6600000025</v>
      </c>
      <c r="F48" s="656">
        <v>2720393.1800000011</v>
      </c>
      <c r="G48" s="355"/>
      <c r="H48" s="661">
        <f t="shared" si="3"/>
        <v>2720393.1800000011</v>
      </c>
    </row>
    <row r="49" spans="1:8">
      <c r="A49" s="381">
        <v>19.2</v>
      </c>
      <c r="B49" s="360" t="s">
        <v>728</v>
      </c>
      <c r="C49" s="663">
        <v>6862131.6699999999</v>
      </c>
      <c r="D49" s="663"/>
      <c r="E49" s="661">
        <f t="shared" si="2"/>
        <v>6862131.6699999999</v>
      </c>
      <c r="F49" s="656">
        <v>5565818.21</v>
      </c>
      <c r="G49" s="355"/>
      <c r="H49" s="661">
        <f t="shared" si="3"/>
        <v>5565818.21</v>
      </c>
    </row>
    <row r="50" spans="1:8">
      <c r="A50" s="381">
        <v>20</v>
      </c>
      <c r="B50" s="361" t="s">
        <v>90</v>
      </c>
      <c r="C50" s="663">
        <v>49301302.5</v>
      </c>
      <c r="D50" s="663">
        <v>178017992.23000002</v>
      </c>
      <c r="E50" s="661">
        <f t="shared" si="2"/>
        <v>227319294.73000002</v>
      </c>
      <c r="F50" s="656">
        <v>61075822.780000001</v>
      </c>
      <c r="G50" s="656">
        <v>93200440.030000001</v>
      </c>
      <c r="H50" s="661">
        <f t="shared" si="3"/>
        <v>154276262.81</v>
      </c>
    </row>
    <row r="51" spans="1:8">
      <c r="A51" s="381">
        <v>21</v>
      </c>
      <c r="B51" s="362" t="s">
        <v>78</v>
      </c>
      <c r="C51" s="663">
        <v>51255589.609999999</v>
      </c>
      <c r="D51" s="663">
        <v>3448282.7700000033</v>
      </c>
      <c r="E51" s="661">
        <f t="shared" si="2"/>
        <v>54703872.380000003</v>
      </c>
      <c r="F51" s="656">
        <v>46453350.059999995</v>
      </c>
      <c r="G51" s="656">
        <v>2809053.9799999967</v>
      </c>
      <c r="H51" s="661">
        <f t="shared" si="3"/>
        <v>49262404.039999992</v>
      </c>
    </row>
    <row r="52" spans="1:8">
      <c r="A52" s="381">
        <v>21.1</v>
      </c>
      <c r="B52" s="358" t="s">
        <v>729</v>
      </c>
      <c r="C52" s="663"/>
      <c r="D52" s="663"/>
      <c r="E52" s="661">
        <f t="shared" si="2"/>
        <v>0</v>
      </c>
      <c r="F52" s="355"/>
      <c r="G52" s="355"/>
      <c r="H52" s="661">
        <f t="shared" si="3"/>
        <v>0</v>
      </c>
    </row>
    <row r="53" spans="1:8">
      <c r="A53" s="381">
        <v>22</v>
      </c>
      <c r="B53" s="361" t="s">
        <v>730</v>
      </c>
      <c r="C53" s="665">
        <f>SUM(C38,C40,C41,C46,C47,C50,C51)</f>
        <v>2414372810.9700003</v>
      </c>
      <c r="D53" s="665">
        <f>SUM(D38,D40,D41,D46,D47,D50,D51)</f>
        <v>1004779896.2699999</v>
      </c>
      <c r="E53" s="661">
        <f t="shared" si="2"/>
        <v>3419152707.2400002</v>
      </c>
      <c r="F53" s="665">
        <f>SUM(F38,F40,F41,F46,F47,F50,F51)</f>
        <v>2003725996.1400046</v>
      </c>
      <c r="G53" s="665">
        <f>SUM(G38,G40,G41,G46,G47,G50,G51)</f>
        <v>786611264.20489907</v>
      </c>
      <c r="H53" s="661">
        <f t="shared" si="3"/>
        <v>2790337260.3449039</v>
      </c>
    </row>
    <row r="54" spans="1:8" ht="24" customHeight="1">
      <c r="A54" s="381"/>
      <c r="B54" s="363" t="s">
        <v>731</v>
      </c>
      <c r="C54" s="781"/>
      <c r="D54" s="782"/>
      <c r="E54" s="782"/>
      <c r="F54" s="782"/>
      <c r="G54" s="782"/>
      <c r="H54" s="783"/>
    </row>
    <row r="55" spans="1:8">
      <c r="A55" s="381">
        <v>23</v>
      </c>
      <c r="B55" s="586" t="s">
        <v>959</v>
      </c>
      <c r="C55" s="663">
        <v>5270620</v>
      </c>
      <c r="D55" s="663"/>
      <c r="E55" s="661">
        <f>C55+D55</f>
        <v>5270620</v>
      </c>
      <c r="F55" s="663">
        <v>5239960</v>
      </c>
      <c r="G55" s="355"/>
      <c r="H55" s="661">
        <f>F55+G55</f>
        <v>5239960</v>
      </c>
    </row>
    <row r="56" spans="1:8">
      <c r="A56" s="381">
        <v>24</v>
      </c>
      <c r="B56" s="361" t="s">
        <v>732</v>
      </c>
      <c r="C56" s="663"/>
      <c r="D56" s="663"/>
      <c r="E56" s="661">
        <f t="shared" ref="E56:E69" si="4">C56+D56</f>
        <v>0</v>
      </c>
      <c r="F56" s="663"/>
      <c r="G56" s="355"/>
      <c r="H56" s="661">
        <f t="shared" ref="H56:H69" si="5">F56+G56</f>
        <v>0</v>
      </c>
    </row>
    <row r="57" spans="1:8">
      <c r="A57" s="381">
        <v>25</v>
      </c>
      <c r="B57" s="361" t="s">
        <v>91</v>
      </c>
      <c r="C57" s="663">
        <v>41797125.479999997</v>
      </c>
      <c r="D57" s="663"/>
      <c r="E57" s="661">
        <f t="shared" si="4"/>
        <v>41797125.479999997</v>
      </c>
      <c r="F57" s="663">
        <v>39150769.530000001</v>
      </c>
      <c r="G57" s="355"/>
      <c r="H57" s="661">
        <f t="shared" si="5"/>
        <v>39150769.530000001</v>
      </c>
    </row>
    <row r="58" spans="1:8">
      <c r="A58" s="381">
        <v>26</v>
      </c>
      <c r="B58" s="346" t="s">
        <v>733</v>
      </c>
      <c r="C58" s="663"/>
      <c r="D58" s="663"/>
      <c r="E58" s="661">
        <f t="shared" si="4"/>
        <v>0</v>
      </c>
      <c r="F58" s="355"/>
      <c r="G58" s="355"/>
      <c r="H58" s="661">
        <f t="shared" si="5"/>
        <v>0</v>
      </c>
    </row>
    <row r="59" spans="1:8">
      <c r="A59" s="381">
        <v>27</v>
      </c>
      <c r="B59" s="346" t="s">
        <v>734</v>
      </c>
      <c r="C59" s="663">
        <f>SUM(C60:C61)</f>
        <v>0</v>
      </c>
      <c r="D59" s="663">
        <f>SUM(D60:D61)</f>
        <v>0</v>
      </c>
      <c r="E59" s="661">
        <f t="shared" si="4"/>
        <v>0</v>
      </c>
      <c r="F59" s="355"/>
      <c r="G59" s="355"/>
      <c r="H59" s="661">
        <f t="shared" si="5"/>
        <v>0</v>
      </c>
    </row>
    <row r="60" spans="1:8">
      <c r="A60" s="381">
        <v>27.1</v>
      </c>
      <c r="B60" s="359" t="s">
        <v>735</v>
      </c>
      <c r="C60" s="663"/>
      <c r="D60" s="663"/>
      <c r="E60" s="661">
        <f t="shared" si="4"/>
        <v>0</v>
      </c>
      <c r="F60" s="355"/>
      <c r="G60" s="355"/>
      <c r="H60" s="661">
        <f t="shared" si="5"/>
        <v>0</v>
      </c>
    </row>
    <row r="61" spans="1:8">
      <c r="A61" s="381">
        <v>27.2</v>
      </c>
      <c r="B61" s="357" t="s">
        <v>736</v>
      </c>
      <c r="C61" s="663"/>
      <c r="D61" s="663"/>
      <c r="E61" s="661">
        <f t="shared" si="4"/>
        <v>0</v>
      </c>
      <c r="F61" s="355"/>
      <c r="G61" s="355"/>
      <c r="H61" s="661">
        <f t="shared" si="5"/>
        <v>0</v>
      </c>
    </row>
    <row r="62" spans="1:8">
      <c r="A62" s="381">
        <v>28</v>
      </c>
      <c r="B62" s="362" t="s">
        <v>737</v>
      </c>
      <c r="C62" s="663"/>
      <c r="D62" s="663"/>
      <c r="E62" s="661">
        <f t="shared" si="4"/>
        <v>0</v>
      </c>
      <c r="F62" s="355"/>
      <c r="G62" s="355"/>
      <c r="H62" s="661">
        <f t="shared" si="5"/>
        <v>0</v>
      </c>
    </row>
    <row r="63" spans="1:8">
      <c r="A63" s="381">
        <v>29</v>
      </c>
      <c r="B63" s="346" t="s">
        <v>738</v>
      </c>
      <c r="C63" s="663">
        <f>SUM(C64:C66)</f>
        <v>0</v>
      </c>
      <c r="D63" s="663">
        <f>SUM(D64:D66)</f>
        <v>0</v>
      </c>
      <c r="E63" s="661">
        <f t="shared" si="4"/>
        <v>0</v>
      </c>
      <c r="F63" s="355"/>
      <c r="G63" s="355"/>
      <c r="H63" s="661">
        <f t="shared" si="5"/>
        <v>0</v>
      </c>
    </row>
    <row r="64" spans="1:8">
      <c r="A64" s="381">
        <v>29.1</v>
      </c>
      <c r="B64" s="347" t="s">
        <v>739</v>
      </c>
      <c r="C64" s="663"/>
      <c r="D64" s="663"/>
      <c r="E64" s="661">
        <f t="shared" si="4"/>
        <v>0</v>
      </c>
      <c r="F64" s="355"/>
      <c r="G64" s="355"/>
      <c r="H64" s="661">
        <f t="shared" si="5"/>
        <v>0</v>
      </c>
    </row>
    <row r="65" spans="1:8" ht="25.05" customHeight="1">
      <c r="A65" s="381">
        <v>29.2</v>
      </c>
      <c r="B65" s="359" t="s">
        <v>740</v>
      </c>
      <c r="C65" s="663"/>
      <c r="D65" s="663"/>
      <c r="E65" s="661">
        <f t="shared" si="4"/>
        <v>0</v>
      </c>
      <c r="F65" s="355"/>
      <c r="G65" s="355"/>
      <c r="H65" s="661">
        <f t="shared" si="5"/>
        <v>0</v>
      </c>
    </row>
    <row r="66" spans="1:8" ht="22.5" customHeight="1">
      <c r="A66" s="381">
        <v>29.3</v>
      </c>
      <c r="B66" s="350" t="s">
        <v>741</v>
      </c>
      <c r="C66" s="663"/>
      <c r="D66" s="663"/>
      <c r="E66" s="661">
        <f t="shared" si="4"/>
        <v>0</v>
      </c>
      <c r="F66" s="355"/>
      <c r="G66" s="355"/>
      <c r="H66" s="661">
        <f t="shared" si="5"/>
        <v>0</v>
      </c>
    </row>
    <row r="67" spans="1:8">
      <c r="A67" s="381">
        <v>30</v>
      </c>
      <c r="B67" s="346" t="s">
        <v>92</v>
      </c>
      <c r="C67" s="663">
        <v>446696326.19602871</v>
      </c>
      <c r="D67" s="663"/>
      <c r="E67" s="661">
        <f t="shared" si="4"/>
        <v>446696326.19602871</v>
      </c>
      <c r="F67" s="656">
        <v>355183254.49275202</v>
      </c>
      <c r="G67" s="355"/>
      <c r="H67" s="661">
        <f t="shared" si="5"/>
        <v>355183254.49275202</v>
      </c>
    </row>
    <row r="68" spans="1:8">
      <c r="A68" s="381">
        <v>31</v>
      </c>
      <c r="B68" s="364" t="s">
        <v>999</v>
      </c>
      <c r="C68" s="665">
        <f>SUM(C55,C56,C57,C58,C59,C62,C63,C67)</f>
        <v>493764071.67602873</v>
      </c>
      <c r="D68" s="665">
        <f>SUM(D55,D56,D57,D58,D59,D62,D63,D67)</f>
        <v>0</v>
      </c>
      <c r="E68" s="661">
        <f t="shared" si="4"/>
        <v>493764071.67602873</v>
      </c>
      <c r="F68" s="664">
        <f>SUM(F55,F56,F57,F58,F59,F62,F63,F67)</f>
        <v>399573984.02275205</v>
      </c>
      <c r="G68" s="355">
        <f>SUM(G55,G56,G57,G58,G59,G62,G63,G67)</f>
        <v>0</v>
      </c>
      <c r="H68" s="661">
        <f t="shared" si="5"/>
        <v>399573984.02275205</v>
      </c>
    </row>
    <row r="69" spans="1:8">
      <c r="A69" s="381">
        <v>32</v>
      </c>
      <c r="B69" s="365" t="s">
        <v>743</v>
      </c>
      <c r="C69" s="665">
        <f>SUM(C53,C68)</f>
        <v>2908136882.646029</v>
      </c>
      <c r="D69" s="665">
        <f>SUM(D53,D68)</f>
        <v>1004779896.2699999</v>
      </c>
      <c r="E69" s="661">
        <f t="shared" si="4"/>
        <v>3912916778.916029</v>
      </c>
      <c r="F69" s="664">
        <f>SUM(F53,F68)</f>
        <v>2403299980.1627569</v>
      </c>
      <c r="G69" s="664">
        <f>SUM(G53,G68)</f>
        <v>786611264.20489907</v>
      </c>
      <c r="H69" s="661">
        <f t="shared" si="5"/>
        <v>3189911244.3676558</v>
      </c>
    </row>
    <row r="72" spans="1:8" ht="25.05" customHeight="1">
      <c r="B72" s="638" t="s">
        <v>1000</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topLeftCell="A5" zoomScale="80" zoomScaleNormal="80" workbookViewId="0">
      <selection activeCell="F33" sqref="F33:G33"/>
    </sheetView>
  </sheetViews>
  <sheetFormatPr defaultColWidth="9.21875" defaultRowHeight="12"/>
  <cols>
    <col min="1" max="1" width="11.77734375" style="440" bestFit="1" customWidth="1"/>
    <col min="2" max="2" width="63.109375" style="440" customWidth="1"/>
    <col min="3" max="3" width="14.6640625" style="440" customWidth="1"/>
    <col min="4" max="5" width="16.109375" style="440" customWidth="1"/>
    <col min="6" max="6" width="16.109375" style="458" customWidth="1"/>
    <col min="7" max="7" width="25.21875" style="458" customWidth="1"/>
    <col min="8" max="8" width="16.109375" style="440" customWidth="1"/>
    <col min="9" max="11" width="16.109375" style="458" customWidth="1"/>
    <col min="12" max="12" width="26.21875" style="458" customWidth="1"/>
    <col min="13" max="16384" width="9.21875" style="440"/>
  </cols>
  <sheetData>
    <row r="1" spans="1:12" ht="13.8">
      <c r="A1" s="318" t="s">
        <v>97</v>
      </c>
      <c r="B1" s="247" t="str">
        <f>Info!C2</f>
        <v>სს "კრედო ბანკი"</v>
      </c>
      <c r="F1" s="440"/>
      <c r="G1" s="440"/>
      <c r="I1" s="440"/>
      <c r="J1" s="440"/>
      <c r="K1" s="440"/>
      <c r="L1" s="440"/>
    </row>
    <row r="2" spans="1:12">
      <c r="A2" s="318" t="s">
        <v>98</v>
      </c>
      <c r="B2" s="321">
        <f>'1. key ratios'!B2</f>
        <v>46112</v>
      </c>
      <c r="F2" s="440"/>
      <c r="G2" s="440"/>
      <c r="I2" s="440"/>
      <c r="J2" s="440"/>
      <c r="K2" s="440"/>
      <c r="L2" s="440"/>
    </row>
    <row r="3" spans="1:12">
      <c r="A3" s="320" t="s">
        <v>563</v>
      </c>
      <c r="F3" s="440"/>
      <c r="G3" s="440"/>
      <c r="I3" s="440"/>
      <c r="J3" s="440"/>
      <c r="K3" s="440"/>
      <c r="L3" s="440"/>
    </row>
    <row r="4" spans="1:12">
      <c r="F4" s="440"/>
      <c r="G4" s="440"/>
      <c r="I4" s="440"/>
      <c r="J4" s="440"/>
      <c r="K4" s="440"/>
      <c r="L4" s="440"/>
    </row>
    <row r="5" spans="1:12" ht="37.5" customHeight="1">
      <c r="A5" s="834" t="s">
        <v>564</v>
      </c>
      <c r="B5" s="835"/>
      <c r="C5" s="883" t="s">
        <v>565</v>
      </c>
      <c r="D5" s="884"/>
      <c r="E5" s="884"/>
      <c r="F5" s="884"/>
      <c r="G5" s="884"/>
      <c r="H5" s="883" t="s">
        <v>875</v>
      </c>
      <c r="I5" s="885"/>
      <c r="J5" s="885"/>
      <c r="K5" s="885"/>
      <c r="L5" s="886"/>
    </row>
    <row r="6" spans="1:12" ht="39.450000000000003" customHeight="1">
      <c r="A6" s="838"/>
      <c r="B6" s="839"/>
      <c r="C6" s="325"/>
      <c r="D6" s="438" t="s">
        <v>860</v>
      </c>
      <c r="E6" s="438" t="s">
        <v>859</v>
      </c>
      <c r="F6" s="438" t="s">
        <v>858</v>
      </c>
      <c r="G6" s="438" t="s">
        <v>857</v>
      </c>
      <c r="H6" s="459"/>
      <c r="I6" s="438" t="s">
        <v>860</v>
      </c>
      <c r="J6" s="438" t="s">
        <v>859</v>
      </c>
      <c r="K6" s="438" t="s">
        <v>858</v>
      </c>
      <c r="L6" s="438" t="s">
        <v>857</v>
      </c>
    </row>
    <row r="7" spans="1:12">
      <c r="A7" s="430">
        <v>1</v>
      </c>
      <c r="B7" s="443" t="s">
        <v>487</v>
      </c>
      <c r="C7" s="738">
        <f>SUM(D7:G7)</f>
        <v>27719181.539999999</v>
      </c>
      <c r="D7" s="727">
        <v>27013809.34</v>
      </c>
      <c r="E7" s="727">
        <v>628691.79</v>
      </c>
      <c r="F7" s="727">
        <v>76680.41</v>
      </c>
      <c r="G7" s="727">
        <v>0</v>
      </c>
      <c r="H7" s="734">
        <f>SUM(I7:L7)</f>
        <v>425021.36</v>
      </c>
      <c r="I7" s="727">
        <v>224850.48</v>
      </c>
      <c r="J7" s="727">
        <v>138074.25</v>
      </c>
      <c r="K7" s="727">
        <v>62096.63</v>
      </c>
      <c r="L7" s="727">
        <v>0</v>
      </c>
    </row>
    <row r="8" spans="1:12">
      <c r="A8" s="430">
        <v>2</v>
      </c>
      <c r="B8" s="443" t="s">
        <v>488</v>
      </c>
      <c r="C8" s="738">
        <f t="shared" ref="C8:C32" si="0">SUM(D8:G8)</f>
        <v>24956889.619999997</v>
      </c>
      <c r="D8" s="727">
        <v>24679324.239999998</v>
      </c>
      <c r="E8" s="727">
        <v>228779.95</v>
      </c>
      <c r="F8" s="736">
        <v>48785.43</v>
      </c>
      <c r="G8" s="736">
        <v>0</v>
      </c>
      <c r="H8" s="734">
        <f t="shared" ref="H8:H32" si="1">SUM(I8:L8)</f>
        <v>251440.78</v>
      </c>
      <c r="I8" s="736">
        <v>163244.43</v>
      </c>
      <c r="J8" s="736">
        <v>48465.79</v>
      </c>
      <c r="K8" s="736">
        <v>39730.559999999998</v>
      </c>
      <c r="L8" s="736">
        <v>0</v>
      </c>
    </row>
    <row r="9" spans="1:12">
      <c r="A9" s="430">
        <v>3</v>
      </c>
      <c r="B9" s="443" t="s">
        <v>836</v>
      </c>
      <c r="C9" s="738">
        <f t="shared" si="0"/>
        <v>8588056.4499999993</v>
      </c>
      <c r="D9" s="727">
        <v>8166455.2800000003</v>
      </c>
      <c r="E9" s="727">
        <v>342776.32000000001</v>
      </c>
      <c r="F9" s="737">
        <v>78824.850000000006</v>
      </c>
      <c r="G9" s="737">
        <v>0</v>
      </c>
      <c r="H9" s="734">
        <f t="shared" si="1"/>
        <v>211578.37</v>
      </c>
      <c r="I9" s="737">
        <v>79048.52</v>
      </c>
      <c r="J9" s="737">
        <v>67791.039999999994</v>
      </c>
      <c r="K9" s="737">
        <v>64738.81</v>
      </c>
      <c r="L9" s="737">
        <v>0</v>
      </c>
    </row>
    <row r="10" spans="1:12">
      <c r="A10" s="430">
        <v>4</v>
      </c>
      <c r="B10" s="443" t="s">
        <v>489</v>
      </c>
      <c r="C10" s="738">
        <f t="shared" si="0"/>
        <v>63642777.109999999</v>
      </c>
      <c r="D10" s="727">
        <v>61357322.68</v>
      </c>
      <c r="E10" s="727">
        <v>19385.87</v>
      </c>
      <c r="F10" s="737">
        <v>2266068.56</v>
      </c>
      <c r="G10" s="737">
        <v>0</v>
      </c>
      <c r="H10" s="734">
        <f t="shared" si="1"/>
        <v>1351912.66</v>
      </c>
      <c r="I10" s="737">
        <v>144323.1</v>
      </c>
      <c r="J10" s="737">
        <v>3273.83</v>
      </c>
      <c r="K10" s="737">
        <v>1204315.73</v>
      </c>
      <c r="L10" s="737">
        <v>0</v>
      </c>
    </row>
    <row r="11" spans="1:12">
      <c r="A11" s="430">
        <v>5</v>
      </c>
      <c r="B11" s="443" t="s">
        <v>490</v>
      </c>
      <c r="C11" s="738">
        <f t="shared" si="0"/>
        <v>56003836.329999998</v>
      </c>
      <c r="D11" s="727">
        <v>53619991.579999998</v>
      </c>
      <c r="E11" s="727">
        <v>2342554.88</v>
      </c>
      <c r="F11" s="737">
        <v>41289.870000000003</v>
      </c>
      <c r="G11" s="737">
        <v>0</v>
      </c>
      <c r="H11" s="734">
        <f t="shared" si="1"/>
        <v>357413.75000000006</v>
      </c>
      <c r="I11" s="737">
        <v>170777.64</v>
      </c>
      <c r="J11" s="737">
        <v>153604.28</v>
      </c>
      <c r="K11" s="737">
        <v>33031.83</v>
      </c>
      <c r="L11" s="737">
        <v>0</v>
      </c>
    </row>
    <row r="12" spans="1:12">
      <c r="A12" s="430">
        <v>6</v>
      </c>
      <c r="B12" s="443" t="s">
        <v>491</v>
      </c>
      <c r="C12" s="738">
        <f t="shared" si="0"/>
        <v>15328553.239999998</v>
      </c>
      <c r="D12" s="727">
        <v>14631272.789999999</v>
      </c>
      <c r="E12" s="727">
        <v>659090.54</v>
      </c>
      <c r="F12" s="737">
        <v>38189.910000000003</v>
      </c>
      <c r="G12" s="737">
        <v>0</v>
      </c>
      <c r="H12" s="734">
        <f t="shared" si="1"/>
        <v>248607.29</v>
      </c>
      <c r="I12" s="737">
        <v>93515.74</v>
      </c>
      <c r="J12" s="737">
        <v>124192.3</v>
      </c>
      <c r="K12" s="737">
        <v>30899.25</v>
      </c>
      <c r="L12" s="737">
        <v>0</v>
      </c>
    </row>
    <row r="13" spans="1:12">
      <c r="A13" s="430">
        <v>7</v>
      </c>
      <c r="B13" s="443" t="s">
        <v>492</v>
      </c>
      <c r="C13" s="738">
        <f t="shared" si="0"/>
        <v>6094197.71</v>
      </c>
      <c r="D13" s="727">
        <v>5666466.1100000003</v>
      </c>
      <c r="E13" s="727">
        <v>332710.34000000003</v>
      </c>
      <c r="F13" s="737">
        <v>95021.26</v>
      </c>
      <c r="G13" s="737">
        <v>0</v>
      </c>
      <c r="H13" s="734">
        <f t="shared" si="1"/>
        <v>178569.77000000002</v>
      </c>
      <c r="I13" s="737">
        <v>41176.589999999997</v>
      </c>
      <c r="J13" s="737">
        <v>69170.070000000007</v>
      </c>
      <c r="K13" s="737">
        <v>68223.11</v>
      </c>
      <c r="L13" s="737">
        <v>0</v>
      </c>
    </row>
    <row r="14" spans="1:12">
      <c r="A14" s="430">
        <v>8</v>
      </c>
      <c r="B14" s="443" t="s">
        <v>493</v>
      </c>
      <c r="C14" s="738">
        <f t="shared" si="0"/>
        <v>221876758.80000001</v>
      </c>
      <c r="D14" s="727">
        <v>211089007.34</v>
      </c>
      <c r="E14" s="727">
        <v>9802223.9700000007</v>
      </c>
      <c r="F14" s="737">
        <v>981357.36</v>
      </c>
      <c r="G14" s="737">
        <v>4170.13</v>
      </c>
      <c r="H14" s="734">
        <f t="shared" si="1"/>
        <v>4131875.35</v>
      </c>
      <c r="I14" s="737">
        <v>1470683.47</v>
      </c>
      <c r="J14" s="737">
        <v>1875566.34</v>
      </c>
      <c r="K14" s="737">
        <v>785575.27</v>
      </c>
      <c r="L14" s="737">
        <v>50.27</v>
      </c>
    </row>
    <row r="15" spans="1:12">
      <c r="A15" s="430">
        <v>9</v>
      </c>
      <c r="B15" s="443" t="s">
        <v>494</v>
      </c>
      <c r="C15" s="738">
        <f t="shared" si="0"/>
        <v>38287058.870000005</v>
      </c>
      <c r="D15" s="727">
        <v>36242917.100000001</v>
      </c>
      <c r="E15" s="727">
        <v>1848342.6</v>
      </c>
      <c r="F15" s="737">
        <v>195799.17</v>
      </c>
      <c r="G15" s="737">
        <v>0</v>
      </c>
      <c r="H15" s="734">
        <f t="shared" si="1"/>
        <v>843426.4</v>
      </c>
      <c r="I15" s="737">
        <v>298462.61</v>
      </c>
      <c r="J15" s="737">
        <v>383505.96</v>
      </c>
      <c r="K15" s="737">
        <v>161457.82999999999</v>
      </c>
      <c r="L15" s="737">
        <v>0</v>
      </c>
    </row>
    <row r="16" spans="1:12">
      <c r="A16" s="430">
        <v>10</v>
      </c>
      <c r="B16" s="443" t="s">
        <v>495</v>
      </c>
      <c r="C16" s="738">
        <f t="shared" si="0"/>
        <v>19077325.43</v>
      </c>
      <c r="D16" s="727">
        <v>17934389.670000002</v>
      </c>
      <c r="E16" s="727">
        <v>1020896.29</v>
      </c>
      <c r="F16" s="737">
        <v>122039.47</v>
      </c>
      <c r="G16" s="737">
        <v>0</v>
      </c>
      <c r="H16" s="734">
        <f t="shared" si="1"/>
        <v>417008.55999999994</v>
      </c>
      <c r="I16" s="737">
        <v>140264.14000000001</v>
      </c>
      <c r="J16" s="737">
        <v>177389.83</v>
      </c>
      <c r="K16" s="737">
        <v>99354.59</v>
      </c>
      <c r="L16" s="737">
        <v>0</v>
      </c>
    </row>
    <row r="17" spans="1:12">
      <c r="A17" s="430">
        <v>11</v>
      </c>
      <c r="B17" s="443" t="s">
        <v>496</v>
      </c>
      <c r="C17" s="738">
        <f t="shared" si="0"/>
        <v>9816376.4600000009</v>
      </c>
      <c r="D17" s="727">
        <v>9338403.8499999996</v>
      </c>
      <c r="E17" s="727">
        <v>418114.65</v>
      </c>
      <c r="F17" s="737">
        <v>59044.82</v>
      </c>
      <c r="G17" s="737">
        <v>813.14</v>
      </c>
      <c r="H17" s="734">
        <f t="shared" si="1"/>
        <v>230441.88</v>
      </c>
      <c r="I17" s="737">
        <v>83813.649999999994</v>
      </c>
      <c r="J17" s="737">
        <v>98348.03</v>
      </c>
      <c r="K17" s="737">
        <v>48078.89</v>
      </c>
      <c r="L17" s="737">
        <v>201.31</v>
      </c>
    </row>
    <row r="18" spans="1:12">
      <c r="A18" s="430">
        <v>12</v>
      </c>
      <c r="B18" s="443" t="s">
        <v>497</v>
      </c>
      <c r="C18" s="738">
        <f t="shared" si="0"/>
        <v>171920243.67999998</v>
      </c>
      <c r="D18" s="727">
        <v>164345846.47999999</v>
      </c>
      <c r="E18" s="727">
        <v>6515812.9100000001</v>
      </c>
      <c r="F18" s="737">
        <v>1058584.29</v>
      </c>
      <c r="G18" s="737">
        <v>0</v>
      </c>
      <c r="H18" s="734">
        <f t="shared" si="1"/>
        <v>3245090.38</v>
      </c>
      <c r="I18" s="737">
        <v>1157964.02</v>
      </c>
      <c r="J18" s="737">
        <v>1305634.56</v>
      </c>
      <c r="K18" s="737">
        <v>781491.8</v>
      </c>
      <c r="L18" s="737">
        <v>0</v>
      </c>
    </row>
    <row r="19" spans="1:12">
      <c r="A19" s="430">
        <v>13</v>
      </c>
      <c r="B19" s="443" t="s">
        <v>498</v>
      </c>
      <c r="C19" s="738">
        <f t="shared" si="0"/>
        <v>29923706.370000001</v>
      </c>
      <c r="D19" s="727">
        <v>28356372.460000001</v>
      </c>
      <c r="E19" s="727">
        <v>1369335.47</v>
      </c>
      <c r="F19" s="737">
        <v>197998.44</v>
      </c>
      <c r="G19" s="737">
        <v>0</v>
      </c>
      <c r="H19" s="734">
        <f t="shared" si="1"/>
        <v>719194.71000000008</v>
      </c>
      <c r="I19" s="737">
        <v>258563.20000000001</v>
      </c>
      <c r="J19" s="737">
        <v>298839.15000000002</v>
      </c>
      <c r="K19" s="737">
        <v>161792.35999999999</v>
      </c>
      <c r="L19" s="737">
        <v>0</v>
      </c>
    </row>
    <row r="20" spans="1:12">
      <c r="A20" s="430">
        <v>14</v>
      </c>
      <c r="B20" s="443" t="s">
        <v>499</v>
      </c>
      <c r="C20" s="738">
        <f t="shared" si="0"/>
        <v>99924104.75999999</v>
      </c>
      <c r="D20" s="727">
        <v>95392443.879999995</v>
      </c>
      <c r="E20" s="727">
        <v>2959533.75</v>
      </c>
      <c r="F20" s="737">
        <v>1572127.13</v>
      </c>
      <c r="G20" s="737">
        <v>0</v>
      </c>
      <c r="H20" s="734">
        <f t="shared" si="1"/>
        <v>1567348.6600000001</v>
      </c>
      <c r="I20" s="737">
        <v>374591.59</v>
      </c>
      <c r="J20" s="737">
        <v>330756.03999999998</v>
      </c>
      <c r="K20" s="737">
        <v>862001.03</v>
      </c>
      <c r="L20" s="737">
        <v>0</v>
      </c>
    </row>
    <row r="21" spans="1:12">
      <c r="A21" s="430">
        <v>15</v>
      </c>
      <c r="B21" s="443" t="s">
        <v>500</v>
      </c>
      <c r="C21" s="738">
        <f t="shared" si="0"/>
        <v>68058960.710000008</v>
      </c>
      <c r="D21" s="727">
        <v>64358048.579999998</v>
      </c>
      <c r="E21" s="727">
        <v>3192690.54</v>
      </c>
      <c r="F21" s="737">
        <v>508221.59</v>
      </c>
      <c r="G21" s="737">
        <v>0</v>
      </c>
      <c r="H21" s="734">
        <f t="shared" si="1"/>
        <v>1488841.2200000002</v>
      </c>
      <c r="I21" s="737">
        <v>502708.4</v>
      </c>
      <c r="J21" s="737">
        <v>597140.42000000004</v>
      </c>
      <c r="K21" s="737">
        <v>388992.4</v>
      </c>
      <c r="L21" s="737">
        <v>0</v>
      </c>
    </row>
    <row r="22" spans="1:12">
      <c r="A22" s="430">
        <v>16</v>
      </c>
      <c r="B22" s="443" t="s">
        <v>501</v>
      </c>
      <c r="C22" s="738">
        <f t="shared" si="0"/>
        <v>15274358.640000001</v>
      </c>
      <c r="D22" s="727">
        <v>13949809.98</v>
      </c>
      <c r="E22" s="727">
        <v>1253891.07</v>
      </c>
      <c r="F22" s="737">
        <v>70657.59</v>
      </c>
      <c r="G22" s="737">
        <v>0</v>
      </c>
      <c r="H22" s="734">
        <f t="shared" si="1"/>
        <v>378350.83</v>
      </c>
      <c r="I22" s="737">
        <v>101466.54</v>
      </c>
      <c r="J22" s="737">
        <v>219694.27</v>
      </c>
      <c r="K22" s="737">
        <v>57190.02</v>
      </c>
      <c r="L22" s="737">
        <v>0</v>
      </c>
    </row>
    <row r="23" spans="1:12">
      <c r="A23" s="430">
        <v>17</v>
      </c>
      <c r="B23" s="443" t="s">
        <v>502</v>
      </c>
      <c r="C23" s="738">
        <f t="shared" si="0"/>
        <v>966550.82000000007</v>
      </c>
      <c r="D23" s="727">
        <v>940979.52</v>
      </c>
      <c r="E23" s="727">
        <v>22739.31</v>
      </c>
      <c r="F23" s="737">
        <v>2831.99</v>
      </c>
      <c r="G23" s="737">
        <v>0</v>
      </c>
      <c r="H23" s="734">
        <f t="shared" si="1"/>
        <v>16569.45</v>
      </c>
      <c r="I23" s="737">
        <v>9843.8700000000008</v>
      </c>
      <c r="J23" s="737">
        <v>4392.21</v>
      </c>
      <c r="K23" s="737">
        <v>2333.37</v>
      </c>
      <c r="L23" s="737">
        <v>0</v>
      </c>
    </row>
    <row r="24" spans="1:12">
      <c r="A24" s="430">
        <v>18</v>
      </c>
      <c r="B24" s="443" t="s">
        <v>503</v>
      </c>
      <c r="C24" s="738">
        <f t="shared" si="0"/>
        <v>4438278.0299999993</v>
      </c>
      <c r="D24" s="727">
        <v>4265745.7699999996</v>
      </c>
      <c r="E24" s="727">
        <v>168480.66</v>
      </c>
      <c r="F24" s="737">
        <v>4051.6</v>
      </c>
      <c r="G24" s="737">
        <v>0</v>
      </c>
      <c r="H24" s="734">
        <f t="shared" si="1"/>
        <v>82678.400000000009</v>
      </c>
      <c r="I24" s="737">
        <v>38971.82</v>
      </c>
      <c r="J24" s="737">
        <v>40438.5</v>
      </c>
      <c r="K24" s="737">
        <v>3268.08</v>
      </c>
      <c r="L24" s="737">
        <v>0</v>
      </c>
    </row>
    <row r="25" spans="1:12">
      <c r="A25" s="430">
        <v>19</v>
      </c>
      <c r="B25" s="443" t="s">
        <v>504</v>
      </c>
      <c r="C25" s="738">
        <f t="shared" si="0"/>
        <v>10418693.939999999</v>
      </c>
      <c r="D25" s="727">
        <v>9966236.9499999993</v>
      </c>
      <c r="E25" s="727">
        <v>429126.44</v>
      </c>
      <c r="F25" s="737">
        <v>23330.55</v>
      </c>
      <c r="G25" s="737">
        <v>0</v>
      </c>
      <c r="H25" s="734">
        <f t="shared" si="1"/>
        <v>181489.11000000002</v>
      </c>
      <c r="I25" s="737">
        <v>61029.36</v>
      </c>
      <c r="J25" s="737">
        <v>101579.53</v>
      </c>
      <c r="K25" s="737">
        <v>18880.22</v>
      </c>
      <c r="L25" s="737">
        <v>0</v>
      </c>
    </row>
    <row r="26" spans="1:12">
      <c r="A26" s="430">
        <v>20</v>
      </c>
      <c r="B26" s="443" t="s">
        <v>505</v>
      </c>
      <c r="C26" s="738">
        <f t="shared" si="0"/>
        <v>24045013.489999998</v>
      </c>
      <c r="D26" s="727">
        <v>23448700.149999999</v>
      </c>
      <c r="E26" s="727">
        <v>595078.16</v>
      </c>
      <c r="F26" s="737">
        <v>1235.18</v>
      </c>
      <c r="G26" s="737">
        <v>0</v>
      </c>
      <c r="H26" s="734">
        <f t="shared" si="1"/>
        <v>235438.27</v>
      </c>
      <c r="I26" s="737">
        <v>144610.28</v>
      </c>
      <c r="J26" s="737">
        <v>89831.679999999993</v>
      </c>
      <c r="K26" s="737">
        <v>996.31</v>
      </c>
      <c r="L26" s="737">
        <v>0</v>
      </c>
    </row>
    <row r="27" spans="1:12">
      <c r="A27" s="430">
        <v>21</v>
      </c>
      <c r="B27" s="443" t="s">
        <v>506</v>
      </c>
      <c r="C27" s="738">
        <f t="shared" si="0"/>
        <v>3096656.64</v>
      </c>
      <c r="D27" s="727">
        <v>3045650.51</v>
      </c>
      <c r="E27" s="727">
        <v>50384.14</v>
      </c>
      <c r="F27" s="737">
        <v>621.99</v>
      </c>
      <c r="G27" s="737">
        <v>0</v>
      </c>
      <c r="H27" s="734">
        <f t="shared" si="1"/>
        <v>36201.74</v>
      </c>
      <c r="I27" s="737">
        <v>19275.68</v>
      </c>
      <c r="J27" s="737">
        <v>16424.349999999999</v>
      </c>
      <c r="K27" s="737">
        <v>501.71</v>
      </c>
      <c r="L27" s="737">
        <v>0</v>
      </c>
    </row>
    <row r="28" spans="1:12">
      <c r="A28" s="430">
        <v>22</v>
      </c>
      <c r="B28" s="443" t="s">
        <v>507</v>
      </c>
      <c r="C28" s="738">
        <f t="shared" si="0"/>
        <v>1721698.85</v>
      </c>
      <c r="D28" s="727">
        <v>1699409.36</v>
      </c>
      <c r="E28" s="727">
        <v>22289.49</v>
      </c>
      <c r="F28" s="737">
        <v>0</v>
      </c>
      <c r="G28" s="737">
        <v>0</v>
      </c>
      <c r="H28" s="734">
        <f t="shared" si="1"/>
        <v>16944.28</v>
      </c>
      <c r="I28" s="737">
        <v>11223.88</v>
      </c>
      <c r="J28" s="737">
        <v>5720.4</v>
      </c>
      <c r="K28" s="737">
        <v>0</v>
      </c>
      <c r="L28" s="737">
        <v>0</v>
      </c>
    </row>
    <row r="29" spans="1:12">
      <c r="A29" s="430">
        <v>23</v>
      </c>
      <c r="B29" s="443" t="s">
        <v>508</v>
      </c>
      <c r="C29" s="738">
        <f t="shared" si="0"/>
        <v>744754325.93000007</v>
      </c>
      <c r="D29" s="727">
        <v>698380803.32000005</v>
      </c>
      <c r="E29" s="727">
        <v>40498838.990000002</v>
      </c>
      <c r="F29" s="737">
        <v>5874683.6200000001</v>
      </c>
      <c r="G29" s="737">
        <v>0</v>
      </c>
      <c r="H29" s="734">
        <f t="shared" si="1"/>
        <v>19721388.050000001</v>
      </c>
      <c r="I29" s="737">
        <v>6055311.0800000001</v>
      </c>
      <c r="J29" s="737">
        <v>8907897.9800000004</v>
      </c>
      <c r="K29" s="737">
        <v>4758178.99</v>
      </c>
      <c r="L29" s="737">
        <v>0</v>
      </c>
    </row>
    <row r="30" spans="1:12">
      <c r="A30" s="430">
        <v>24</v>
      </c>
      <c r="B30" s="443" t="s">
        <v>509</v>
      </c>
      <c r="C30" s="738">
        <f t="shared" si="0"/>
        <v>1130905530.05</v>
      </c>
      <c r="D30" s="727">
        <v>1065824786.08</v>
      </c>
      <c r="E30" s="727">
        <v>55777521.619999997</v>
      </c>
      <c r="F30" s="737">
        <v>9303222.3499999996</v>
      </c>
      <c r="G30" s="737">
        <v>0</v>
      </c>
      <c r="H30" s="734">
        <f t="shared" si="1"/>
        <v>28642424.640000001</v>
      </c>
      <c r="I30" s="737">
        <v>9408299.9399999995</v>
      </c>
      <c r="J30" s="737">
        <v>11900768.67</v>
      </c>
      <c r="K30" s="737">
        <v>7333356.0300000003</v>
      </c>
      <c r="L30" s="737">
        <v>0</v>
      </c>
    </row>
    <row r="31" spans="1:12">
      <c r="A31" s="430">
        <v>25</v>
      </c>
      <c r="B31" s="443" t="s">
        <v>510</v>
      </c>
      <c r="C31" s="738">
        <f t="shared" si="0"/>
        <v>349620263.63</v>
      </c>
      <c r="D31" s="727">
        <v>335583330.77999997</v>
      </c>
      <c r="E31" s="727">
        <v>11667435.57</v>
      </c>
      <c r="F31" s="737">
        <v>2367521.4300000002</v>
      </c>
      <c r="G31" s="737">
        <v>1975.85</v>
      </c>
      <c r="H31" s="734">
        <f t="shared" si="1"/>
        <v>7483576.1600000001</v>
      </c>
      <c r="I31" s="737">
        <v>2756405.91</v>
      </c>
      <c r="J31" s="737">
        <v>2828704.54</v>
      </c>
      <c r="K31" s="737">
        <v>1898441.89</v>
      </c>
      <c r="L31" s="737">
        <v>23.82</v>
      </c>
    </row>
    <row r="32" spans="1:12">
      <c r="A32" s="430">
        <v>26</v>
      </c>
      <c r="B32" s="443" t="s">
        <v>566</v>
      </c>
      <c r="C32" s="738">
        <f t="shared" si="0"/>
        <v>100589657.99000001</v>
      </c>
      <c r="D32" s="727">
        <v>95134977.730000004</v>
      </c>
      <c r="E32" s="727">
        <v>4498366.33</v>
      </c>
      <c r="F32" s="737">
        <v>956313.93</v>
      </c>
      <c r="G32" s="737">
        <v>0</v>
      </c>
      <c r="H32" s="734">
        <f t="shared" si="1"/>
        <v>2706707.43</v>
      </c>
      <c r="I32" s="737">
        <v>944207.33</v>
      </c>
      <c r="J32" s="737">
        <v>996210.56</v>
      </c>
      <c r="K32" s="737">
        <v>766289.54</v>
      </c>
      <c r="L32" s="737">
        <v>0</v>
      </c>
    </row>
    <row r="33" spans="1:12">
      <c r="A33" s="430">
        <v>27</v>
      </c>
      <c r="B33" s="487" t="s">
        <v>66</v>
      </c>
      <c r="C33" s="738">
        <f>SUM(C7:C32)</f>
        <v>3247049055.0900002</v>
      </c>
      <c r="D33" s="738">
        <f t="shared" ref="D33:G33" si="2">SUM(D7:D32)</f>
        <v>3074432501.5300002</v>
      </c>
      <c r="E33" s="738">
        <f t="shared" si="2"/>
        <v>146665091.65000001</v>
      </c>
      <c r="F33" s="738">
        <f t="shared" si="2"/>
        <v>25944502.789999999</v>
      </c>
      <c r="G33" s="738">
        <f t="shared" si="2"/>
        <v>6959.1200000000008</v>
      </c>
      <c r="H33" s="734">
        <f>SUM(H7:H32)</f>
        <v>75169539.500000015</v>
      </c>
      <c r="I33" s="734">
        <f t="shared" ref="I33:L33" si="3">SUM(I7:I32)</f>
        <v>24754633.27</v>
      </c>
      <c r="J33" s="734">
        <f t="shared" si="3"/>
        <v>30783414.579999998</v>
      </c>
      <c r="K33" s="734">
        <f t="shared" si="3"/>
        <v>19631216.25</v>
      </c>
      <c r="L33" s="734">
        <f t="shared" si="3"/>
        <v>275.40000000000003</v>
      </c>
    </row>
    <row r="35" spans="1:12">
      <c r="B35" s="486"/>
      <c r="C35" s="486"/>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topLeftCell="B4" zoomScale="80" zoomScaleNormal="80" workbookViewId="0">
      <selection activeCell="G13" sqref="G13"/>
    </sheetView>
  </sheetViews>
  <sheetFormatPr defaultColWidth="8.77734375" defaultRowHeight="12"/>
  <cols>
    <col min="1" max="1" width="9.5546875" style="326" customWidth="1"/>
    <col min="2" max="2" width="78" style="326" customWidth="1"/>
    <col min="3" max="11" width="18.77734375" style="326" customWidth="1"/>
    <col min="12" max="16384" width="8.77734375" style="326"/>
  </cols>
  <sheetData>
    <row r="1" spans="1:11" s="319" customFormat="1" ht="13.8">
      <c r="A1" s="318" t="s">
        <v>97</v>
      </c>
      <c r="B1" s="247" t="str">
        <f>Info!C2</f>
        <v>სს "კრედო ბანკი"</v>
      </c>
      <c r="C1" s="440"/>
      <c r="D1" s="440"/>
      <c r="E1" s="440"/>
      <c r="F1" s="440"/>
      <c r="G1" s="440"/>
      <c r="H1" s="440"/>
      <c r="I1" s="440"/>
      <c r="J1" s="440"/>
      <c r="K1" s="440"/>
    </row>
    <row r="2" spans="1:11" s="319" customFormat="1">
      <c r="A2" s="318" t="s">
        <v>98</v>
      </c>
      <c r="B2" s="321">
        <f>'1. key ratios'!B2</f>
        <v>46112</v>
      </c>
      <c r="C2" s="440"/>
      <c r="D2" s="440"/>
      <c r="E2" s="440"/>
      <c r="F2" s="440"/>
      <c r="G2" s="440"/>
      <c r="H2" s="440"/>
      <c r="I2" s="440"/>
      <c r="J2" s="440"/>
      <c r="K2" s="440"/>
    </row>
    <row r="3" spans="1:11" s="319" customFormat="1">
      <c r="A3" s="320" t="s">
        <v>567</v>
      </c>
      <c r="B3" s="440"/>
      <c r="C3" s="440"/>
      <c r="D3" s="440"/>
      <c r="E3" s="440"/>
      <c r="F3" s="440"/>
      <c r="G3" s="440"/>
      <c r="H3" s="440"/>
      <c r="I3" s="440"/>
      <c r="J3" s="440"/>
      <c r="K3" s="440"/>
    </row>
    <row r="4" spans="1:11">
      <c r="A4" s="491"/>
      <c r="B4" s="491"/>
      <c r="C4" s="490" t="s">
        <v>471</v>
      </c>
      <c r="D4" s="490" t="s">
        <v>472</v>
      </c>
      <c r="E4" s="490" t="s">
        <v>473</v>
      </c>
      <c r="F4" s="490" t="s">
        <v>474</v>
      </c>
      <c r="G4" s="490" t="s">
        <v>475</v>
      </c>
      <c r="H4" s="490" t="s">
        <v>476</v>
      </c>
      <c r="I4" s="490" t="s">
        <v>477</v>
      </c>
      <c r="J4" s="490" t="s">
        <v>478</v>
      </c>
      <c r="K4" s="490" t="s">
        <v>479</v>
      </c>
    </row>
    <row r="5" spans="1:11" ht="103.95" customHeight="1">
      <c r="A5" s="887" t="s">
        <v>874</v>
      </c>
      <c r="B5" s="888"/>
      <c r="C5" s="489" t="s">
        <v>568</v>
      </c>
      <c r="D5" s="489" t="s">
        <v>561</v>
      </c>
      <c r="E5" s="489" t="s">
        <v>562</v>
      </c>
      <c r="F5" s="489" t="s">
        <v>873</v>
      </c>
      <c r="G5" s="489" t="s">
        <v>569</v>
      </c>
      <c r="H5" s="489" t="s">
        <v>570</v>
      </c>
      <c r="I5" s="489" t="s">
        <v>571</v>
      </c>
      <c r="J5" s="489" t="s">
        <v>572</v>
      </c>
      <c r="K5" s="489" t="s">
        <v>573</v>
      </c>
    </row>
    <row r="6" spans="1:11">
      <c r="A6" s="430">
        <v>1</v>
      </c>
      <c r="B6" s="430" t="s">
        <v>574</v>
      </c>
      <c r="C6" s="727">
        <v>2638596.2023253227</v>
      </c>
      <c r="D6" s="727">
        <v>36103.41468864966</v>
      </c>
      <c r="E6" s="727"/>
      <c r="F6" s="727"/>
      <c r="G6" s="727">
        <v>1192538947.9541101</v>
      </c>
      <c r="H6" s="727"/>
      <c r="I6" s="727">
        <v>145090343.07887176</v>
      </c>
      <c r="J6" s="727">
        <v>335749486.82821912</v>
      </c>
      <c r="K6" s="727">
        <v>1570995577.6353247</v>
      </c>
    </row>
    <row r="7" spans="1:11">
      <c r="A7" s="430">
        <v>2</v>
      </c>
      <c r="B7" s="430" t="s">
        <v>575</v>
      </c>
      <c r="C7" s="727"/>
      <c r="D7" s="727"/>
      <c r="E7" s="727"/>
      <c r="F7" s="727"/>
      <c r="G7" s="727"/>
      <c r="H7" s="727"/>
      <c r="I7" s="727"/>
      <c r="J7" s="727"/>
      <c r="K7" s="727"/>
    </row>
    <row r="8" spans="1:11">
      <c r="A8" s="430">
        <v>3</v>
      </c>
      <c r="B8" s="430" t="s">
        <v>539</v>
      </c>
      <c r="C8" s="727">
        <v>0</v>
      </c>
      <c r="D8" s="727">
        <v>0</v>
      </c>
      <c r="E8" s="727"/>
      <c r="F8" s="727"/>
      <c r="G8" s="727">
        <v>26856546.657137744</v>
      </c>
      <c r="H8" s="727"/>
      <c r="I8" s="727">
        <v>355426.3758122779</v>
      </c>
      <c r="J8" s="727">
        <v>9129237.6347604133</v>
      </c>
      <c r="K8" s="727">
        <v>432252400.17228955</v>
      </c>
    </row>
    <row r="9" spans="1:11">
      <c r="A9" s="430">
        <v>4</v>
      </c>
      <c r="B9" s="447" t="s">
        <v>872</v>
      </c>
      <c r="C9" s="739">
        <v>0</v>
      </c>
      <c r="D9" s="739">
        <v>0</v>
      </c>
      <c r="E9" s="739"/>
      <c r="F9" s="739"/>
      <c r="G9" s="739">
        <v>5100469.3061657343</v>
      </c>
      <c r="H9" s="739"/>
      <c r="I9" s="739">
        <v>1723466.8974342337</v>
      </c>
      <c r="J9" s="739">
        <v>2225666.4755324097</v>
      </c>
      <c r="K9" s="739">
        <v>16901859.241382949</v>
      </c>
    </row>
    <row r="10" spans="1:11">
      <c r="A10" s="430">
        <v>5</v>
      </c>
      <c r="B10" s="447" t="s">
        <v>871</v>
      </c>
      <c r="C10" s="739"/>
      <c r="D10" s="739"/>
      <c r="E10" s="739"/>
      <c r="F10" s="739"/>
      <c r="G10" s="739"/>
      <c r="H10" s="739"/>
      <c r="I10" s="739"/>
      <c r="J10" s="739"/>
      <c r="K10" s="739"/>
    </row>
    <row r="11" spans="1:11">
      <c r="A11" s="430">
        <v>6</v>
      </c>
      <c r="B11" s="447" t="s">
        <v>870</v>
      </c>
      <c r="C11" s="739"/>
      <c r="D11" s="739"/>
      <c r="E11" s="739"/>
      <c r="F11" s="739"/>
      <c r="G11" s="739"/>
      <c r="H11" s="739"/>
      <c r="I11" s="739"/>
      <c r="J11" s="739"/>
      <c r="K11" s="739"/>
    </row>
    <row r="13" spans="1:11" ht="13.8">
      <c r="B13" s="488"/>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V21"/>
  <sheetViews>
    <sheetView showGridLines="0" zoomScale="80" zoomScaleNormal="80" workbookViewId="0">
      <selection activeCell="A11" sqref="A11:XFD11"/>
    </sheetView>
  </sheetViews>
  <sheetFormatPr defaultColWidth="8.77734375" defaultRowHeight="14.4"/>
  <cols>
    <col min="1" max="1" width="10" style="492" bestFit="1" customWidth="1"/>
    <col min="2" max="2" width="71.77734375" style="492" customWidth="1"/>
    <col min="3" max="3" width="13.88671875" style="492" bestFit="1" customWidth="1"/>
    <col min="4" max="5" width="15.33203125" style="492" bestFit="1" customWidth="1"/>
    <col min="6" max="6" width="20.109375" style="492" bestFit="1" customWidth="1"/>
    <col min="7" max="7" width="37.77734375" style="492" bestFit="1" customWidth="1"/>
    <col min="8" max="8" width="11.6640625" style="492" bestFit="1" customWidth="1"/>
    <col min="9" max="10" width="15.33203125" style="492" bestFit="1" customWidth="1"/>
    <col min="11" max="11" width="20.109375" style="492" bestFit="1" customWidth="1"/>
    <col min="12" max="12" width="37.77734375" style="492" bestFit="1" customWidth="1"/>
    <col min="13" max="13" width="10.77734375" style="492" bestFit="1" customWidth="1"/>
    <col min="14" max="15" width="15.33203125" style="492" bestFit="1" customWidth="1"/>
    <col min="16" max="16" width="20.109375" style="492" bestFit="1" customWidth="1"/>
    <col min="17" max="17" width="37.77734375" style="492" bestFit="1" customWidth="1"/>
    <col min="18" max="18" width="18" style="492" bestFit="1" customWidth="1"/>
    <col min="19" max="19" width="48" style="492" bestFit="1" customWidth="1"/>
    <col min="20" max="20" width="45.77734375" style="492" bestFit="1" customWidth="1"/>
    <col min="21" max="21" width="48" style="492" bestFit="1" customWidth="1"/>
    <col min="22" max="22" width="44.33203125" style="492" bestFit="1" customWidth="1"/>
    <col min="23" max="16384" width="8.77734375" style="492"/>
  </cols>
  <sheetData>
    <row r="1" spans="1:22">
      <c r="A1" s="318" t="s">
        <v>97</v>
      </c>
      <c r="B1" s="247" t="str">
        <f>Info!C2</f>
        <v>სს "კრედო ბანკი"</v>
      </c>
    </row>
    <row r="2" spans="1:22">
      <c r="A2" s="318" t="s">
        <v>98</v>
      </c>
      <c r="B2" s="321">
        <f>'1. key ratios'!B2</f>
        <v>46112</v>
      </c>
    </row>
    <row r="3" spans="1:22">
      <c r="A3" s="320" t="s">
        <v>657</v>
      </c>
      <c r="B3" s="440"/>
    </row>
    <row r="4" spans="1:22">
      <c r="A4" s="320"/>
      <c r="B4" s="440"/>
    </row>
    <row r="5" spans="1:22" ht="24" customHeight="1">
      <c r="A5" s="889" t="s">
        <v>684</v>
      </c>
      <c r="B5" s="889"/>
      <c r="C5" s="891" t="s">
        <v>876</v>
      </c>
      <c r="D5" s="891"/>
      <c r="E5" s="891"/>
      <c r="F5" s="891"/>
      <c r="G5" s="891"/>
      <c r="H5" s="891" t="s">
        <v>565</v>
      </c>
      <c r="I5" s="891"/>
      <c r="J5" s="891"/>
      <c r="K5" s="891"/>
      <c r="L5" s="891"/>
      <c r="M5" s="891" t="s">
        <v>875</v>
      </c>
      <c r="N5" s="891"/>
      <c r="O5" s="891"/>
      <c r="P5" s="891"/>
      <c r="Q5" s="891"/>
      <c r="R5" s="890" t="s">
        <v>683</v>
      </c>
      <c r="S5" s="890" t="s">
        <v>687</v>
      </c>
      <c r="T5" s="890" t="s">
        <v>686</v>
      </c>
      <c r="U5" s="890" t="s">
        <v>914</v>
      </c>
      <c r="V5" s="890" t="s">
        <v>915</v>
      </c>
    </row>
    <row r="6" spans="1:22" ht="36" customHeight="1">
      <c r="A6" s="889"/>
      <c r="B6" s="889"/>
      <c r="C6" s="501"/>
      <c r="D6" s="438" t="s">
        <v>860</v>
      </c>
      <c r="E6" s="438" t="s">
        <v>859</v>
      </c>
      <c r="F6" s="438" t="s">
        <v>858</v>
      </c>
      <c r="G6" s="438" t="s">
        <v>857</v>
      </c>
      <c r="H6" s="501"/>
      <c r="I6" s="438" t="s">
        <v>860</v>
      </c>
      <c r="J6" s="438" t="s">
        <v>859</v>
      </c>
      <c r="K6" s="438" t="s">
        <v>858</v>
      </c>
      <c r="L6" s="438" t="s">
        <v>857</v>
      </c>
      <c r="M6" s="501"/>
      <c r="N6" s="438" t="s">
        <v>860</v>
      </c>
      <c r="O6" s="438" t="s">
        <v>859</v>
      </c>
      <c r="P6" s="438" t="s">
        <v>858</v>
      </c>
      <c r="Q6" s="438" t="s">
        <v>857</v>
      </c>
      <c r="R6" s="890"/>
      <c r="S6" s="890"/>
      <c r="T6" s="890"/>
      <c r="U6" s="890"/>
      <c r="V6" s="890"/>
    </row>
    <row r="7" spans="1:22">
      <c r="A7" s="496">
        <v>1</v>
      </c>
      <c r="B7" s="500" t="s">
        <v>658</v>
      </c>
      <c r="C7" s="755">
        <f>SUM(D7:G7)</f>
        <v>24881524.692900009</v>
      </c>
      <c r="D7" s="739">
        <v>23552907.542900011</v>
      </c>
      <c r="E7" s="739">
        <v>877987.13000000012</v>
      </c>
      <c r="F7" s="739">
        <v>450630.02</v>
      </c>
      <c r="G7" s="739">
        <v>0</v>
      </c>
      <c r="H7" s="755">
        <f>SUM(I7:L7)</f>
        <v>25233619.421256993</v>
      </c>
      <c r="I7" s="739">
        <v>23743400.16830387</v>
      </c>
      <c r="J7" s="739">
        <v>942318.04221196135</v>
      </c>
      <c r="K7" s="739">
        <v>547901.21074116277</v>
      </c>
      <c r="L7" s="739">
        <v>0</v>
      </c>
      <c r="M7" s="755">
        <f>SUM(N7:Q7)</f>
        <v>986113.995887717</v>
      </c>
      <c r="N7" s="739">
        <v>266063.61401572131</v>
      </c>
      <c r="O7" s="739">
        <v>308218.645458785</v>
      </c>
      <c r="P7" s="739">
        <v>411831.73641321069</v>
      </c>
      <c r="Q7" s="739">
        <v>0</v>
      </c>
      <c r="R7" s="739">
        <v>30202</v>
      </c>
      <c r="S7" s="760">
        <v>0.18909999999999999</v>
      </c>
      <c r="T7" s="760">
        <v>0.28421299999999999</v>
      </c>
      <c r="U7" s="760">
        <v>0.22</v>
      </c>
      <c r="V7" s="756">
        <v>33.363300000000002</v>
      </c>
    </row>
    <row r="8" spans="1:22">
      <c r="A8" s="496">
        <v>2</v>
      </c>
      <c r="B8" s="499" t="s">
        <v>659</v>
      </c>
      <c r="C8" s="755">
        <f t="shared" ref="C8:C18" si="0">SUM(D8:G8)</f>
        <v>1252296439.0243926</v>
      </c>
      <c r="D8" s="739">
        <v>1144956541.7328925</v>
      </c>
      <c r="E8" s="739">
        <v>99338745.751500025</v>
      </c>
      <c r="F8" s="739">
        <v>8001151.5399999944</v>
      </c>
      <c r="G8" s="739">
        <v>0</v>
      </c>
      <c r="H8" s="755">
        <f t="shared" ref="H8:H18" si="1">SUM(I8:L8)</f>
        <v>1248081014.5663278</v>
      </c>
      <c r="I8" s="739">
        <v>1142137217.5017972</v>
      </c>
      <c r="J8" s="739">
        <v>96115583.669002682</v>
      </c>
      <c r="K8" s="739">
        <v>9828213.3955278117</v>
      </c>
      <c r="L8" s="739">
        <v>0</v>
      </c>
      <c r="M8" s="755">
        <f t="shared" ref="M8:M18" si="2">SUM(N8:Q8)</f>
        <v>38687451.143372722</v>
      </c>
      <c r="N8" s="739">
        <v>11061253.737967687</v>
      </c>
      <c r="O8" s="739">
        <v>19652585.064788874</v>
      </c>
      <c r="P8" s="739">
        <v>7973612.3406161591</v>
      </c>
      <c r="Q8" s="739">
        <v>0</v>
      </c>
      <c r="R8" s="739">
        <v>163656</v>
      </c>
      <c r="S8" s="760">
        <v>0.24279999999999999</v>
      </c>
      <c r="T8" s="760">
        <v>0.30361199999999999</v>
      </c>
      <c r="U8" s="760">
        <v>0.21</v>
      </c>
      <c r="V8" s="756">
        <v>43.1858</v>
      </c>
    </row>
    <row r="9" spans="1:22">
      <c r="A9" s="496">
        <v>3</v>
      </c>
      <c r="B9" s="499" t="s">
        <v>660</v>
      </c>
      <c r="C9" s="755">
        <f t="shared" si="0"/>
        <v>0</v>
      </c>
      <c r="D9" s="739">
        <v>0</v>
      </c>
      <c r="E9" s="739">
        <v>0</v>
      </c>
      <c r="F9" s="739">
        <v>0</v>
      </c>
      <c r="G9" s="739">
        <v>0</v>
      </c>
      <c r="H9" s="755">
        <f t="shared" si="1"/>
        <v>0</v>
      </c>
      <c r="I9" s="739">
        <v>0</v>
      </c>
      <c r="J9" s="739">
        <v>0</v>
      </c>
      <c r="K9" s="739">
        <v>0</v>
      </c>
      <c r="L9" s="739">
        <v>0</v>
      </c>
      <c r="M9" s="755">
        <f t="shared" si="2"/>
        <v>0</v>
      </c>
      <c r="N9" s="739">
        <v>0</v>
      </c>
      <c r="O9" s="739">
        <v>0</v>
      </c>
      <c r="P9" s="739">
        <v>0</v>
      </c>
      <c r="Q9" s="739">
        <v>0</v>
      </c>
      <c r="R9" s="739">
        <v>0</v>
      </c>
      <c r="S9" s="760">
        <v>0</v>
      </c>
      <c r="T9" s="760">
        <v>0</v>
      </c>
      <c r="U9" s="760">
        <v>0</v>
      </c>
      <c r="V9" s="756">
        <v>0</v>
      </c>
    </row>
    <row r="10" spans="1:22">
      <c r="A10" s="496">
        <v>4</v>
      </c>
      <c r="B10" s="499" t="s">
        <v>661</v>
      </c>
      <c r="C10" s="755">
        <f t="shared" si="0"/>
        <v>282287103.20000148</v>
      </c>
      <c r="D10" s="739">
        <v>272026208.46000147</v>
      </c>
      <c r="E10" s="739">
        <v>7694518.7500000214</v>
      </c>
      <c r="F10" s="739">
        <v>2566375.9900000002</v>
      </c>
      <c r="G10" s="739">
        <v>0</v>
      </c>
      <c r="H10" s="755">
        <f t="shared" si="1"/>
        <v>311994078.91646987</v>
      </c>
      <c r="I10" s="739">
        <v>298173307.28071702</v>
      </c>
      <c r="J10" s="739">
        <v>9605052.4465813469</v>
      </c>
      <c r="K10" s="739">
        <v>4215719.1891714726</v>
      </c>
      <c r="L10" s="739">
        <v>0</v>
      </c>
      <c r="M10" s="755">
        <f t="shared" si="2"/>
        <v>10485359.998416113</v>
      </c>
      <c r="N10" s="739">
        <v>4269738.0631939601</v>
      </c>
      <c r="O10" s="739">
        <v>2815162.6217095973</v>
      </c>
      <c r="P10" s="739">
        <v>3400459.3135125549</v>
      </c>
      <c r="Q10" s="739">
        <v>0</v>
      </c>
      <c r="R10" s="739">
        <v>317785</v>
      </c>
      <c r="S10" s="760">
        <v>0.1074</v>
      </c>
      <c r="T10" s="760">
        <v>0.21438099999999999</v>
      </c>
      <c r="U10" s="760">
        <v>0.17</v>
      </c>
      <c r="V10" s="756">
        <v>19.235800000000001</v>
      </c>
    </row>
    <row r="11" spans="1:22">
      <c r="A11" s="496">
        <v>5</v>
      </c>
      <c r="B11" s="499" t="s">
        <v>662</v>
      </c>
      <c r="C11" s="755">
        <f t="shared" si="0"/>
        <v>2835621.2409999999</v>
      </c>
      <c r="D11" s="739">
        <v>2835621.2409999999</v>
      </c>
      <c r="E11" s="739">
        <v>0</v>
      </c>
      <c r="F11" s="739">
        <v>0</v>
      </c>
      <c r="G11" s="739">
        <v>0</v>
      </c>
      <c r="H11" s="755">
        <f t="shared" si="1"/>
        <v>2888561.5508307284</v>
      </c>
      <c r="I11" s="739">
        <v>2888561.5508307284</v>
      </c>
      <c r="J11" s="739">
        <v>0</v>
      </c>
      <c r="K11" s="739">
        <v>0</v>
      </c>
      <c r="L11" s="739">
        <v>0</v>
      </c>
      <c r="M11" s="755">
        <f t="shared" si="2"/>
        <v>6790.3724647409445</v>
      </c>
      <c r="N11" s="739">
        <v>6790.3724647409445</v>
      </c>
      <c r="O11" s="739">
        <v>0</v>
      </c>
      <c r="P11" s="739">
        <v>0</v>
      </c>
      <c r="Q11" s="739">
        <v>0</v>
      </c>
      <c r="R11" s="739">
        <v>14</v>
      </c>
      <c r="S11" s="760">
        <v>0.1343</v>
      </c>
      <c r="T11" s="760">
        <v>0.162273</v>
      </c>
      <c r="U11" s="760">
        <v>0.12</v>
      </c>
      <c r="V11" s="756">
        <v>8.4209999999999994</v>
      </c>
    </row>
    <row r="12" spans="1:22">
      <c r="A12" s="496">
        <v>6</v>
      </c>
      <c r="B12" s="499" t="s">
        <v>663</v>
      </c>
      <c r="C12" s="755">
        <f t="shared" si="0"/>
        <v>98716924.459996954</v>
      </c>
      <c r="D12" s="739">
        <v>94468974.089996949</v>
      </c>
      <c r="E12" s="739">
        <v>2743128.9400000055</v>
      </c>
      <c r="F12" s="739">
        <v>1504821.4299999992</v>
      </c>
      <c r="G12" s="739">
        <v>0</v>
      </c>
      <c r="H12" s="755">
        <f t="shared" si="1"/>
        <v>98893802.493698105</v>
      </c>
      <c r="I12" s="739">
        <v>94631502.131995603</v>
      </c>
      <c r="J12" s="739">
        <v>2754334.9621389178</v>
      </c>
      <c r="K12" s="739">
        <v>1507965.3995635775</v>
      </c>
      <c r="L12" s="739">
        <v>0</v>
      </c>
      <c r="M12" s="755">
        <f t="shared" si="2"/>
        <v>3685369.7027270151</v>
      </c>
      <c r="N12" s="739">
        <v>1418129.1202514842</v>
      </c>
      <c r="O12" s="739">
        <v>1050894.1520558046</v>
      </c>
      <c r="P12" s="739">
        <v>1216346.4304197265</v>
      </c>
      <c r="Q12" s="739">
        <v>0</v>
      </c>
      <c r="R12" s="739">
        <v>140849</v>
      </c>
      <c r="S12" s="760">
        <v>0.33950000000000002</v>
      </c>
      <c r="T12" s="760">
        <v>0.40862199999999999</v>
      </c>
      <c r="U12" s="760">
        <v>0.34</v>
      </c>
      <c r="V12" s="756">
        <v>319.80860000000001</v>
      </c>
    </row>
    <row r="13" spans="1:22">
      <c r="A13" s="496">
        <v>7</v>
      </c>
      <c r="B13" s="499" t="s">
        <v>664</v>
      </c>
      <c r="C13" s="755">
        <f t="shared" si="0"/>
        <v>371105343.13349974</v>
      </c>
      <c r="D13" s="755">
        <f>SUM(D14:D16)</f>
        <v>367203073.69349974</v>
      </c>
      <c r="E13" s="755">
        <f t="shared" ref="E13:G13" si="3">SUM(E14:E16)</f>
        <v>3610558.2499999991</v>
      </c>
      <c r="F13" s="755">
        <f t="shared" si="3"/>
        <v>287554.23999999987</v>
      </c>
      <c r="G13" s="755">
        <f t="shared" si="3"/>
        <v>4156.95</v>
      </c>
      <c r="H13" s="755">
        <f t="shared" si="1"/>
        <v>375932442.36198902</v>
      </c>
      <c r="I13" s="755">
        <f>SUM(I14:I16)</f>
        <v>371845411.78012633</v>
      </c>
      <c r="J13" s="755">
        <f t="shared" ref="J13:L13" si="4">SUM(J14:J16)</f>
        <v>3732556.7601734572</v>
      </c>
      <c r="K13" s="755">
        <f t="shared" si="4"/>
        <v>350303.69425964874</v>
      </c>
      <c r="L13" s="755">
        <f t="shared" si="4"/>
        <v>4170.1274296226002</v>
      </c>
      <c r="M13" s="755">
        <f t="shared" si="2"/>
        <v>2460762.9007470123</v>
      </c>
      <c r="N13" s="755">
        <f>SUM(N14:N16)</f>
        <v>1383722.4185838506</v>
      </c>
      <c r="O13" s="755">
        <f t="shared" ref="O13:Q13" si="5">SUM(O14:O16)</f>
        <v>793997.07115303713</v>
      </c>
      <c r="P13" s="755">
        <f t="shared" si="5"/>
        <v>282993.14526794467</v>
      </c>
      <c r="Q13" s="755">
        <f t="shared" si="5"/>
        <v>50.265742179796298</v>
      </c>
      <c r="R13" s="755">
        <v>9143</v>
      </c>
      <c r="S13" s="760">
        <v>0.14910000000000001</v>
      </c>
      <c r="T13" s="760">
        <v>0.17948500000000001</v>
      </c>
      <c r="U13" s="760">
        <v>0.14330000000000001</v>
      </c>
      <c r="V13" s="756">
        <v>108.0129</v>
      </c>
    </row>
    <row r="14" spans="1:22">
      <c r="A14" s="494">
        <v>7.1</v>
      </c>
      <c r="B14" s="493" t="s">
        <v>665</v>
      </c>
      <c r="C14" s="755">
        <f t="shared" si="0"/>
        <v>296933738.17799968</v>
      </c>
      <c r="D14" s="739">
        <v>295932479.48799968</v>
      </c>
      <c r="E14" s="739">
        <v>970826.64999999979</v>
      </c>
      <c r="F14" s="739">
        <v>30432.04</v>
      </c>
      <c r="G14" s="739">
        <v>0</v>
      </c>
      <c r="H14" s="755">
        <f t="shared" si="1"/>
        <v>301658739.96909511</v>
      </c>
      <c r="I14" s="739">
        <v>300629226.68763006</v>
      </c>
      <c r="J14" s="739">
        <v>999190.48519439856</v>
      </c>
      <c r="K14" s="739">
        <v>30322.796270656701</v>
      </c>
      <c r="L14" s="739">
        <v>0</v>
      </c>
      <c r="M14" s="755">
        <f t="shared" si="2"/>
        <v>1129303.89955741</v>
      </c>
      <c r="N14" s="739">
        <v>893786.46567251207</v>
      </c>
      <c r="O14" s="739">
        <v>219402.20196568416</v>
      </c>
      <c r="P14" s="739">
        <v>16115.2319192138</v>
      </c>
      <c r="Q14" s="739">
        <v>0</v>
      </c>
      <c r="R14" s="739">
        <v>3036</v>
      </c>
      <c r="S14" s="760">
        <v>0.14169999999999999</v>
      </c>
      <c r="T14" s="760">
        <v>0.168825</v>
      </c>
      <c r="U14" s="760">
        <v>0.13</v>
      </c>
      <c r="V14" s="756">
        <v>119.7989</v>
      </c>
    </row>
    <row r="15" spans="1:22" ht="24">
      <c r="A15" s="494">
        <v>7.2</v>
      </c>
      <c r="B15" s="493" t="s">
        <v>666</v>
      </c>
      <c r="C15" s="755">
        <f t="shared" si="0"/>
        <v>3882663.597800001</v>
      </c>
      <c r="D15" s="739">
        <v>3809269.7278000009</v>
      </c>
      <c r="E15" s="739">
        <v>73393.87</v>
      </c>
      <c r="F15" s="739">
        <v>0</v>
      </c>
      <c r="G15" s="739">
        <v>0</v>
      </c>
      <c r="H15" s="755">
        <f t="shared" si="1"/>
        <v>3905244.5039319471</v>
      </c>
      <c r="I15" s="739">
        <v>3835163.9069801932</v>
      </c>
      <c r="J15" s="739">
        <v>70080.596951753891</v>
      </c>
      <c r="K15" s="739">
        <v>0</v>
      </c>
      <c r="L15" s="739">
        <v>0</v>
      </c>
      <c r="M15" s="755">
        <f t="shared" si="2"/>
        <v>24903.690392716337</v>
      </c>
      <c r="N15" s="739">
        <v>8957.5336300920608</v>
      </c>
      <c r="O15" s="739">
        <v>15946.156762624278</v>
      </c>
      <c r="P15" s="739">
        <v>0</v>
      </c>
      <c r="Q15" s="739">
        <v>0</v>
      </c>
      <c r="R15" s="739">
        <v>55</v>
      </c>
      <c r="S15" s="760">
        <v>0.13900000000000001</v>
      </c>
      <c r="T15" s="760">
        <v>0.165717</v>
      </c>
      <c r="U15" s="760">
        <v>0.12</v>
      </c>
      <c r="V15" s="756">
        <v>91.730400000000003</v>
      </c>
    </row>
    <row r="16" spans="1:22">
      <c r="A16" s="494">
        <v>7.3</v>
      </c>
      <c r="B16" s="493" t="s">
        <v>667</v>
      </c>
      <c r="C16" s="755">
        <f t="shared" si="0"/>
        <v>70288941.357700065</v>
      </c>
      <c r="D16" s="739">
        <v>67461324.477700055</v>
      </c>
      <c r="E16" s="739">
        <v>2566337.7299999995</v>
      </c>
      <c r="F16" s="739">
        <v>257122.1999999999</v>
      </c>
      <c r="G16" s="739">
        <v>4156.95</v>
      </c>
      <c r="H16" s="755">
        <f t="shared" si="1"/>
        <v>70368457.888961941</v>
      </c>
      <c r="I16" s="739">
        <v>67381021.18551603</v>
      </c>
      <c r="J16" s="739">
        <v>2663285.6780273048</v>
      </c>
      <c r="K16" s="739">
        <v>319980.89798899204</v>
      </c>
      <c r="L16" s="739">
        <v>4170.1274296226002</v>
      </c>
      <c r="M16" s="755">
        <f t="shared" si="2"/>
        <v>1306555.3107968858</v>
      </c>
      <c r="N16" s="739">
        <v>480978.41928124643</v>
      </c>
      <c r="O16" s="739">
        <v>558648.71242472867</v>
      </c>
      <c r="P16" s="739">
        <v>266877.91334873089</v>
      </c>
      <c r="Q16" s="739">
        <v>50.265742179796298</v>
      </c>
      <c r="R16" s="739">
        <v>6052</v>
      </c>
      <c r="S16" s="760">
        <v>0.19620000000000001</v>
      </c>
      <c r="T16" s="760">
        <v>0.247418</v>
      </c>
      <c r="U16" s="760">
        <v>0.18</v>
      </c>
      <c r="V16" s="756">
        <v>59.122700000000002</v>
      </c>
    </row>
    <row r="17" spans="1:22">
      <c r="A17" s="496">
        <v>8</v>
      </c>
      <c r="B17" s="499" t="s">
        <v>668</v>
      </c>
      <c r="C17" s="755">
        <f t="shared" si="0"/>
        <v>0</v>
      </c>
      <c r="D17" s="739">
        <v>0</v>
      </c>
      <c r="E17" s="739">
        <v>0</v>
      </c>
      <c r="F17" s="739">
        <v>0</v>
      </c>
      <c r="G17" s="739">
        <v>0</v>
      </c>
      <c r="H17" s="755">
        <f t="shared" si="1"/>
        <v>0</v>
      </c>
      <c r="I17" s="739">
        <v>0</v>
      </c>
      <c r="J17" s="739">
        <v>0</v>
      </c>
      <c r="K17" s="739">
        <v>0</v>
      </c>
      <c r="L17" s="739">
        <v>0</v>
      </c>
      <c r="M17" s="755">
        <f t="shared" si="2"/>
        <v>0</v>
      </c>
      <c r="N17" s="739">
        <v>0</v>
      </c>
      <c r="O17" s="739">
        <v>0</v>
      </c>
      <c r="P17" s="739">
        <v>0</v>
      </c>
      <c r="Q17" s="739">
        <v>0</v>
      </c>
      <c r="R17" s="739">
        <v>0</v>
      </c>
      <c r="S17" s="760">
        <v>0</v>
      </c>
      <c r="T17" s="760">
        <v>0</v>
      </c>
      <c r="U17" s="760">
        <v>0</v>
      </c>
      <c r="V17" s="756">
        <v>0</v>
      </c>
    </row>
    <row r="18" spans="1:22">
      <c r="A18" s="498">
        <v>9</v>
      </c>
      <c r="B18" s="497" t="s">
        <v>669</v>
      </c>
      <c r="C18" s="755">
        <f t="shared" si="0"/>
        <v>7400293.3676999994</v>
      </c>
      <c r="D18" s="758">
        <v>7284626.0276999995</v>
      </c>
      <c r="E18" s="758">
        <v>79249.320000000007</v>
      </c>
      <c r="F18" s="758">
        <v>36418.020000000004</v>
      </c>
      <c r="G18" s="758">
        <v>0</v>
      </c>
      <c r="H18" s="755">
        <f t="shared" si="1"/>
        <v>8019349.4601702914</v>
      </c>
      <c r="I18" s="758">
        <v>7885881.5406076983</v>
      </c>
      <c r="J18" s="758">
        <v>87461.315629849938</v>
      </c>
      <c r="K18" s="758">
        <v>46006.603932743223</v>
      </c>
      <c r="L18" s="758">
        <v>0</v>
      </c>
      <c r="M18" s="755">
        <f t="shared" si="2"/>
        <v>165085.28794441442</v>
      </c>
      <c r="N18" s="758">
        <v>99727.043515264566</v>
      </c>
      <c r="O18" s="758">
        <v>27930.342433524918</v>
      </c>
      <c r="P18" s="758">
        <v>37427.901995624954</v>
      </c>
      <c r="Q18" s="758">
        <v>0</v>
      </c>
      <c r="R18" s="758">
        <v>2432</v>
      </c>
      <c r="S18" s="760">
        <v>4.8099999999999997E-2</v>
      </c>
      <c r="T18" s="760">
        <v>5.8520000000000003E-2</v>
      </c>
      <c r="U18" s="760">
        <v>0.04</v>
      </c>
      <c r="V18" s="757">
        <v>40.9664</v>
      </c>
    </row>
    <row r="19" spans="1:22">
      <c r="A19" s="496">
        <v>10</v>
      </c>
      <c r="B19" s="495" t="s">
        <v>685</v>
      </c>
      <c r="C19" s="755">
        <f>SUM(C7:C13)+C17+C18</f>
        <v>2039523249.1194906</v>
      </c>
      <c r="D19" s="755">
        <f t="shared" ref="D19:G19" si="6">SUM(D7:D13)+D17+D18</f>
        <v>1912327952.7879908</v>
      </c>
      <c r="E19" s="755">
        <f t="shared" si="6"/>
        <v>114344188.14150004</v>
      </c>
      <c r="F19" s="755">
        <f t="shared" si="6"/>
        <v>12846951.239999995</v>
      </c>
      <c r="G19" s="755">
        <f t="shared" si="6"/>
        <v>4156.95</v>
      </c>
      <c r="H19" s="755">
        <f>SUM(H7:H13)+H17+H18</f>
        <v>2071042868.7707429</v>
      </c>
      <c r="I19" s="755">
        <f t="shared" ref="I19:L19" si="7">SUM(I7:I13)+I17+I18</f>
        <v>1941305281.9543786</v>
      </c>
      <c r="J19" s="755">
        <f t="shared" si="7"/>
        <v>113237307.19573823</v>
      </c>
      <c r="K19" s="755">
        <f t="shared" si="7"/>
        <v>16496109.493196417</v>
      </c>
      <c r="L19" s="755">
        <f t="shared" si="7"/>
        <v>4170.1274296226002</v>
      </c>
      <c r="M19" s="755">
        <f>SUM(M7:M13)+M17+M18</f>
        <v>56476933.401559733</v>
      </c>
      <c r="N19" s="755">
        <f t="shared" ref="N19:Q19" si="8">SUM(N7:N13)+N17+N18</f>
        <v>18505424.369992707</v>
      </c>
      <c r="O19" s="755">
        <f t="shared" si="8"/>
        <v>24648787.897599619</v>
      </c>
      <c r="P19" s="755">
        <f t="shared" si="8"/>
        <v>13322670.868225221</v>
      </c>
      <c r="Q19" s="755">
        <f t="shared" si="8"/>
        <v>50.265742179796298</v>
      </c>
      <c r="R19" s="755">
        <v>664081</v>
      </c>
      <c r="S19" s="760">
        <v>0.2</v>
      </c>
      <c r="T19" s="760">
        <v>0.27</v>
      </c>
      <c r="U19" s="760">
        <v>0.19969999999999999</v>
      </c>
      <c r="V19" s="756">
        <v>64.879499999999993</v>
      </c>
    </row>
    <row r="20" spans="1:22" ht="24">
      <c r="A20" s="494">
        <v>10.1</v>
      </c>
      <c r="B20" s="493" t="s">
        <v>688</v>
      </c>
      <c r="C20" s="755">
        <f>SUM(D20:G20)</f>
        <v>3718030.8902999996</v>
      </c>
      <c r="D20" s="739">
        <v>3495158.1602999996</v>
      </c>
      <c r="E20" s="739">
        <v>191850.43</v>
      </c>
      <c r="F20" s="739">
        <v>31022.3</v>
      </c>
      <c r="G20" s="739">
        <v>0</v>
      </c>
      <c r="H20" s="755">
        <f>SUM(I20:L20)</f>
        <v>2071042868.7707431</v>
      </c>
      <c r="I20" s="739">
        <v>1941305281.9543786</v>
      </c>
      <c r="J20" s="739">
        <v>113237307.19573823</v>
      </c>
      <c r="K20" s="739">
        <v>16496109.493196417</v>
      </c>
      <c r="L20" s="739">
        <v>4170.1274296226002</v>
      </c>
      <c r="M20" s="755">
        <f>SUM(N20:Q20)</f>
        <v>56476933.401559725</v>
      </c>
      <c r="N20" s="739">
        <v>18505424.369992707</v>
      </c>
      <c r="O20" s="739">
        <v>24648787.897599619</v>
      </c>
      <c r="P20" s="739">
        <v>13322670.868225221</v>
      </c>
      <c r="Q20" s="739">
        <v>50.265742179796298</v>
      </c>
      <c r="R20" s="739">
        <v>1528</v>
      </c>
      <c r="S20" s="760">
        <v>0.19719999999999999</v>
      </c>
      <c r="T20" s="760">
        <v>0.261851</v>
      </c>
      <c r="U20" s="760">
        <v>0.21310000000000001</v>
      </c>
      <c r="V20" s="756">
        <v>42.667999999999999</v>
      </c>
    </row>
    <row r="21" spans="1:22">
      <c r="C21" s="759"/>
      <c r="D21" s="759"/>
      <c r="E21" s="759"/>
      <c r="F21" s="759"/>
      <c r="G21" s="759"/>
      <c r="H21" s="759"/>
      <c r="I21" s="759"/>
      <c r="J21" s="759"/>
      <c r="K21" s="759"/>
      <c r="L21" s="759"/>
      <c r="M21" s="759"/>
      <c r="N21" s="759"/>
      <c r="O21" s="759"/>
      <c r="P21" s="759"/>
      <c r="Q21" s="759"/>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60" zoomScale="110" zoomScaleNormal="110" workbookViewId="0">
      <selection activeCell="B62" sqref="B62:C62"/>
    </sheetView>
  </sheetViews>
  <sheetFormatPr defaultColWidth="43.5546875" defaultRowHeight="12"/>
  <cols>
    <col min="1" max="1" width="8" style="128" customWidth="1"/>
    <col min="2" max="2" width="66.21875" style="129" customWidth="1"/>
    <col min="3" max="3" width="131.44140625" style="130" customWidth="1"/>
    <col min="4" max="5" width="10.21875" style="121" customWidth="1"/>
    <col min="6" max="6" width="67.6640625" style="121" customWidth="1"/>
    <col min="7" max="16384" width="43.5546875" style="121"/>
  </cols>
  <sheetData>
    <row r="1" spans="1:3" ht="13.2" thickTop="1" thickBot="1">
      <c r="A1" s="892" t="s">
        <v>176</v>
      </c>
      <c r="B1" s="893"/>
      <c r="C1" s="894"/>
    </row>
    <row r="2" spans="1:3" ht="26.25" customHeight="1">
      <c r="A2" s="327"/>
      <c r="B2" s="895" t="s">
        <v>177</v>
      </c>
      <c r="C2" s="895"/>
    </row>
    <row r="3" spans="1:3" s="126" customFormat="1" ht="11.25" customHeight="1">
      <c r="A3" s="125"/>
      <c r="B3" s="895" t="s">
        <v>251</v>
      </c>
      <c r="C3" s="895"/>
    </row>
    <row r="4" spans="1:3" ht="12" customHeight="1" thickBot="1">
      <c r="A4" s="896" t="s">
        <v>255</v>
      </c>
      <c r="B4" s="897"/>
      <c r="C4" s="898"/>
    </row>
    <row r="5" spans="1:3" ht="12.6" thickTop="1">
      <c r="A5" s="122"/>
      <c r="B5" s="899" t="s">
        <v>178</v>
      </c>
      <c r="C5" s="900"/>
    </row>
    <row r="6" spans="1:3">
      <c r="A6" s="327"/>
      <c r="B6" s="901" t="s">
        <v>252</v>
      </c>
      <c r="C6" s="902"/>
    </row>
    <row r="7" spans="1:3">
      <c r="A7" s="327"/>
      <c r="B7" s="901" t="s">
        <v>179</v>
      </c>
      <c r="C7" s="902"/>
    </row>
    <row r="8" spans="1:3">
      <c r="A8" s="327"/>
      <c r="B8" s="901" t="s">
        <v>253</v>
      </c>
      <c r="C8" s="902"/>
    </row>
    <row r="9" spans="1:3">
      <c r="A9" s="327"/>
      <c r="B9" s="907" t="s">
        <v>254</v>
      </c>
      <c r="C9" s="908"/>
    </row>
    <row r="10" spans="1:3">
      <c r="A10" s="327"/>
      <c r="B10" s="905" t="s">
        <v>180</v>
      </c>
      <c r="C10" s="906" t="s">
        <v>180</v>
      </c>
    </row>
    <row r="11" spans="1:3">
      <c r="A11" s="327"/>
      <c r="B11" s="905" t="s">
        <v>181</v>
      </c>
      <c r="C11" s="906" t="s">
        <v>181</v>
      </c>
    </row>
    <row r="12" spans="1:3">
      <c r="A12" s="327"/>
      <c r="B12" s="905" t="s">
        <v>182</v>
      </c>
      <c r="C12" s="906" t="s">
        <v>182</v>
      </c>
    </row>
    <row r="13" spans="1:3">
      <c r="A13" s="327"/>
      <c r="B13" s="905" t="s">
        <v>183</v>
      </c>
      <c r="C13" s="906" t="s">
        <v>183</v>
      </c>
    </row>
    <row r="14" spans="1:3">
      <c r="A14" s="327"/>
      <c r="B14" s="905" t="s">
        <v>184</v>
      </c>
      <c r="C14" s="906" t="s">
        <v>184</v>
      </c>
    </row>
    <row r="15" spans="1:3" ht="21.75" customHeight="1">
      <c r="A15" s="327"/>
      <c r="B15" s="905" t="s">
        <v>185</v>
      </c>
      <c r="C15" s="906" t="s">
        <v>185</v>
      </c>
    </row>
    <row r="16" spans="1:3">
      <c r="A16" s="327"/>
      <c r="B16" s="905" t="s">
        <v>186</v>
      </c>
      <c r="C16" s="906" t="s">
        <v>187</v>
      </c>
    </row>
    <row r="17" spans="1:6">
      <c r="A17" s="327"/>
      <c r="B17" s="905" t="s">
        <v>188</v>
      </c>
      <c r="C17" s="906" t="s">
        <v>189</v>
      </c>
    </row>
    <row r="18" spans="1:6">
      <c r="A18" s="327"/>
      <c r="B18" s="905" t="s">
        <v>190</v>
      </c>
      <c r="C18" s="906" t="s">
        <v>191</v>
      </c>
    </row>
    <row r="19" spans="1:6">
      <c r="A19" s="582"/>
      <c r="B19" s="903" t="s">
        <v>192</v>
      </c>
      <c r="C19" s="904" t="s">
        <v>192</v>
      </c>
    </row>
    <row r="20" spans="1:6">
      <c r="A20" s="582"/>
      <c r="B20" s="903" t="s">
        <v>917</v>
      </c>
      <c r="C20" s="904" t="s">
        <v>193</v>
      </c>
    </row>
    <row r="21" spans="1:6">
      <c r="A21" s="327"/>
      <c r="B21" s="903" t="s">
        <v>960</v>
      </c>
      <c r="C21" s="904" t="s">
        <v>194</v>
      </c>
    </row>
    <row r="22" spans="1:6" ht="23.25" customHeight="1">
      <c r="A22" s="327"/>
      <c r="B22" s="905" t="s">
        <v>195</v>
      </c>
      <c r="C22" s="906" t="s">
        <v>196</v>
      </c>
      <c r="F22" s="546"/>
    </row>
    <row r="23" spans="1:6">
      <c r="A23" s="327"/>
      <c r="B23" s="905" t="s">
        <v>197</v>
      </c>
      <c r="C23" s="906" t="s">
        <v>197</v>
      </c>
    </row>
    <row r="24" spans="1:6">
      <c r="A24" s="327"/>
      <c r="B24" s="905" t="s">
        <v>198</v>
      </c>
      <c r="C24" s="906" t="s">
        <v>199</v>
      </c>
    </row>
    <row r="25" spans="1:6" ht="12.6" thickBot="1">
      <c r="A25" s="123"/>
      <c r="B25" s="914" t="s">
        <v>200</v>
      </c>
      <c r="C25" s="915"/>
    </row>
    <row r="26" spans="1:6" ht="13.2" thickTop="1" thickBot="1">
      <c r="A26" s="896" t="s">
        <v>812</v>
      </c>
      <c r="B26" s="897"/>
      <c r="C26" s="898"/>
    </row>
    <row r="27" spans="1:6" ht="13.2" thickTop="1" thickBot="1">
      <c r="A27" s="124"/>
      <c r="B27" s="916" t="s">
        <v>813</v>
      </c>
      <c r="C27" s="917"/>
    </row>
    <row r="28" spans="1:6" ht="13.2" thickTop="1" thickBot="1">
      <c r="A28" s="896" t="s">
        <v>256</v>
      </c>
      <c r="B28" s="897"/>
      <c r="C28" s="898"/>
    </row>
    <row r="29" spans="1:6" ht="12.6" thickTop="1">
      <c r="A29" s="122"/>
      <c r="B29" s="918" t="s">
        <v>816</v>
      </c>
      <c r="C29" s="919" t="s">
        <v>201</v>
      </c>
    </row>
    <row r="30" spans="1:6">
      <c r="A30" s="327"/>
      <c r="B30" s="909" t="s">
        <v>205</v>
      </c>
      <c r="C30" s="910" t="s">
        <v>202</v>
      </c>
    </row>
    <row r="31" spans="1:6">
      <c r="A31" s="327"/>
      <c r="B31" s="909" t="s">
        <v>814</v>
      </c>
      <c r="C31" s="910" t="s">
        <v>203</v>
      </c>
    </row>
    <row r="32" spans="1:6">
      <c r="A32" s="327"/>
      <c r="B32" s="909" t="s">
        <v>815</v>
      </c>
      <c r="C32" s="910" t="s">
        <v>204</v>
      </c>
    </row>
    <row r="33" spans="1:3">
      <c r="A33" s="327"/>
      <c r="B33" s="909" t="s">
        <v>208</v>
      </c>
      <c r="C33" s="910" t="s">
        <v>209</v>
      </c>
    </row>
    <row r="34" spans="1:3">
      <c r="A34" s="327"/>
      <c r="B34" s="909" t="s">
        <v>817</v>
      </c>
      <c r="C34" s="910" t="s">
        <v>206</v>
      </c>
    </row>
    <row r="35" spans="1:3">
      <c r="A35" s="327"/>
      <c r="B35" s="909" t="s">
        <v>818</v>
      </c>
      <c r="C35" s="910" t="s">
        <v>207</v>
      </c>
    </row>
    <row r="36" spans="1:3">
      <c r="A36" s="327"/>
      <c r="B36" s="911" t="s">
        <v>819</v>
      </c>
      <c r="C36" s="912"/>
    </row>
    <row r="37" spans="1:3" ht="24.75" customHeight="1">
      <c r="A37" s="327"/>
      <c r="B37" s="909" t="s">
        <v>820</v>
      </c>
      <c r="C37" s="910" t="s">
        <v>210</v>
      </c>
    </row>
    <row r="38" spans="1:3" ht="23.25" customHeight="1">
      <c r="A38" s="327"/>
      <c r="B38" s="909" t="s">
        <v>821</v>
      </c>
      <c r="C38" s="910" t="s">
        <v>211</v>
      </c>
    </row>
    <row r="39" spans="1:3" ht="23.25" customHeight="1">
      <c r="A39" s="394"/>
      <c r="B39" s="911" t="s">
        <v>822</v>
      </c>
      <c r="C39" s="913"/>
    </row>
    <row r="40" spans="1:3" ht="12" customHeight="1">
      <c r="A40" s="327"/>
      <c r="B40" s="909" t="s">
        <v>823</v>
      </c>
      <c r="C40" s="910"/>
    </row>
    <row r="41" spans="1:3" ht="12.6" thickBot="1">
      <c r="A41" s="896" t="s">
        <v>257</v>
      </c>
      <c r="B41" s="897"/>
      <c r="C41" s="898"/>
    </row>
    <row r="42" spans="1:3" ht="12.6" thickTop="1">
      <c r="A42" s="122"/>
      <c r="B42" s="899" t="s">
        <v>287</v>
      </c>
      <c r="C42" s="900" t="s">
        <v>212</v>
      </c>
    </row>
    <row r="43" spans="1:3">
      <c r="A43" s="327"/>
      <c r="B43" s="901" t="s">
        <v>286</v>
      </c>
      <c r="C43" s="902"/>
    </row>
    <row r="44" spans="1:3" ht="23.25" customHeight="1" thickBot="1">
      <c r="A44" s="123"/>
      <c r="B44" s="920" t="s">
        <v>213</v>
      </c>
      <c r="C44" s="921" t="s">
        <v>214</v>
      </c>
    </row>
    <row r="45" spans="1:3" ht="11.25" customHeight="1" thickTop="1" thickBot="1">
      <c r="A45" s="896" t="s">
        <v>258</v>
      </c>
      <c r="B45" s="897"/>
      <c r="C45" s="898"/>
    </row>
    <row r="46" spans="1:3" ht="26.25" customHeight="1" thickTop="1">
      <c r="A46" s="327"/>
      <c r="B46" s="901" t="s">
        <v>259</v>
      </c>
      <c r="C46" s="902"/>
    </row>
    <row r="47" spans="1:3" ht="12.6" thickBot="1">
      <c r="A47" s="896" t="s">
        <v>260</v>
      </c>
      <c r="B47" s="897"/>
      <c r="C47" s="898"/>
    </row>
    <row r="48" spans="1:3" ht="12.6" thickTop="1">
      <c r="A48" s="122"/>
      <c r="B48" s="899" t="s">
        <v>215</v>
      </c>
      <c r="C48" s="900" t="s">
        <v>215</v>
      </c>
    </row>
    <row r="49" spans="1:3" ht="11.25" customHeight="1">
      <c r="A49" s="327"/>
      <c r="B49" s="901" t="s">
        <v>216</v>
      </c>
      <c r="C49" s="902" t="s">
        <v>216</v>
      </c>
    </row>
    <row r="50" spans="1:3">
      <c r="A50" s="327"/>
      <c r="B50" s="901" t="s">
        <v>217</v>
      </c>
      <c r="C50" s="902" t="s">
        <v>217</v>
      </c>
    </row>
    <row r="51" spans="1:3" ht="11.25" customHeight="1">
      <c r="A51" s="327"/>
      <c r="B51" s="901" t="s">
        <v>825</v>
      </c>
      <c r="C51" s="902" t="s">
        <v>218</v>
      </c>
    </row>
    <row r="52" spans="1:3" ht="33.6" customHeight="1">
      <c r="A52" s="327"/>
      <c r="B52" s="901" t="s">
        <v>219</v>
      </c>
      <c r="C52" s="902" t="s">
        <v>219</v>
      </c>
    </row>
    <row r="53" spans="1:3" ht="11.25" customHeight="1">
      <c r="A53" s="327"/>
      <c r="B53" s="901" t="s">
        <v>307</v>
      </c>
      <c r="C53" s="902" t="s">
        <v>220</v>
      </c>
    </row>
    <row r="54" spans="1:3" ht="11.25" customHeight="1" thickBot="1">
      <c r="A54" s="896" t="s">
        <v>261</v>
      </c>
      <c r="B54" s="897"/>
      <c r="C54" s="898"/>
    </row>
    <row r="55" spans="1:3" ht="12.6" thickTop="1">
      <c r="A55" s="122"/>
      <c r="B55" s="899" t="s">
        <v>215</v>
      </c>
      <c r="C55" s="900" t="s">
        <v>215</v>
      </c>
    </row>
    <row r="56" spans="1:3">
      <c r="A56" s="327"/>
      <c r="B56" s="901" t="s">
        <v>221</v>
      </c>
      <c r="C56" s="902" t="s">
        <v>221</v>
      </c>
    </row>
    <row r="57" spans="1:3">
      <c r="A57" s="327"/>
      <c r="B57" s="901" t="s">
        <v>264</v>
      </c>
      <c r="C57" s="902" t="s">
        <v>222</v>
      </c>
    </row>
    <row r="58" spans="1:3">
      <c r="A58" s="327"/>
      <c r="B58" s="901" t="s">
        <v>223</v>
      </c>
      <c r="C58" s="902" t="s">
        <v>223</v>
      </c>
    </row>
    <row r="59" spans="1:3">
      <c r="A59" s="327"/>
      <c r="B59" s="901" t="s">
        <v>224</v>
      </c>
      <c r="C59" s="902" t="s">
        <v>224</v>
      </c>
    </row>
    <row r="60" spans="1:3">
      <c r="A60" s="327"/>
      <c r="B60" s="901" t="s">
        <v>225</v>
      </c>
      <c r="C60" s="902" t="s">
        <v>225</v>
      </c>
    </row>
    <row r="61" spans="1:3">
      <c r="A61" s="327"/>
      <c r="B61" s="901" t="s">
        <v>265</v>
      </c>
      <c r="C61" s="902" t="s">
        <v>226</v>
      </c>
    </row>
    <row r="62" spans="1:3" ht="12" customHeight="1">
      <c r="A62" s="327"/>
      <c r="B62" s="926" t="s">
        <v>997</v>
      </c>
      <c r="C62" s="927" t="s">
        <v>227</v>
      </c>
    </row>
    <row r="63" spans="1:3" ht="22.5" customHeight="1" thickBot="1">
      <c r="A63" s="123"/>
      <c r="B63" s="920" t="s">
        <v>228</v>
      </c>
      <c r="C63" s="921" t="s">
        <v>228</v>
      </c>
    </row>
    <row r="64" spans="1:3" ht="11.25" customHeight="1" thickTop="1">
      <c r="A64" s="928" t="s">
        <v>262</v>
      </c>
      <c r="B64" s="929"/>
      <c r="C64" s="930"/>
    </row>
    <row r="65" spans="1:3" ht="12.6" thickBot="1">
      <c r="A65" s="123"/>
      <c r="B65" s="920" t="s">
        <v>229</v>
      </c>
      <c r="C65" s="921" t="s">
        <v>229</v>
      </c>
    </row>
    <row r="66" spans="1:3" ht="11.25" customHeight="1" thickTop="1">
      <c r="A66" s="928" t="s">
        <v>950</v>
      </c>
      <c r="B66" s="929"/>
      <c r="C66" s="930"/>
    </row>
    <row r="67" spans="1:3" ht="12.6" thickBot="1">
      <c r="A67" s="123"/>
      <c r="B67" s="920" t="s">
        <v>949</v>
      </c>
      <c r="C67" s="921"/>
    </row>
    <row r="68" spans="1:3" ht="11.25" customHeight="1" thickTop="1" thickBot="1">
      <c r="A68" s="896" t="s">
        <v>263</v>
      </c>
      <c r="B68" s="897"/>
      <c r="C68" s="898"/>
    </row>
    <row r="69" spans="1:3" ht="12.6" thickTop="1">
      <c r="A69" s="122"/>
      <c r="B69" s="899" t="s">
        <v>230</v>
      </c>
      <c r="C69" s="900" t="s">
        <v>230</v>
      </c>
    </row>
    <row r="70" spans="1:3">
      <c r="A70" s="327"/>
      <c r="B70" s="901" t="s">
        <v>827</v>
      </c>
      <c r="C70" s="902" t="s">
        <v>231</v>
      </c>
    </row>
    <row r="71" spans="1:3">
      <c r="A71" s="327"/>
      <c r="B71" s="901" t="s">
        <v>232</v>
      </c>
      <c r="C71" s="902" t="s">
        <v>232</v>
      </c>
    </row>
    <row r="72" spans="1:3" ht="55.05" customHeight="1">
      <c r="A72" s="327"/>
      <c r="B72" s="922" t="s">
        <v>961</v>
      </c>
      <c r="C72" s="923" t="s">
        <v>233</v>
      </c>
    </row>
    <row r="73" spans="1:3" ht="33.75" customHeight="1">
      <c r="A73" s="327"/>
      <c r="B73" s="924" t="s">
        <v>266</v>
      </c>
      <c r="C73" s="925" t="s">
        <v>234</v>
      </c>
    </row>
    <row r="74" spans="1:3" ht="15.75" customHeight="1">
      <c r="A74" s="327"/>
      <c r="B74" s="924" t="s">
        <v>828</v>
      </c>
      <c r="C74" s="925" t="s">
        <v>235</v>
      </c>
    </row>
    <row r="75" spans="1:3">
      <c r="A75" s="327"/>
      <c r="B75" s="901" t="s">
        <v>236</v>
      </c>
      <c r="C75" s="902" t="s">
        <v>236</v>
      </c>
    </row>
    <row r="76" spans="1:3" ht="12.6" thickBot="1">
      <c r="A76" s="123"/>
      <c r="B76" s="920" t="s">
        <v>237</v>
      </c>
      <c r="C76" s="921" t="s">
        <v>237</v>
      </c>
    </row>
    <row r="77" spans="1:3" ht="12.6" thickTop="1">
      <c r="A77" s="928" t="s">
        <v>290</v>
      </c>
      <c r="B77" s="929"/>
      <c r="C77" s="930"/>
    </row>
    <row r="78" spans="1:3">
      <c r="A78" s="327"/>
      <c r="B78" s="901" t="s">
        <v>229</v>
      </c>
      <c r="C78" s="902"/>
    </row>
    <row r="79" spans="1:3">
      <c r="A79" s="327"/>
      <c r="B79" s="901" t="s">
        <v>288</v>
      </c>
      <c r="C79" s="902"/>
    </row>
    <row r="80" spans="1:3">
      <c r="A80" s="327"/>
      <c r="B80" s="901" t="s">
        <v>289</v>
      </c>
      <c r="C80" s="902"/>
    </row>
    <row r="81" spans="1:3">
      <c r="A81" s="928" t="s">
        <v>291</v>
      </c>
      <c r="B81" s="929"/>
      <c r="C81" s="930"/>
    </row>
    <row r="82" spans="1:3">
      <c r="A82" s="327"/>
      <c r="B82" s="901" t="s">
        <v>229</v>
      </c>
      <c r="C82" s="902"/>
    </row>
    <row r="83" spans="1:3">
      <c r="A83" s="327"/>
      <c r="B83" s="901" t="s">
        <v>292</v>
      </c>
      <c r="C83" s="902"/>
    </row>
    <row r="84" spans="1:3" ht="79.5" customHeight="1">
      <c r="A84" s="327"/>
      <c r="B84" s="901" t="s">
        <v>306</v>
      </c>
      <c r="C84" s="902"/>
    </row>
    <row r="85" spans="1:3" ht="53.25" customHeight="1">
      <c r="A85" s="327"/>
      <c r="B85" s="901" t="s">
        <v>305</v>
      </c>
      <c r="C85" s="902"/>
    </row>
    <row r="86" spans="1:3">
      <c r="A86" s="327"/>
      <c r="B86" s="901" t="s">
        <v>293</v>
      </c>
      <c r="C86" s="902"/>
    </row>
    <row r="87" spans="1:3">
      <c r="A87" s="327"/>
      <c r="B87" s="901" t="s">
        <v>294</v>
      </c>
      <c r="C87" s="902"/>
    </row>
    <row r="88" spans="1:3">
      <c r="A88" s="327"/>
      <c r="B88" s="901" t="s">
        <v>295</v>
      </c>
      <c r="C88" s="902"/>
    </row>
    <row r="89" spans="1:3">
      <c r="A89" s="928" t="s">
        <v>296</v>
      </c>
      <c r="B89" s="929"/>
      <c r="C89" s="930"/>
    </row>
    <row r="90" spans="1:3">
      <c r="A90" s="327"/>
      <c r="B90" s="901" t="s">
        <v>229</v>
      </c>
      <c r="C90" s="902"/>
    </row>
    <row r="91" spans="1:3">
      <c r="A91" s="327"/>
      <c r="B91" s="901" t="s">
        <v>298</v>
      </c>
      <c r="C91" s="902"/>
    </row>
    <row r="92" spans="1:3" ht="12" customHeight="1">
      <c r="A92" s="327"/>
      <c r="B92" s="901" t="s">
        <v>299</v>
      </c>
      <c r="C92" s="902"/>
    </row>
    <row r="93" spans="1:3">
      <c r="A93" s="327"/>
      <c r="B93" s="901" t="s">
        <v>300</v>
      </c>
      <c r="C93" s="902"/>
    </row>
    <row r="94" spans="1:3" ht="24.75" customHeight="1">
      <c r="A94" s="327"/>
      <c r="B94" s="909" t="s">
        <v>336</v>
      </c>
      <c r="C94" s="910"/>
    </row>
    <row r="95" spans="1:3" ht="24" customHeight="1">
      <c r="A95" s="327"/>
      <c r="B95" s="909" t="s">
        <v>337</v>
      </c>
      <c r="C95" s="910"/>
    </row>
    <row r="96" spans="1:3" ht="13.5" customHeight="1">
      <c r="A96" s="327"/>
      <c r="B96" s="909" t="s">
        <v>301</v>
      </c>
      <c r="C96" s="910"/>
    </row>
    <row r="97" spans="1:3" ht="11.25" customHeight="1" thickBot="1">
      <c r="A97" s="931" t="s">
        <v>332</v>
      </c>
      <c r="B97" s="932"/>
      <c r="C97" s="933"/>
    </row>
    <row r="98" spans="1:3" ht="13.2" thickTop="1" thickBot="1">
      <c r="A98" s="940" t="s">
        <v>238</v>
      </c>
      <c r="B98" s="940"/>
      <c r="C98" s="940"/>
    </row>
    <row r="99" spans="1:3">
      <c r="A99" s="195">
        <v>2</v>
      </c>
      <c r="B99" s="315" t="s">
        <v>312</v>
      </c>
      <c r="C99" s="315" t="s">
        <v>333</v>
      </c>
    </row>
    <row r="100" spans="1:3">
      <c r="A100" s="127">
        <v>3</v>
      </c>
      <c r="B100" s="316" t="s">
        <v>313</v>
      </c>
      <c r="C100" s="317" t="s">
        <v>334</v>
      </c>
    </row>
    <row r="101" spans="1:3">
      <c r="A101" s="127">
        <v>4</v>
      </c>
      <c r="B101" s="316" t="s">
        <v>314</v>
      </c>
      <c r="C101" s="317" t="s">
        <v>338</v>
      </c>
    </row>
    <row r="102" spans="1:3" ht="11.25" customHeight="1">
      <c r="A102" s="127">
        <v>5</v>
      </c>
      <c r="B102" s="316" t="s">
        <v>315</v>
      </c>
      <c r="C102" s="317" t="s">
        <v>335</v>
      </c>
    </row>
    <row r="103" spans="1:3" ht="12" customHeight="1">
      <c r="A103" s="127">
        <v>6</v>
      </c>
      <c r="B103" s="316" t="s">
        <v>330</v>
      </c>
      <c r="C103" s="317" t="s">
        <v>316</v>
      </c>
    </row>
    <row r="104" spans="1:3" ht="12" customHeight="1">
      <c r="A104" s="127">
        <v>7</v>
      </c>
      <c r="B104" s="316" t="s">
        <v>317</v>
      </c>
      <c r="C104" s="317" t="s">
        <v>331</v>
      </c>
    </row>
    <row r="105" spans="1:3">
      <c r="A105" s="127">
        <v>8</v>
      </c>
      <c r="B105" s="316" t="s">
        <v>322</v>
      </c>
      <c r="C105" s="317" t="s">
        <v>342</v>
      </c>
    </row>
    <row r="106" spans="1:3" ht="11.25" customHeight="1">
      <c r="A106" s="928" t="s">
        <v>302</v>
      </c>
      <c r="B106" s="929"/>
      <c r="C106" s="930"/>
    </row>
    <row r="107" spans="1:3" ht="12" customHeight="1">
      <c r="A107" s="327"/>
      <c r="B107" s="926" t="s">
        <v>998</v>
      </c>
      <c r="C107" s="927"/>
    </row>
    <row r="108" spans="1:3">
      <c r="A108" s="928" t="s">
        <v>458</v>
      </c>
      <c r="B108" s="929"/>
      <c r="C108" s="930"/>
    </row>
    <row r="109" spans="1:3" ht="12" customHeight="1">
      <c r="A109" s="327"/>
      <c r="B109" s="901" t="s">
        <v>460</v>
      </c>
      <c r="C109" s="902"/>
    </row>
    <row r="110" spans="1:3">
      <c r="A110" s="327"/>
      <c r="B110" s="901" t="s">
        <v>461</v>
      </c>
      <c r="C110" s="902"/>
    </row>
    <row r="111" spans="1:3">
      <c r="A111" s="327"/>
      <c r="B111" s="901" t="s">
        <v>459</v>
      </c>
      <c r="C111" s="902"/>
    </row>
    <row r="112" spans="1:3">
      <c r="A112" s="934" t="s">
        <v>692</v>
      </c>
      <c r="B112" s="934"/>
      <c r="C112" s="934"/>
    </row>
    <row r="113" spans="1:3">
      <c r="A113" s="935" t="s">
        <v>176</v>
      </c>
      <c r="B113" s="935"/>
      <c r="C113" s="935"/>
    </row>
    <row r="114" spans="1:3">
      <c r="A114" s="529">
        <v>1</v>
      </c>
      <c r="B114" s="936" t="s">
        <v>576</v>
      </c>
      <c r="C114" s="937"/>
    </row>
    <row r="115" spans="1:3">
      <c r="A115" s="529">
        <v>2</v>
      </c>
      <c r="B115" s="938" t="s">
        <v>577</v>
      </c>
      <c r="C115" s="939"/>
    </row>
    <row r="116" spans="1:3">
      <c r="A116" s="529">
        <v>3</v>
      </c>
      <c r="B116" s="936" t="s">
        <v>902</v>
      </c>
      <c r="C116" s="937"/>
    </row>
    <row r="117" spans="1:3">
      <c r="A117" s="529">
        <v>4</v>
      </c>
      <c r="B117" s="936" t="s">
        <v>901</v>
      </c>
      <c r="C117" s="937"/>
    </row>
    <row r="118" spans="1:3">
      <c r="A118" s="529">
        <v>5</v>
      </c>
      <c r="B118" s="533" t="s">
        <v>900</v>
      </c>
      <c r="C118" s="532"/>
    </row>
    <row r="119" spans="1:3">
      <c r="A119" s="529">
        <v>6</v>
      </c>
      <c r="B119" s="948" t="s">
        <v>967</v>
      </c>
      <c r="C119" s="949"/>
    </row>
    <row r="120" spans="1:3" ht="48.45" customHeight="1">
      <c r="A120" s="529">
        <v>7</v>
      </c>
      <c r="B120" s="948" t="s">
        <v>968</v>
      </c>
      <c r="C120" s="949"/>
    </row>
    <row r="121" spans="1:3">
      <c r="A121" s="507">
        <v>8</v>
      </c>
      <c r="B121" s="502" t="s">
        <v>603</v>
      </c>
      <c r="C121" s="526" t="s">
        <v>899</v>
      </c>
    </row>
    <row r="122" spans="1:3" ht="24">
      <c r="A122" s="529">
        <v>9.01</v>
      </c>
      <c r="B122" s="502" t="s">
        <v>487</v>
      </c>
      <c r="C122" s="503" t="s">
        <v>652</v>
      </c>
    </row>
    <row r="123" spans="1:3" ht="36">
      <c r="A123" s="529">
        <v>9.02</v>
      </c>
      <c r="B123" s="502" t="s">
        <v>488</v>
      </c>
      <c r="C123" s="503" t="s">
        <v>655</v>
      </c>
    </row>
    <row r="124" spans="1:3">
      <c r="A124" s="529">
        <v>9.0299999999999994</v>
      </c>
      <c r="B124" s="503" t="s">
        <v>836</v>
      </c>
      <c r="C124" s="503" t="s">
        <v>578</v>
      </c>
    </row>
    <row r="125" spans="1:3">
      <c r="A125" s="529">
        <v>9.0399999999999991</v>
      </c>
      <c r="B125" s="502" t="s">
        <v>489</v>
      </c>
      <c r="C125" s="503" t="s">
        <v>579</v>
      </c>
    </row>
    <row r="126" spans="1:3">
      <c r="A126" s="529">
        <v>9.0500000000000007</v>
      </c>
      <c r="B126" s="502" t="s">
        <v>490</v>
      </c>
      <c r="C126" s="503" t="s">
        <v>580</v>
      </c>
    </row>
    <row r="127" spans="1:3" ht="24">
      <c r="A127" s="529">
        <v>9.06</v>
      </c>
      <c r="B127" s="502" t="s">
        <v>491</v>
      </c>
      <c r="C127" s="503" t="s">
        <v>581</v>
      </c>
    </row>
    <row r="128" spans="1:3">
      <c r="A128" s="529">
        <v>9.07</v>
      </c>
      <c r="B128" s="531" t="s">
        <v>492</v>
      </c>
      <c r="C128" s="503" t="s">
        <v>582</v>
      </c>
    </row>
    <row r="129" spans="1:3" ht="24">
      <c r="A129" s="529">
        <v>9.08</v>
      </c>
      <c r="B129" s="502" t="s">
        <v>493</v>
      </c>
      <c r="C129" s="503" t="s">
        <v>583</v>
      </c>
    </row>
    <row r="130" spans="1:3" ht="24">
      <c r="A130" s="529">
        <v>9.09</v>
      </c>
      <c r="B130" s="502" t="s">
        <v>494</v>
      </c>
      <c r="C130" s="503" t="s">
        <v>584</v>
      </c>
    </row>
    <row r="131" spans="1:3">
      <c r="A131" s="530">
        <v>9.1</v>
      </c>
      <c r="B131" s="502" t="s">
        <v>495</v>
      </c>
      <c r="C131" s="503" t="s">
        <v>585</v>
      </c>
    </row>
    <row r="132" spans="1:3">
      <c r="A132" s="529">
        <v>9.11</v>
      </c>
      <c r="B132" s="502" t="s">
        <v>496</v>
      </c>
      <c r="C132" s="503" t="s">
        <v>586</v>
      </c>
    </row>
    <row r="133" spans="1:3">
      <c r="A133" s="529">
        <v>9.1199999999999992</v>
      </c>
      <c r="B133" s="502" t="s">
        <v>497</v>
      </c>
      <c r="C133" s="503" t="s">
        <v>587</v>
      </c>
    </row>
    <row r="134" spans="1:3">
      <c r="A134" s="529">
        <v>9.1300000000000008</v>
      </c>
      <c r="B134" s="502" t="s">
        <v>498</v>
      </c>
      <c r="C134" s="503" t="s">
        <v>588</v>
      </c>
    </row>
    <row r="135" spans="1:3">
      <c r="A135" s="529">
        <v>9.14</v>
      </c>
      <c r="B135" s="502" t="s">
        <v>499</v>
      </c>
      <c r="C135" s="503" t="s">
        <v>589</v>
      </c>
    </row>
    <row r="136" spans="1:3">
      <c r="A136" s="529">
        <v>9.15</v>
      </c>
      <c r="B136" s="502" t="s">
        <v>500</v>
      </c>
      <c r="C136" s="503" t="s">
        <v>590</v>
      </c>
    </row>
    <row r="137" spans="1:3">
      <c r="A137" s="529">
        <v>9.16</v>
      </c>
      <c r="B137" s="502" t="s">
        <v>501</v>
      </c>
      <c r="C137" s="503" t="s">
        <v>591</v>
      </c>
    </row>
    <row r="138" spans="1:3">
      <c r="A138" s="529">
        <v>9.17</v>
      </c>
      <c r="B138" s="503" t="s">
        <v>502</v>
      </c>
      <c r="C138" s="503" t="s">
        <v>592</v>
      </c>
    </row>
    <row r="139" spans="1:3" ht="24">
      <c r="A139" s="529">
        <v>9.18</v>
      </c>
      <c r="B139" s="502" t="s">
        <v>503</v>
      </c>
      <c r="C139" s="503" t="s">
        <v>593</v>
      </c>
    </row>
    <row r="140" spans="1:3">
      <c r="A140" s="529">
        <v>9.19</v>
      </c>
      <c r="B140" s="502" t="s">
        <v>504</v>
      </c>
      <c r="C140" s="503" t="s">
        <v>594</v>
      </c>
    </row>
    <row r="141" spans="1:3">
      <c r="A141" s="530">
        <v>9.1999999999999993</v>
      </c>
      <c r="B141" s="502" t="s">
        <v>505</v>
      </c>
      <c r="C141" s="503" t="s">
        <v>595</v>
      </c>
    </row>
    <row r="142" spans="1:3">
      <c r="A142" s="529">
        <v>9.2100000000000009</v>
      </c>
      <c r="B142" s="502" t="s">
        <v>506</v>
      </c>
      <c r="C142" s="503" t="s">
        <v>596</v>
      </c>
    </row>
    <row r="143" spans="1:3">
      <c r="A143" s="529">
        <v>9.2200000000000006</v>
      </c>
      <c r="B143" s="502" t="s">
        <v>507</v>
      </c>
      <c r="C143" s="503" t="s">
        <v>597</v>
      </c>
    </row>
    <row r="144" spans="1:3" ht="24">
      <c r="A144" s="529">
        <v>9.23</v>
      </c>
      <c r="B144" s="502" t="s">
        <v>508</v>
      </c>
      <c r="C144" s="503" t="s">
        <v>598</v>
      </c>
    </row>
    <row r="145" spans="1:3" ht="24">
      <c r="A145" s="529">
        <v>9.24</v>
      </c>
      <c r="B145" s="502" t="s">
        <v>509</v>
      </c>
      <c r="C145" s="503" t="s">
        <v>599</v>
      </c>
    </row>
    <row r="146" spans="1:3">
      <c r="A146" s="529">
        <v>9.2500000000000107</v>
      </c>
      <c r="B146" s="502" t="s">
        <v>510</v>
      </c>
      <c r="C146" s="503" t="s">
        <v>600</v>
      </c>
    </row>
    <row r="147" spans="1:3" ht="24">
      <c r="A147" s="529">
        <v>9.2600000000000193</v>
      </c>
      <c r="B147" s="502" t="s">
        <v>601</v>
      </c>
      <c r="C147" s="528" t="s">
        <v>602</v>
      </c>
    </row>
    <row r="148" spans="1:3" s="328" customFormat="1" ht="24">
      <c r="A148" s="529">
        <v>9.2700000000000298</v>
      </c>
      <c r="B148" s="502" t="s">
        <v>88</v>
      </c>
      <c r="C148" s="528" t="s">
        <v>653</v>
      </c>
    </row>
    <row r="149" spans="1:3" s="328" customFormat="1">
      <c r="A149" s="508"/>
      <c r="B149" s="942" t="s">
        <v>604</v>
      </c>
      <c r="C149" s="943"/>
    </row>
    <row r="150" spans="1:3" s="328" customFormat="1">
      <c r="A150" s="507">
        <v>1</v>
      </c>
      <c r="B150" s="926" t="s">
        <v>898</v>
      </c>
      <c r="C150" s="927"/>
    </row>
    <row r="151" spans="1:3" s="328" customFormat="1">
      <c r="A151" s="507">
        <v>2</v>
      </c>
      <c r="B151" s="926" t="s">
        <v>654</v>
      </c>
      <c r="C151" s="927"/>
    </row>
    <row r="152" spans="1:3" s="328" customFormat="1">
      <c r="A152" s="507">
        <v>3</v>
      </c>
      <c r="B152" s="926" t="s">
        <v>651</v>
      </c>
      <c r="C152" s="927"/>
    </row>
    <row r="153" spans="1:3" s="328" customFormat="1">
      <c r="A153" s="508"/>
      <c r="B153" s="942" t="s">
        <v>605</v>
      </c>
      <c r="C153" s="943"/>
    </row>
    <row r="154" spans="1:3" s="328" customFormat="1">
      <c r="A154" s="507">
        <v>1</v>
      </c>
      <c r="B154" s="945" t="s">
        <v>897</v>
      </c>
      <c r="C154" s="950"/>
    </row>
    <row r="155" spans="1:3" s="328" customFormat="1">
      <c r="A155" s="507">
        <v>2</v>
      </c>
      <c r="B155" s="502" t="s">
        <v>834</v>
      </c>
      <c r="C155" s="583" t="s">
        <v>962</v>
      </c>
    </row>
    <row r="156" spans="1:3" ht="24">
      <c r="A156" s="507">
        <v>3</v>
      </c>
      <c r="B156" s="502" t="s">
        <v>833</v>
      </c>
      <c r="C156" s="526" t="s">
        <v>896</v>
      </c>
    </row>
    <row r="157" spans="1:3">
      <c r="A157" s="507">
        <v>4</v>
      </c>
      <c r="B157" s="502" t="s">
        <v>480</v>
      </c>
      <c r="C157" s="502" t="s">
        <v>913</v>
      </c>
    </row>
    <row r="158" spans="1:3" ht="25.05" customHeight="1">
      <c r="A158" s="508"/>
      <c r="B158" s="942" t="s">
        <v>606</v>
      </c>
      <c r="C158" s="943"/>
    </row>
    <row r="159" spans="1:3" ht="36">
      <c r="A159" s="507"/>
      <c r="B159" s="502" t="s">
        <v>885</v>
      </c>
      <c r="C159" s="584" t="s">
        <v>963</v>
      </c>
    </row>
    <row r="160" spans="1:3">
      <c r="A160" s="508"/>
      <c r="B160" s="942" t="s">
        <v>607</v>
      </c>
      <c r="C160" s="943"/>
    </row>
    <row r="161" spans="1:3" ht="39" customHeight="1">
      <c r="A161" s="508"/>
      <c r="B161" s="926" t="s">
        <v>895</v>
      </c>
      <c r="C161" s="927"/>
    </row>
    <row r="162" spans="1:3">
      <c r="A162" s="508" t="s">
        <v>608</v>
      </c>
      <c r="B162" s="527" t="s">
        <v>518</v>
      </c>
      <c r="C162" s="519" t="s">
        <v>609</v>
      </c>
    </row>
    <row r="163" spans="1:3">
      <c r="A163" s="508" t="s">
        <v>357</v>
      </c>
      <c r="B163" s="524" t="s">
        <v>519</v>
      </c>
      <c r="C163" s="526" t="s">
        <v>894</v>
      </c>
    </row>
    <row r="164" spans="1:3" ht="24">
      <c r="A164" s="508" t="s">
        <v>364</v>
      </c>
      <c r="B164" s="519" t="s">
        <v>520</v>
      </c>
      <c r="C164" s="526" t="s">
        <v>610</v>
      </c>
    </row>
    <row r="165" spans="1:3">
      <c r="A165" s="508" t="s">
        <v>611</v>
      </c>
      <c r="B165" s="524" t="s">
        <v>521</v>
      </c>
      <c r="C165" s="525" t="s">
        <v>612</v>
      </c>
    </row>
    <row r="166" spans="1:3" ht="24">
      <c r="A166" s="508" t="s">
        <v>613</v>
      </c>
      <c r="B166" s="524" t="s">
        <v>849</v>
      </c>
      <c r="C166" s="518" t="s">
        <v>893</v>
      </c>
    </row>
    <row r="167" spans="1:3" ht="24">
      <c r="A167" s="508" t="s">
        <v>365</v>
      </c>
      <c r="B167" s="524" t="s">
        <v>522</v>
      </c>
      <c r="C167" s="518" t="s">
        <v>615</v>
      </c>
    </row>
    <row r="168" spans="1:3" ht="24">
      <c r="A168" s="508" t="s">
        <v>614</v>
      </c>
      <c r="B168" s="522" t="s">
        <v>525</v>
      </c>
      <c r="C168" s="523" t="s">
        <v>622</v>
      </c>
    </row>
    <row r="169" spans="1:3" ht="24">
      <c r="A169" s="508" t="s">
        <v>616</v>
      </c>
      <c r="B169" s="522" t="s">
        <v>523</v>
      </c>
      <c r="C169" s="518" t="s">
        <v>618</v>
      </c>
    </row>
    <row r="170" spans="1:3" ht="26.55" customHeight="1">
      <c r="A170" s="508" t="s">
        <v>617</v>
      </c>
      <c r="B170" s="522" t="s">
        <v>524</v>
      </c>
      <c r="C170" s="523" t="s">
        <v>620</v>
      </c>
    </row>
    <row r="171" spans="1:3" ht="24">
      <c r="A171" s="508" t="s">
        <v>619</v>
      </c>
      <c r="B171" s="503" t="s">
        <v>526</v>
      </c>
      <c r="C171" s="523" t="s">
        <v>624</v>
      </c>
    </row>
    <row r="172" spans="1:3" ht="24">
      <c r="A172" s="508" t="s">
        <v>621</v>
      </c>
      <c r="B172" s="522" t="s">
        <v>527</v>
      </c>
      <c r="C172" s="521" t="s">
        <v>625</v>
      </c>
    </row>
    <row r="173" spans="1:3">
      <c r="A173" s="508" t="s">
        <v>623</v>
      </c>
      <c r="B173" s="520" t="s">
        <v>528</v>
      </c>
      <c r="C173" s="519" t="s">
        <v>626</v>
      </c>
    </row>
    <row r="174" spans="1:3" ht="24">
      <c r="A174" s="508"/>
      <c r="B174" s="518" t="s">
        <v>892</v>
      </c>
      <c r="C174" s="503" t="s">
        <v>627</v>
      </c>
    </row>
    <row r="175" spans="1:3" ht="24">
      <c r="A175" s="508"/>
      <c r="B175" s="518" t="s">
        <v>891</v>
      </c>
      <c r="C175" s="503" t="s">
        <v>628</v>
      </c>
    </row>
    <row r="176" spans="1:3" ht="24">
      <c r="A176" s="508"/>
      <c r="B176" s="518" t="s">
        <v>890</v>
      </c>
      <c r="C176" s="503" t="s">
        <v>629</v>
      </c>
    </row>
    <row r="177" spans="1:3">
      <c r="A177" s="508"/>
      <c r="B177" s="942" t="s">
        <v>630</v>
      </c>
      <c r="C177" s="943"/>
    </row>
    <row r="178" spans="1:3">
      <c r="A178" s="508"/>
      <c r="B178" s="926" t="s">
        <v>889</v>
      </c>
      <c r="C178" s="927"/>
    </row>
    <row r="179" spans="1:3">
      <c r="A179" s="507">
        <v>1</v>
      </c>
      <c r="B179" s="503" t="s">
        <v>532</v>
      </c>
      <c r="C179" s="503" t="s">
        <v>532</v>
      </c>
    </row>
    <row r="180" spans="1:3" ht="24">
      <c r="A180" s="507">
        <v>2</v>
      </c>
      <c r="B180" s="503" t="s">
        <v>631</v>
      </c>
      <c r="C180" s="503" t="s">
        <v>632</v>
      </c>
    </row>
    <row r="181" spans="1:3">
      <c r="A181" s="507">
        <v>3</v>
      </c>
      <c r="B181" s="503" t="s">
        <v>534</v>
      </c>
      <c r="C181" s="503" t="s">
        <v>633</v>
      </c>
    </row>
    <row r="182" spans="1:3" ht="24">
      <c r="A182" s="507">
        <v>4</v>
      </c>
      <c r="B182" s="503" t="s">
        <v>535</v>
      </c>
      <c r="C182" s="503" t="s">
        <v>634</v>
      </c>
    </row>
    <row r="183" spans="1:3" ht="24">
      <c r="A183" s="507">
        <v>5</v>
      </c>
      <c r="B183" s="503" t="s">
        <v>536</v>
      </c>
      <c r="C183" s="503" t="s">
        <v>656</v>
      </c>
    </row>
    <row r="184" spans="1:3" ht="48">
      <c r="A184" s="507">
        <v>6</v>
      </c>
      <c r="B184" s="503" t="s">
        <v>537</v>
      </c>
      <c r="C184" s="503" t="s">
        <v>635</v>
      </c>
    </row>
    <row r="185" spans="1:3">
      <c r="A185" s="508"/>
      <c r="B185" s="942" t="s">
        <v>636</v>
      </c>
      <c r="C185" s="943"/>
    </row>
    <row r="186" spans="1:3">
      <c r="A186" s="508"/>
      <c r="B186" s="944" t="s">
        <v>888</v>
      </c>
      <c r="C186" s="945"/>
    </row>
    <row r="187" spans="1:3" ht="24">
      <c r="A187" s="508">
        <v>1.1000000000000001</v>
      </c>
      <c r="B187" s="517" t="s">
        <v>542</v>
      </c>
      <c r="C187" s="503" t="s">
        <v>637</v>
      </c>
    </row>
    <row r="188" spans="1:3" ht="49.95" customHeight="1">
      <c r="A188" s="508" t="s">
        <v>146</v>
      </c>
      <c r="B188" s="504" t="s">
        <v>543</v>
      </c>
      <c r="C188" s="503" t="s">
        <v>638</v>
      </c>
    </row>
    <row r="189" spans="1:3">
      <c r="A189" s="508" t="s">
        <v>544</v>
      </c>
      <c r="B189" s="516" t="s">
        <v>545</v>
      </c>
      <c r="C189" s="946" t="s">
        <v>887</v>
      </c>
    </row>
    <row r="190" spans="1:3">
      <c r="A190" s="508" t="s">
        <v>546</v>
      </c>
      <c r="B190" s="516" t="s">
        <v>547</v>
      </c>
      <c r="C190" s="946"/>
    </row>
    <row r="191" spans="1:3">
      <c r="A191" s="508" t="s">
        <v>548</v>
      </c>
      <c r="B191" s="516" t="s">
        <v>549</v>
      </c>
      <c r="C191" s="946"/>
    </row>
    <row r="192" spans="1:3">
      <c r="A192" s="508" t="s">
        <v>550</v>
      </c>
      <c r="B192" s="516" t="s">
        <v>551</v>
      </c>
      <c r="C192" s="946"/>
    </row>
    <row r="193" spans="1:4" ht="25.5" customHeight="1">
      <c r="A193" s="508">
        <v>1.2</v>
      </c>
      <c r="B193" s="515" t="s">
        <v>863</v>
      </c>
      <c r="C193" s="585" t="s">
        <v>964</v>
      </c>
    </row>
    <row r="194" spans="1:4" ht="24">
      <c r="A194" s="508" t="s">
        <v>553</v>
      </c>
      <c r="B194" s="510" t="s">
        <v>554</v>
      </c>
      <c r="C194" s="513" t="s">
        <v>639</v>
      </c>
    </row>
    <row r="195" spans="1:4" ht="24">
      <c r="A195" s="508" t="s">
        <v>555</v>
      </c>
      <c r="B195" s="514" t="s">
        <v>556</v>
      </c>
      <c r="C195" s="513" t="s">
        <v>640</v>
      </c>
    </row>
    <row r="196" spans="1:4" ht="25.95" customHeight="1">
      <c r="A196" s="508" t="s">
        <v>557</v>
      </c>
      <c r="B196" s="512" t="s">
        <v>558</v>
      </c>
      <c r="C196" s="502" t="s">
        <v>641</v>
      </c>
    </row>
    <row r="197" spans="1:4" ht="24">
      <c r="A197" s="508" t="s">
        <v>559</v>
      </c>
      <c r="B197" s="511" t="s">
        <v>560</v>
      </c>
      <c r="C197" s="502" t="s">
        <v>642</v>
      </c>
      <c r="D197" s="329"/>
    </row>
    <row r="198" spans="1:4" ht="12.6">
      <c r="A198" s="508">
        <v>1.4</v>
      </c>
      <c r="B198" s="510" t="s">
        <v>649</v>
      </c>
      <c r="C198" s="509" t="s">
        <v>643</v>
      </c>
      <c r="D198" s="330"/>
    </row>
    <row r="199" spans="1:4" ht="12.6">
      <c r="A199" s="508">
        <v>1.5</v>
      </c>
      <c r="B199" s="510" t="s">
        <v>650</v>
      </c>
      <c r="C199" s="509" t="s">
        <v>643</v>
      </c>
      <c r="D199" s="331"/>
    </row>
    <row r="200" spans="1:4" ht="12.6">
      <c r="A200" s="508"/>
      <c r="B200" s="934" t="s">
        <v>644</v>
      </c>
      <c r="C200" s="934"/>
      <c r="D200" s="331"/>
    </row>
    <row r="201" spans="1:4" ht="12.6">
      <c r="A201" s="508"/>
      <c r="B201" s="944" t="s">
        <v>886</v>
      </c>
      <c r="C201" s="944"/>
      <c r="D201" s="331"/>
    </row>
    <row r="202" spans="1:4" ht="12.6">
      <c r="A202" s="507"/>
      <c r="B202" s="502" t="s">
        <v>885</v>
      </c>
      <c r="C202" s="584" t="s">
        <v>962</v>
      </c>
      <c r="D202" s="331"/>
    </row>
    <row r="203" spans="1:4" ht="12.6">
      <c r="A203" s="508"/>
      <c r="B203" s="934" t="s">
        <v>645</v>
      </c>
      <c r="C203" s="934"/>
      <c r="D203" s="332"/>
    </row>
    <row r="204" spans="1:4" ht="12.6">
      <c r="A204" s="507"/>
      <c r="B204" s="944" t="s">
        <v>884</v>
      </c>
      <c r="C204" s="944"/>
      <c r="D204" s="333"/>
    </row>
    <row r="205" spans="1:4" ht="12.6">
      <c r="B205" s="934" t="s">
        <v>682</v>
      </c>
      <c r="C205" s="934"/>
      <c r="D205" s="334"/>
    </row>
    <row r="206" spans="1:4" ht="24">
      <c r="A206" s="504">
        <v>1</v>
      </c>
      <c r="B206" s="502" t="s">
        <v>658</v>
      </c>
      <c r="C206" s="502" t="s">
        <v>670</v>
      </c>
      <c r="D206" s="333"/>
    </row>
    <row r="207" spans="1:4" ht="18" customHeight="1">
      <c r="A207" s="504">
        <v>2</v>
      </c>
      <c r="B207" s="502" t="s">
        <v>659</v>
      </c>
      <c r="C207" s="502" t="s">
        <v>671</v>
      </c>
      <c r="D207" s="334"/>
    </row>
    <row r="208" spans="1:4" ht="24">
      <c r="A208" s="504">
        <v>3</v>
      </c>
      <c r="B208" s="502" t="s">
        <v>660</v>
      </c>
      <c r="C208" s="502" t="s">
        <v>672</v>
      </c>
      <c r="D208" s="335"/>
    </row>
    <row r="209" spans="1:4" ht="12.6">
      <c r="A209" s="504">
        <v>4</v>
      </c>
      <c r="B209" s="502" t="s">
        <v>661</v>
      </c>
      <c r="C209" s="502" t="s">
        <v>673</v>
      </c>
      <c r="D209" s="335"/>
    </row>
    <row r="210" spans="1:4" ht="24">
      <c r="A210" s="504">
        <v>5</v>
      </c>
      <c r="B210" s="502" t="s">
        <v>662</v>
      </c>
      <c r="C210" s="502" t="s">
        <v>674</v>
      </c>
    </row>
    <row r="211" spans="1:4" ht="24.45" customHeight="1">
      <c r="A211" s="504">
        <v>6</v>
      </c>
      <c r="B211" s="502" t="s">
        <v>663</v>
      </c>
      <c r="C211" s="502" t="s">
        <v>675</v>
      </c>
    </row>
    <row r="212" spans="1:4" ht="24">
      <c r="A212" s="504">
        <v>7</v>
      </c>
      <c r="B212" s="502" t="s">
        <v>664</v>
      </c>
      <c r="C212" s="502" t="s">
        <v>676</v>
      </c>
    </row>
    <row r="213" spans="1:4">
      <c r="A213" s="504">
        <v>7.1</v>
      </c>
      <c r="B213" s="506" t="s">
        <v>665</v>
      </c>
      <c r="C213" s="502" t="s">
        <v>677</v>
      </c>
    </row>
    <row r="214" spans="1:4">
      <c r="A214" s="504">
        <v>7.2</v>
      </c>
      <c r="B214" s="506" t="s">
        <v>666</v>
      </c>
      <c r="C214" s="502" t="s">
        <v>678</v>
      </c>
    </row>
    <row r="215" spans="1:4">
      <c r="A215" s="504">
        <v>7.3</v>
      </c>
      <c r="B215" s="505" t="s">
        <v>667</v>
      </c>
      <c r="C215" s="502" t="s">
        <v>679</v>
      </c>
    </row>
    <row r="216" spans="1:4" ht="39.450000000000003" customHeight="1">
      <c r="A216" s="504">
        <v>8</v>
      </c>
      <c r="B216" s="502" t="s">
        <v>668</v>
      </c>
      <c r="C216" s="502" t="s">
        <v>680</v>
      </c>
    </row>
    <row r="217" spans="1:4">
      <c r="A217" s="504">
        <v>9</v>
      </c>
      <c r="B217" s="502" t="s">
        <v>669</v>
      </c>
      <c r="C217" s="502" t="s">
        <v>681</v>
      </c>
    </row>
    <row r="218" spans="1:4" ht="24">
      <c r="A218" s="541">
        <v>10.1</v>
      </c>
      <c r="B218" s="542" t="s">
        <v>689</v>
      </c>
      <c r="C218" s="534" t="s">
        <v>690</v>
      </c>
    </row>
    <row r="219" spans="1:4">
      <c r="A219" s="947"/>
      <c r="B219" s="543" t="s">
        <v>876</v>
      </c>
      <c r="C219" s="502" t="s">
        <v>883</v>
      </c>
    </row>
    <row r="220" spans="1:4">
      <c r="A220" s="947"/>
      <c r="B220" s="503" t="s">
        <v>541</v>
      </c>
      <c r="C220" s="502" t="s">
        <v>882</v>
      </c>
    </row>
    <row r="221" spans="1:4">
      <c r="A221" s="947"/>
      <c r="B221" s="503" t="s">
        <v>875</v>
      </c>
      <c r="C221" s="585" t="s">
        <v>965</v>
      </c>
    </row>
    <row r="222" spans="1:4">
      <c r="A222" s="947"/>
      <c r="B222" s="503" t="s">
        <v>683</v>
      </c>
      <c r="C222" s="502" t="s">
        <v>881</v>
      </c>
    </row>
    <row r="223" spans="1:4" ht="24">
      <c r="A223" s="947"/>
      <c r="B223" s="503" t="s">
        <v>687</v>
      </c>
      <c r="C223" s="503" t="s">
        <v>880</v>
      </c>
    </row>
    <row r="224" spans="1:4" ht="36">
      <c r="A224" s="947"/>
      <c r="B224" s="503" t="s">
        <v>686</v>
      </c>
      <c r="C224" s="502" t="s">
        <v>879</v>
      </c>
    </row>
    <row r="225" spans="1:3">
      <c r="A225" s="947"/>
      <c r="B225" s="503" t="s">
        <v>914</v>
      </c>
      <c r="C225" s="502" t="s">
        <v>878</v>
      </c>
    </row>
    <row r="226" spans="1:3" ht="24">
      <c r="A226" s="947"/>
      <c r="B226" s="503" t="s">
        <v>915</v>
      </c>
      <c r="C226" s="502" t="s">
        <v>877</v>
      </c>
    </row>
    <row r="227" spans="1:3" ht="12.6">
      <c r="A227" s="535"/>
      <c r="B227" s="536"/>
      <c r="C227" s="537"/>
    </row>
    <row r="228" spans="1:3" ht="12.6">
      <c r="A228" s="535"/>
      <c r="B228" s="537"/>
      <c r="C228" s="537"/>
    </row>
    <row r="229" spans="1:3" ht="12.6">
      <c r="A229" s="535"/>
      <c r="B229" s="537"/>
      <c r="C229" s="537"/>
    </row>
    <row r="230" spans="1:3" ht="12.6">
      <c r="A230" s="535"/>
      <c r="B230" s="538"/>
      <c r="C230" s="537"/>
    </row>
    <row r="231" spans="1:3">
      <c r="A231" s="941"/>
      <c r="B231" s="539"/>
      <c r="C231" s="537"/>
    </row>
    <row r="232" spans="1:3">
      <c r="A232" s="941"/>
      <c r="B232" s="539"/>
      <c r="C232" s="537"/>
    </row>
    <row r="233" spans="1:3">
      <c r="A233" s="941"/>
      <c r="B233" s="539"/>
      <c r="C233" s="537"/>
    </row>
    <row r="234" spans="1:3">
      <c r="A234" s="941"/>
      <c r="B234" s="539"/>
      <c r="C234" s="540"/>
    </row>
    <row r="235" spans="1:3" ht="40.5" customHeight="1">
      <c r="A235" s="941"/>
      <c r="B235" s="539"/>
      <c r="C235" s="537"/>
    </row>
    <row r="236" spans="1:3" ht="24" customHeight="1">
      <c r="A236" s="941"/>
      <c r="B236" s="539"/>
      <c r="C236" s="537"/>
    </row>
    <row r="237" spans="1:3">
      <c r="A237" s="941"/>
      <c r="B237" s="539"/>
      <c r="C237" s="537"/>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topLeftCell="A28" zoomScale="80" zoomScaleNormal="80" workbookViewId="0">
      <selection activeCell="D39" sqref="D39"/>
    </sheetView>
  </sheetViews>
  <sheetFormatPr defaultRowHeight="14.4"/>
  <cols>
    <col min="2" max="2" width="66.6640625" customWidth="1"/>
    <col min="3" max="8" width="17.77734375" customWidth="1"/>
  </cols>
  <sheetData>
    <row r="1" spans="1:8">
      <c r="A1" s="13" t="s">
        <v>97</v>
      </c>
      <c r="B1" s="247" t="str">
        <f>Info!C2</f>
        <v>სს "კრედო ბანკი"</v>
      </c>
      <c r="C1" s="12"/>
      <c r="D1" s="1"/>
      <c r="E1" s="1"/>
      <c r="F1" s="1"/>
      <c r="G1" s="1"/>
    </row>
    <row r="2" spans="1:8">
      <c r="A2" s="13" t="s">
        <v>98</v>
      </c>
      <c r="B2" s="275">
        <f>'1. key ratios'!B2</f>
        <v>46112</v>
      </c>
      <c r="C2" s="12"/>
      <c r="D2" s="1"/>
      <c r="E2" s="1"/>
      <c r="F2" s="1"/>
      <c r="G2" s="1"/>
    </row>
    <row r="3" spans="1:8">
      <c r="A3" s="13"/>
      <c r="B3" s="12"/>
      <c r="C3" s="12"/>
      <c r="D3" s="1"/>
      <c r="E3" s="1"/>
      <c r="F3" s="1"/>
      <c r="G3" s="1"/>
    </row>
    <row r="4" spans="1:8">
      <c r="A4" s="791" t="s">
        <v>25</v>
      </c>
      <c r="B4" s="789" t="s">
        <v>155</v>
      </c>
      <c r="C4" s="787" t="s">
        <v>103</v>
      </c>
      <c r="D4" s="787"/>
      <c r="E4" s="787"/>
      <c r="F4" s="787" t="s">
        <v>104</v>
      </c>
      <c r="G4" s="787"/>
      <c r="H4" s="788"/>
    </row>
    <row r="5" spans="1:8" ht="15.45" customHeight="1">
      <c r="A5" s="792"/>
      <c r="B5" s="790"/>
      <c r="C5" s="367" t="s">
        <v>26</v>
      </c>
      <c r="D5" s="367" t="s">
        <v>77</v>
      </c>
      <c r="E5" s="367" t="s">
        <v>66</v>
      </c>
      <c r="F5" s="367" t="s">
        <v>26</v>
      </c>
      <c r="G5" s="367" t="s">
        <v>77</v>
      </c>
      <c r="H5" s="367" t="s">
        <v>66</v>
      </c>
    </row>
    <row r="6" spans="1:8">
      <c r="A6" s="395">
        <v>1</v>
      </c>
      <c r="B6" s="368" t="s">
        <v>744</v>
      </c>
      <c r="C6" s="665">
        <f>SUM(C7:C12)</f>
        <v>164861869.55999142</v>
      </c>
      <c r="D6" s="665">
        <f>SUM(D7:D12)</f>
        <v>9045947.4200000167</v>
      </c>
      <c r="E6" s="661">
        <f>C6+D6</f>
        <v>173907816.97999144</v>
      </c>
      <c r="F6" s="664">
        <f>SUM(F7:F12)</f>
        <v>144664366.57002324</v>
      </c>
      <c r="G6" s="664">
        <f>SUM(G7:G12)</f>
        <v>6624435.2199999988</v>
      </c>
      <c r="H6" s="661">
        <f>F6+G6</f>
        <v>151288801.79002324</v>
      </c>
    </row>
    <row r="7" spans="1:8">
      <c r="A7" s="395">
        <v>1.1000000000000001</v>
      </c>
      <c r="B7" s="369" t="s">
        <v>698</v>
      </c>
      <c r="C7" s="663"/>
      <c r="D7" s="663"/>
      <c r="E7" s="661">
        <f t="shared" ref="E7:E45" si="0">C7+D7</f>
        <v>0</v>
      </c>
      <c r="F7" s="656"/>
      <c r="G7" s="656"/>
      <c r="H7" s="661">
        <f t="shared" ref="H7:H44" si="1">F7+G7</f>
        <v>0</v>
      </c>
    </row>
    <row r="8" spans="1:8" ht="20.399999999999999">
      <c r="A8" s="395">
        <v>1.2</v>
      </c>
      <c r="B8" s="369" t="s">
        <v>745</v>
      </c>
      <c r="C8" s="663"/>
      <c r="D8" s="663"/>
      <c r="E8" s="661">
        <f t="shared" si="0"/>
        <v>0</v>
      </c>
      <c r="F8" s="656"/>
      <c r="G8" s="656"/>
      <c r="H8" s="661">
        <f t="shared" si="1"/>
        <v>0</v>
      </c>
    </row>
    <row r="9" spans="1:8" ht="21.45" customHeight="1">
      <c r="A9" s="395">
        <v>1.3</v>
      </c>
      <c r="B9" s="359" t="s">
        <v>746</v>
      </c>
      <c r="C9" s="663"/>
      <c r="D9" s="663"/>
      <c r="E9" s="661">
        <f t="shared" si="0"/>
        <v>0</v>
      </c>
      <c r="F9" s="656"/>
      <c r="G9" s="656"/>
      <c r="H9" s="661">
        <f t="shared" si="1"/>
        <v>0</v>
      </c>
    </row>
    <row r="10" spans="1:8" ht="20.399999999999999">
      <c r="A10" s="395">
        <v>1.4</v>
      </c>
      <c r="B10" s="359" t="s">
        <v>702</v>
      </c>
      <c r="C10" s="663"/>
      <c r="D10" s="663"/>
      <c r="E10" s="661">
        <f t="shared" si="0"/>
        <v>0</v>
      </c>
      <c r="F10" s="656"/>
      <c r="G10" s="656"/>
      <c r="H10" s="661">
        <f t="shared" si="1"/>
        <v>0</v>
      </c>
    </row>
    <row r="11" spans="1:8">
      <c r="A11" s="395">
        <v>1.5</v>
      </c>
      <c r="B11" s="359" t="s">
        <v>705</v>
      </c>
      <c r="C11" s="663">
        <v>164861869.55999142</v>
      </c>
      <c r="D11" s="663">
        <v>9045947.4200000167</v>
      </c>
      <c r="E11" s="661">
        <f t="shared" si="0"/>
        <v>173907816.97999144</v>
      </c>
      <c r="F11" s="656">
        <v>144664366.57002324</v>
      </c>
      <c r="G11" s="656">
        <v>6624435.2199999988</v>
      </c>
      <c r="H11" s="661">
        <f t="shared" si="1"/>
        <v>151288801.79002324</v>
      </c>
    </row>
    <row r="12" spans="1:8">
      <c r="A12" s="395">
        <v>1.6</v>
      </c>
      <c r="B12" s="360" t="s">
        <v>88</v>
      </c>
      <c r="C12" s="663"/>
      <c r="D12" s="663"/>
      <c r="E12" s="661">
        <f t="shared" si="0"/>
        <v>0</v>
      </c>
      <c r="F12" s="355"/>
      <c r="G12" s="355"/>
      <c r="H12" s="661">
        <f t="shared" si="1"/>
        <v>0</v>
      </c>
    </row>
    <row r="13" spans="1:8">
      <c r="A13" s="395">
        <v>2</v>
      </c>
      <c r="B13" s="370" t="s">
        <v>747</v>
      </c>
      <c r="C13" s="665">
        <f>SUM(C14:C17)</f>
        <v>-65019630.160000004</v>
      </c>
      <c r="D13" s="665">
        <f>SUM(D14:D17)</f>
        <v>-10151919.020000003</v>
      </c>
      <c r="E13" s="661">
        <f t="shared" si="0"/>
        <v>-75171549.180000007</v>
      </c>
      <c r="F13" s="664">
        <f>SUM(F14:F17)</f>
        <v>-52836497.409999996</v>
      </c>
      <c r="G13" s="664">
        <f>SUM(G14:G17)</f>
        <v>-6674087.9599999934</v>
      </c>
      <c r="H13" s="661">
        <f t="shared" si="1"/>
        <v>-59510585.36999999</v>
      </c>
    </row>
    <row r="14" spans="1:8">
      <c r="A14" s="395">
        <v>2.1</v>
      </c>
      <c r="B14" s="359" t="s">
        <v>748</v>
      </c>
      <c r="C14" s="663"/>
      <c r="D14" s="663"/>
      <c r="E14" s="661">
        <f t="shared" si="0"/>
        <v>0</v>
      </c>
      <c r="F14" s="656"/>
      <c r="G14" s="656"/>
      <c r="H14" s="661">
        <f t="shared" si="1"/>
        <v>0</v>
      </c>
    </row>
    <row r="15" spans="1:8" ht="24.45" customHeight="1">
      <c r="A15" s="395">
        <v>2.2000000000000002</v>
      </c>
      <c r="B15" s="359" t="s">
        <v>749</v>
      </c>
      <c r="C15" s="663"/>
      <c r="D15" s="663"/>
      <c r="E15" s="661">
        <f t="shared" si="0"/>
        <v>0</v>
      </c>
      <c r="F15" s="656"/>
      <c r="G15" s="656"/>
      <c r="H15" s="661">
        <f t="shared" si="1"/>
        <v>0</v>
      </c>
    </row>
    <row r="16" spans="1:8" ht="20.55" customHeight="1">
      <c r="A16" s="395">
        <v>2.2999999999999998</v>
      </c>
      <c r="B16" s="359" t="s">
        <v>750</v>
      </c>
      <c r="C16" s="663">
        <v>-65019630.160000004</v>
      </c>
      <c r="D16" s="663">
        <v>-10151919.020000003</v>
      </c>
      <c r="E16" s="661">
        <f t="shared" si="0"/>
        <v>-75171549.180000007</v>
      </c>
      <c r="F16" s="656">
        <v>-52836497.409999996</v>
      </c>
      <c r="G16" s="656">
        <v>-6674087.9599999934</v>
      </c>
      <c r="H16" s="661">
        <f t="shared" si="1"/>
        <v>-59510585.36999999</v>
      </c>
    </row>
    <row r="17" spans="1:8">
      <c r="A17" s="395">
        <v>2.4</v>
      </c>
      <c r="B17" s="359" t="s">
        <v>751</v>
      </c>
      <c r="C17" s="663"/>
      <c r="D17" s="663"/>
      <c r="E17" s="661">
        <f t="shared" si="0"/>
        <v>0</v>
      </c>
      <c r="F17" s="355"/>
      <c r="G17" s="355"/>
      <c r="H17" s="661">
        <f t="shared" si="1"/>
        <v>0</v>
      </c>
    </row>
    <row r="18" spans="1:8">
      <c r="A18" s="395">
        <v>3</v>
      </c>
      <c r="B18" s="370" t="s">
        <v>752</v>
      </c>
      <c r="C18" s="663"/>
      <c r="D18" s="663"/>
      <c r="E18" s="661">
        <f t="shared" si="0"/>
        <v>0</v>
      </c>
      <c r="F18" s="355"/>
      <c r="G18" s="355"/>
      <c r="H18" s="661">
        <f t="shared" si="1"/>
        <v>0</v>
      </c>
    </row>
    <row r="19" spans="1:8">
      <c r="A19" s="395">
        <v>4</v>
      </c>
      <c r="B19" s="370" t="s">
        <v>753</v>
      </c>
      <c r="C19" s="663">
        <v>18619225.829999991</v>
      </c>
      <c r="D19" s="663">
        <v>3181589.7800000012</v>
      </c>
      <c r="E19" s="661">
        <f t="shared" si="0"/>
        <v>21800815.609999992</v>
      </c>
      <c r="F19" s="656">
        <v>14846531.029999999</v>
      </c>
      <c r="G19" s="656">
        <v>2778632.8100000005</v>
      </c>
      <c r="H19" s="661">
        <f t="shared" si="1"/>
        <v>17625163.84</v>
      </c>
    </row>
    <row r="20" spans="1:8">
      <c r="A20" s="395">
        <v>5</v>
      </c>
      <c r="B20" s="370" t="s">
        <v>754</v>
      </c>
      <c r="C20" s="663">
        <v>-6295390.1200000001</v>
      </c>
      <c r="D20" s="663">
        <v>-4395806.47</v>
      </c>
      <c r="E20" s="661">
        <f t="shared" si="0"/>
        <v>-10691196.59</v>
      </c>
      <c r="F20" s="656">
        <v>-4963675.2799999993</v>
      </c>
      <c r="G20" s="656">
        <v>-2798070.58</v>
      </c>
      <c r="H20" s="661">
        <f t="shared" si="1"/>
        <v>-7761745.8599999994</v>
      </c>
    </row>
    <row r="21" spans="1:8" ht="38.549999999999997" customHeight="1">
      <c r="A21" s="395">
        <v>6</v>
      </c>
      <c r="B21" s="370" t="s">
        <v>755</v>
      </c>
      <c r="C21" s="663"/>
      <c r="D21" s="663"/>
      <c r="E21" s="661">
        <f t="shared" si="0"/>
        <v>0</v>
      </c>
      <c r="F21" s="656"/>
      <c r="G21" s="656"/>
      <c r="H21" s="661">
        <f t="shared" si="1"/>
        <v>0</v>
      </c>
    </row>
    <row r="22" spans="1:8" ht="27.45" customHeight="1">
      <c r="A22" s="395">
        <v>7</v>
      </c>
      <c r="B22" s="370" t="s">
        <v>756</v>
      </c>
      <c r="C22" s="663">
        <v>-5807185.2800000003</v>
      </c>
      <c r="D22" s="663"/>
      <c r="E22" s="661">
        <f t="shared" si="0"/>
        <v>-5807185.2800000003</v>
      </c>
      <c r="F22" s="656">
        <v>-4057375.3099999977</v>
      </c>
      <c r="G22" s="656"/>
      <c r="H22" s="661">
        <f t="shared" si="1"/>
        <v>-4057375.3099999977</v>
      </c>
    </row>
    <row r="23" spans="1:8" ht="37.049999999999997" customHeight="1">
      <c r="A23" s="395">
        <v>8</v>
      </c>
      <c r="B23" s="371" t="s">
        <v>757</v>
      </c>
      <c r="C23" s="663"/>
      <c r="D23" s="663"/>
      <c r="E23" s="661">
        <f t="shared" si="0"/>
        <v>0</v>
      </c>
      <c r="F23" s="656"/>
      <c r="G23" s="656"/>
      <c r="H23" s="661">
        <f t="shared" si="1"/>
        <v>0</v>
      </c>
    </row>
    <row r="24" spans="1:8" ht="34.5" customHeight="1">
      <c r="A24" s="395">
        <v>9</v>
      </c>
      <c r="B24" s="371" t="s">
        <v>758</v>
      </c>
      <c r="C24" s="663"/>
      <c r="D24" s="663"/>
      <c r="E24" s="661">
        <f t="shared" si="0"/>
        <v>0</v>
      </c>
      <c r="F24" s="656"/>
      <c r="G24" s="656">
        <v>0</v>
      </c>
      <c r="H24" s="661">
        <f t="shared" si="1"/>
        <v>0</v>
      </c>
    </row>
    <row r="25" spans="1:8">
      <c r="A25" s="395">
        <v>10</v>
      </c>
      <c r="B25" s="370" t="s">
        <v>759</v>
      </c>
      <c r="C25" s="663">
        <v>3355436.75</v>
      </c>
      <c r="D25" s="663"/>
      <c r="E25" s="661">
        <f t="shared" si="0"/>
        <v>3355436.75</v>
      </c>
      <c r="F25" s="656">
        <v>1808383</v>
      </c>
      <c r="G25" s="656">
        <v>0</v>
      </c>
      <c r="H25" s="661">
        <f t="shared" si="1"/>
        <v>1808383</v>
      </c>
    </row>
    <row r="26" spans="1:8" ht="27" customHeight="1">
      <c r="A26" s="395">
        <v>11</v>
      </c>
      <c r="B26" s="372" t="s">
        <v>760</v>
      </c>
      <c r="C26" s="663">
        <v>37445.879999999874</v>
      </c>
      <c r="D26" s="663"/>
      <c r="E26" s="661">
        <f t="shared" si="0"/>
        <v>37445.879999999874</v>
      </c>
      <c r="F26" s="656">
        <v>12722.409999999996</v>
      </c>
      <c r="G26" s="656"/>
      <c r="H26" s="661">
        <f t="shared" si="1"/>
        <v>12722.409999999996</v>
      </c>
    </row>
    <row r="27" spans="1:8">
      <c r="A27" s="395">
        <v>12</v>
      </c>
      <c r="B27" s="370" t="s">
        <v>761</v>
      </c>
      <c r="C27" s="663">
        <v>570859.14999999991</v>
      </c>
      <c r="D27" s="663">
        <v>198</v>
      </c>
      <c r="E27" s="661">
        <f t="shared" si="0"/>
        <v>571057.14999999991</v>
      </c>
      <c r="F27" s="656">
        <v>216504.78</v>
      </c>
      <c r="G27" s="656">
        <v>114.23000000001048</v>
      </c>
      <c r="H27" s="661">
        <f t="shared" si="1"/>
        <v>216619.01</v>
      </c>
    </row>
    <row r="28" spans="1:8">
      <c r="A28" s="395">
        <v>13</v>
      </c>
      <c r="B28" s="373" t="s">
        <v>762</v>
      </c>
      <c r="C28" s="663">
        <v>-7504378</v>
      </c>
      <c r="D28" s="663">
        <v>-298866</v>
      </c>
      <c r="E28" s="661">
        <f t="shared" si="0"/>
        <v>-7803244</v>
      </c>
      <c r="F28" s="656">
        <v>-6807024.4500000011</v>
      </c>
      <c r="G28" s="656">
        <v>-224692.27999999933</v>
      </c>
      <c r="H28" s="661">
        <f t="shared" si="1"/>
        <v>-7031716.7300000004</v>
      </c>
    </row>
    <row r="29" spans="1:8">
      <c r="A29" s="395">
        <v>14</v>
      </c>
      <c r="B29" s="374" t="s">
        <v>763</v>
      </c>
      <c r="C29" s="665">
        <f>SUM(C30:C31)</f>
        <v>-46025640.659999989</v>
      </c>
      <c r="D29" s="665">
        <f>SUM(D30:D31)</f>
        <v>-349135.18999999994</v>
      </c>
      <c r="E29" s="661">
        <f t="shared" si="0"/>
        <v>-46374775.849999987</v>
      </c>
      <c r="F29" s="664">
        <f>SUM(F30:F31)</f>
        <v>-38148399.750000022</v>
      </c>
      <c r="G29" s="664">
        <f>SUM(G30:G31)</f>
        <v>-259525.33000000002</v>
      </c>
      <c r="H29" s="661">
        <f t="shared" si="1"/>
        <v>-38407925.080000021</v>
      </c>
    </row>
    <row r="30" spans="1:8">
      <c r="A30" s="395">
        <v>14.1</v>
      </c>
      <c r="B30" s="350" t="s">
        <v>764</v>
      </c>
      <c r="C30" s="663">
        <v>-43755832.249999993</v>
      </c>
      <c r="D30" s="663">
        <v>-40668.620000000003</v>
      </c>
      <c r="E30" s="661">
        <f t="shared" si="0"/>
        <v>-43796500.86999999</v>
      </c>
      <c r="F30" s="656">
        <v>-36291494.460000023</v>
      </c>
      <c r="G30" s="656">
        <v>-43164.31</v>
      </c>
      <c r="H30" s="661">
        <f t="shared" si="1"/>
        <v>-36334658.770000026</v>
      </c>
    </row>
    <row r="31" spans="1:8">
      <c r="A31" s="395">
        <v>14.2</v>
      </c>
      <c r="B31" s="350" t="s">
        <v>765</v>
      </c>
      <c r="C31" s="663">
        <v>-2269808.4099999992</v>
      </c>
      <c r="D31" s="663">
        <v>-308466.56999999995</v>
      </c>
      <c r="E31" s="661">
        <f t="shared" si="0"/>
        <v>-2578274.9799999991</v>
      </c>
      <c r="F31" s="656">
        <v>-1856905.29</v>
      </c>
      <c r="G31" s="656">
        <v>-216361.02000000002</v>
      </c>
      <c r="H31" s="661">
        <f t="shared" si="1"/>
        <v>-2073266.31</v>
      </c>
    </row>
    <row r="32" spans="1:8">
      <c r="A32" s="395">
        <v>15</v>
      </c>
      <c r="B32" s="375" t="s">
        <v>766</v>
      </c>
      <c r="C32" s="663">
        <v>-6221181.2999999989</v>
      </c>
      <c r="D32" s="663"/>
      <c r="E32" s="661">
        <f t="shared" si="0"/>
        <v>-6221181.2999999989</v>
      </c>
      <c r="F32" s="656">
        <v>-5308459.6899999985</v>
      </c>
      <c r="G32" s="656"/>
      <c r="H32" s="661">
        <f t="shared" si="1"/>
        <v>-5308459.6899999985</v>
      </c>
    </row>
    <row r="33" spans="1:8" ht="22.5" customHeight="1">
      <c r="A33" s="395">
        <v>16</v>
      </c>
      <c r="B33" s="346" t="s">
        <v>767</v>
      </c>
      <c r="C33" s="663"/>
      <c r="D33" s="663"/>
      <c r="E33" s="661">
        <f t="shared" si="0"/>
        <v>0</v>
      </c>
      <c r="F33" s="355"/>
      <c r="G33" s="355"/>
      <c r="H33" s="661">
        <f t="shared" si="1"/>
        <v>0</v>
      </c>
    </row>
    <row r="34" spans="1:8">
      <c r="A34" s="395">
        <v>17</v>
      </c>
      <c r="B34" s="370" t="s">
        <v>768</v>
      </c>
      <c r="C34" s="663">
        <f>SUM(C35:C36)</f>
        <v>-127946.73000000001</v>
      </c>
      <c r="D34" s="663">
        <f>SUM(D35:D36)</f>
        <v>0</v>
      </c>
      <c r="E34" s="661">
        <f t="shared" si="0"/>
        <v>-127946.73000000001</v>
      </c>
      <c r="F34" s="663">
        <f>SUM(F35:F36)</f>
        <v>0</v>
      </c>
      <c r="G34" s="355">
        <f>SUM(G35:G36)</f>
        <v>0</v>
      </c>
      <c r="H34" s="661">
        <f t="shared" si="1"/>
        <v>0</v>
      </c>
    </row>
    <row r="35" spans="1:8">
      <c r="A35" s="395">
        <v>17.100000000000001</v>
      </c>
      <c r="B35" s="376" t="s">
        <v>769</v>
      </c>
      <c r="C35" s="663">
        <v>-127946.73000000001</v>
      </c>
      <c r="D35" s="663"/>
      <c r="E35" s="661">
        <f t="shared" si="0"/>
        <v>-127946.73000000001</v>
      </c>
      <c r="F35" s="663"/>
      <c r="G35" s="355"/>
      <c r="H35" s="661">
        <f>F35+G35</f>
        <v>0</v>
      </c>
    </row>
    <row r="36" spans="1:8">
      <c r="A36" s="395">
        <v>17.2</v>
      </c>
      <c r="B36" s="350" t="s">
        <v>770</v>
      </c>
      <c r="C36" s="663"/>
      <c r="D36" s="663"/>
      <c r="E36" s="661">
        <f t="shared" si="0"/>
        <v>0</v>
      </c>
      <c r="F36" s="663"/>
      <c r="G36" s="355"/>
      <c r="H36" s="661">
        <f>F36+G36</f>
        <v>0</v>
      </c>
    </row>
    <row r="37" spans="1:8" ht="41.55" customHeight="1">
      <c r="A37" s="395">
        <v>18</v>
      </c>
      <c r="B37" s="377" t="s">
        <v>771</v>
      </c>
      <c r="C37" s="665">
        <f>SUM(C38:C39)</f>
        <v>-18723598</v>
      </c>
      <c r="D37" s="665">
        <f>SUM(D38:D39)</f>
        <v>-2677476</v>
      </c>
      <c r="E37" s="661">
        <f t="shared" si="0"/>
        <v>-21401074</v>
      </c>
      <c r="F37" s="664">
        <f>SUM(F38:F39)</f>
        <v>-20463375</v>
      </c>
      <c r="G37" s="664">
        <f>SUM(G38:G39)</f>
        <v>-423145</v>
      </c>
      <c r="H37" s="661">
        <f t="shared" si="1"/>
        <v>-20886520</v>
      </c>
    </row>
    <row r="38" spans="1:8" ht="20.399999999999999">
      <c r="A38" s="395">
        <v>18.100000000000001</v>
      </c>
      <c r="B38" s="359" t="s">
        <v>772</v>
      </c>
      <c r="C38" s="663"/>
      <c r="D38" s="663"/>
      <c r="E38" s="661">
        <f t="shared" si="0"/>
        <v>0</v>
      </c>
      <c r="F38" s="656"/>
      <c r="G38" s="656"/>
      <c r="H38" s="661">
        <f t="shared" si="1"/>
        <v>0</v>
      </c>
    </row>
    <row r="39" spans="1:8">
      <c r="A39" s="395">
        <v>18.2</v>
      </c>
      <c r="B39" s="359" t="s">
        <v>773</v>
      </c>
      <c r="C39" s="663">
        <v>-18723598</v>
      </c>
      <c r="D39" s="663">
        <v>-2677476</v>
      </c>
      <c r="E39" s="661">
        <f t="shared" si="0"/>
        <v>-21401074</v>
      </c>
      <c r="F39" s="656">
        <v>-20463375</v>
      </c>
      <c r="G39" s="656">
        <v>-423145</v>
      </c>
      <c r="H39" s="661">
        <f t="shared" si="1"/>
        <v>-20886520</v>
      </c>
    </row>
    <row r="40" spans="1:8" ht="24.45" customHeight="1">
      <c r="A40" s="395">
        <v>19</v>
      </c>
      <c r="B40" s="377" t="s">
        <v>774</v>
      </c>
      <c r="C40" s="663"/>
      <c r="D40" s="663"/>
      <c r="E40" s="661">
        <f t="shared" si="0"/>
        <v>0</v>
      </c>
      <c r="F40" s="656"/>
      <c r="G40" s="656"/>
      <c r="H40" s="661">
        <f t="shared" si="1"/>
        <v>0</v>
      </c>
    </row>
    <row r="41" spans="1:8" ht="25.05" customHeight="1">
      <c r="A41" s="395">
        <v>20</v>
      </c>
      <c r="B41" s="377" t="s">
        <v>775</v>
      </c>
      <c r="C41" s="663">
        <v>-339683</v>
      </c>
      <c r="D41" s="663"/>
      <c r="E41" s="661">
        <f t="shared" si="0"/>
        <v>-339683</v>
      </c>
      <c r="F41" s="656">
        <v>-523366</v>
      </c>
      <c r="G41" s="656">
        <v>-161</v>
      </c>
      <c r="H41" s="661">
        <f t="shared" si="1"/>
        <v>-523527</v>
      </c>
    </row>
    <row r="42" spans="1:8" ht="33" customHeight="1">
      <c r="A42" s="395">
        <v>21</v>
      </c>
      <c r="B42" s="378" t="s">
        <v>776</v>
      </c>
      <c r="C42" s="663"/>
      <c r="D42" s="663"/>
      <c r="E42" s="661">
        <f t="shared" si="0"/>
        <v>0</v>
      </c>
      <c r="F42" s="355"/>
      <c r="G42" s="355"/>
      <c r="H42" s="661">
        <f t="shared" si="1"/>
        <v>0</v>
      </c>
    </row>
    <row r="43" spans="1:8">
      <c r="A43" s="395">
        <v>22</v>
      </c>
      <c r="B43" s="379" t="s">
        <v>777</v>
      </c>
      <c r="C43" s="663">
        <f>SUM(C6,C13,C18,C19,C20,C21,C22,C23,C24,C25,C26,C27,C28,C29,C32,C33,C34,C37,C40,C41,C42)</f>
        <v>31380203.919991419</v>
      </c>
      <c r="D43" s="663">
        <f>SUM(D6,D13,D18,D19,D20,D21,D22,D23,D24,D25,D26,D27,D28,D29,D32,D33,D34,D37,D40,D41,D42)</f>
        <v>-5645467.4799999855</v>
      </c>
      <c r="E43" s="661">
        <f t="shared" si="0"/>
        <v>25734736.439991433</v>
      </c>
      <c r="F43" s="663">
        <f>SUM(F6,F13,F18,F19,F20,F21,F22,F23,F24,F25,F26,F27,F28,F29,F32,F33,F34,F37,F40,F41,F42)</f>
        <v>28440334.900023215</v>
      </c>
      <c r="G43" s="663">
        <f>SUM(G6,G13,G18,G19,G20,G21,G22,G23,G24,G25,G26,G27,G28,G29,G32,G33,G34,G37,G40,G41,G42)</f>
        <v>-976499.88999999361</v>
      </c>
      <c r="H43" s="661">
        <f t="shared" si="1"/>
        <v>27463835.010023221</v>
      </c>
    </row>
    <row r="44" spans="1:8">
      <c r="A44" s="395">
        <v>23</v>
      </c>
      <c r="B44" s="379" t="s">
        <v>778</v>
      </c>
      <c r="C44" s="663">
        <v>-4880386.9399999995</v>
      </c>
      <c r="D44" s="663"/>
      <c r="E44" s="661">
        <f t="shared" si="0"/>
        <v>-4880386.9399999995</v>
      </c>
      <c r="F44" s="656">
        <v>-5492767.040000001</v>
      </c>
      <c r="G44" s="355"/>
      <c r="H44" s="661">
        <f t="shared" si="1"/>
        <v>-5492767.040000001</v>
      </c>
    </row>
    <row r="45" spans="1:8">
      <c r="A45" s="395">
        <v>24</v>
      </c>
      <c r="B45" s="379" t="s">
        <v>779</v>
      </c>
      <c r="C45" s="656">
        <f>C43+C44</f>
        <v>26499816.979991421</v>
      </c>
      <c r="D45" s="656">
        <f>D43+D44</f>
        <v>-5645467.4799999855</v>
      </c>
      <c r="E45" s="661">
        <f t="shared" si="0"/>
        <v>20854349.499991436</v>
      </c>
      <c r="F45" s="656">
        <f>F43+F44</f>
        <v>22947567.860023215</v>
      </c>
      <c r="G45" s="656">
        <f>G43+G44</f>
        <v>-976499.88999999361</v>
      </c>
      <c r="H45" s="661">
        <f>F45+G45</f>
        <v>21971067.970023222</v>
      </c>
    </row>
  </sheetData>
  <mergeCells count="4">
    <mergeCell ref="B4:B5"/>
    <mergeCell ref="C4:E4"/>
    <mergeCell ref="F4:H4"/>
    <mergeCell ref="A4:A5"/>
  </mergeCells>
  <pageMargins left="0.7" right="0.7" top="0.75" bottom="0.75" header="0.3" footer="0.3"/>
  <ignoredErrors>
    <ignoredError sqref="C29:D2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47"/>
  <sheetViews>
    <sheetView topLeftCell="A25" zoomScale="80" zoomScaleNormal="80" workbookViewId="0">
      <selection activeCell="C42" sqref="C42:D42"/>
    </sheetView>
  </sheetViews>
  <sheetFormatPr defaultRowHeight="14.4"/>
  <cols>
    <col min="1" max="1" width="8.77734375" style="392"/>
    <col min="2" max="2" width="87.6640625" bestFit="1" customWidth="1"/>
    <col min="3" max="3" width="14.44140625" bestFit="1" customWidth="1"/>
    <col min="4" max="5" width="12.77734375" customWidth="1"/>
    <col min="6" max="6" width="14.44140625" bestFit="1" customWidth="1"/>
    <col min="7" max="8" width="12.77734375" customWidth="1"/>
  </cols>
  <sheetData>
    <row r="1" spans="1:8">
      <c r="A1" s="13" t="s">
        <v>97</v>
      </c>
      <c r="B1" s="247" t="str">
        <f>Info!C2</f>
        <v>სს "კრედო ბანკი"</v>
      </c>
      <c r="C1" s="12"/>
      <c r="D1" s="1"/>
      <c r="E1" s="1"/>
      <c r="F1" s="1"/>
      <c r="G1" s="1"/>
    </row>
    <row r="2" spans="1:8">
      <c r="A2" s="13" t="s">
        <v>98</v>
      </c>
      <c r="B2" s="275">
        <f>'1. key ratios'!B2</f>
        <v>46112</v>
      </c>
      <c r="C2" s="12"/>
      <c r="D2" s="1"/>
      <c r="E2" s="1"/>
      <c r="F2" s="1"/>
      <c r="G2" s="1"/>
    </row>
    <row r="3" spans="1:8">
      <c r="A3" s="13"/>
      <c r="B3" s="12"/>
      <c r="C3" s="12"/>
      <c r="D3" s="1"/>
      <c r="E3" s="1"/>
      <c r="F3" s="1"/>
      <c r="G3" s="1"/>
    </row>
    <row r="4" spans="1:8">
      <c r="A4" s="784" t="s">
        <v>25</v>
      </c>
      <c r="B4" s="793" t="s">
        <v>140</v>
      </c>
      <c r="C4" s="794" t="s">
        <v>103</v>
      </c>
      <c r="D4" s="794"/>
      <c r="E4" s="794"/>
      <c r="F4" s="794" t="s">
        <v>104</v>
      </c>
      <c r="G4" s="794"/>
      <c r="H4" s="795"/>
    </row>
    <row r="5" spans="1:8">
      <c r="A5" s="784"/>
      <c r="B5" s="793"/>
      <c r="C5" s="367" t="s">
        <v>26</v>
      </c>
      <c r="D5" s="367" t="s">
        <v>77</v>
      </c>
      <c r="E5" s="367" t="s">
        <v>66</v>
      </c>
      <c r="F5" s="367" t="s">
        <v>26</v>
      </c>
      <c r="G5" s="367" t="s">
        <v>77</v>
      </c>
      <c r="H5" s="380" t="s">
        <v>66</v>
      </c>
    </row>
    <row r="6" spans="1:8">
      <c r="A6" s="381">
        <v>1</v>
      </c>
      <c r="B6" s="385" t="s">
        <v>780</v>
      </c>
      <c r="C6" s="382"/>
      <c r="D6" s="382"/>
      <c r="E6" s="383">
        <f t="shared" ref="E6:E43" si="0">C6+D6</f>
        <v>0</v>
      </c>
      <c r="F6" s="382"/>
      <c r="G6" s="382"/>
      <c r="H6" s="384">
        <f t="shared" ref="H6:H43" si="1">F6+G6</f>
        <v>0</v>
      </c>
    </row>
    <row r="7" spans="1:8">
      <c r="A7" s="381">
        <v>2</v>
      </c>
      <c r="B7" s="385" t="s">
        <v>166</v>
      </c>
      <c r="C7" s="382"/>
      <c r="D7" s="382"/>
      <c r="E7" s="383">
        <f t="shared" si="0"/>
        <v>0</v>
      </c>
      <c r="F7" s="382"/>
      <c r="G7" s="382"/>
      <c r="H7" s="384">
        <f t="shared" si="1"/>
        <v>0</v>
      </c>
    </row>
    <row r="8" spans="1:8">
      <c r="A8" s="381">
        <v>3</v>
      </c>
      <c r="B8" s="385" t="s">
        <v>168</v>
      </c>
      <c r="C8" s="678">
        <f>C9+C10</f>
        <v>1867355818.9300001</v>
      </c>
      <c r="D8" s="382">
        <f>D9+D10</f>
        <v>0</v>
      </c>
      <c r="E8" s="383">
        <f t="shared" si="0"/>
        <v>1867355818.9300001</v>
      </c>
      <c r="F8" s="667">
        <f>F9+F10</f>
        <v>1522896156.3299999</v>
      </c>
      <c r="G8" s="667">
        <f>G9+G10</f>
        <v>0</v>
      </c>
      <c r="H8" s="384">
        <f t="shared" si="1"/>
        <v>1522896156.3299999</v>
      </c>
    </row>
    <row r="9" spans="1:8">
      <c r="A9" s="381">
        <v>3.1</v>
      </c>
      <c r="B9" s="386" t="s">
        <v>781</v>
      </c>
      <c r="C9" s="382">
        <v>1867319715.52</v>
      </c>
      <c r="D9" s="382"/>
      <c r="E9" s="383">
        <f t="shared" si="0"/>
        <v>1867319715.52</v>
      </c>
      <c r="F9" s="588">
        <v>1522830907.3299999</v>
      </c>
      <c r="G9" s="588"/>
      <c r="H9" s="384">
        <f t="shared" si="1"/>
        <v>1522830907.3299999</v>
      </c>
    </row>
    <row r="10" spans="1:8">
      <c r="A10" s="381">
        <v>3.2</v>
      </c>
      <c r="B10" s="386" t="s">
        <v>782</v>
      </c>
      <c r="C10" s="382">
        <v>36103.410000000003</v>
      </c>
      <c r="D10" s="382"/>
      <c r="E10" s="383">
        <f t="shared" si="0"/>
        <v>36103.410000000003</v>
      </c>
      <c r="F10" s="588">
        <v>65249</v>
      </c>
      <c r="G10" s="588"/>
      <c r="H10" s="384">
        <f t="shared" si="1"/>
        <v>65249</v>
      </c>
    </row>
    <row r="11" spans="1:8">
      <c r="A11" s="381">
        <v>4</v>
      </c>
      <c r="B11" s="385" t="s">
        <v>167</v>
      </c>
      <c r="C11" s="382">
        <f>C12+C13</f>
        <v>0</v>
      </c>
      <c r="D11" s="382">
        <f>D12+D13</f>
        <v>0</v>
      </c>
      <c r="E11" s="383">
        <f t="shared" si="0"/>
        <v>0</v>
      </c>
      <c r="F11" s="588"/>
      <c r="G11" s="588"/>
      <c r="H11" s="384">
        <f t="shared" si="1"/>
        <v>0</v>
      </c>
    </row>
    <row r="12" spans="1:8">
      <c r="A12" s="381">
        <v>4.0999999999999996</v>
      </c>
      <c r="B12" s="386" t="s">
        <v>783</v>
      </c>
      <c r="C12" s="382"/>
      <c r="D12" s="382"/>
      <c r="E12" s="383">
        <f t="shared" si="0"/>
        <v>0</v>
      </c>
      <c r="F12" s="588"/>
      <c r="G12" s="588"/>
      <c r="H12" s="384">
        <f t="shared" si="1"/>
        <v>0</v>
      </c>
    </row>
    <row r="13" spans="1:8">
      <c r="A13" s="381">
        <v>4.2</v>
      </c>
      <c r="B13" s="386" t="s">
        <v>784</v>
      </c>
      <c r="C13" s="382"/>
      <c r="D13" s="382"/>
      <c r="E13" s="383">
        <f t="shared" si="0"/>
        <v>0</v>
      </c>
      <c r="F13" s="588"/>
      <c r="G13" s="588"/>
      <c r="H13" s="384">
        <f t="shared" si="1"/>
        <v>0</v>
      </c>
    </row>
    <row r="14" spans="1:8">
      <c r="A14" s="381">
        <v>5</v>
      </c>
      <c r="B14" s="387" t="s">
        <v>785</v>
      </c>
      <c r="C14" s="678">
        <f>C15+C16+C17+C23+C24+C25+C26</f>
        <v>2883976304.04</v>
      </c>
      <c r="D14" s="678">
        <f>D15+D16+D17+D23+D24+D25+D26</f>
        <v>1889860</v>
      </c>
      <c r="E14" s="383">
        <f t="shared" si="0"/>
        <v>2885866164.04</v>
      </c>
      <c r="F14" s="667">
        <f>F15+F16+F17+F23+F24+F25+F26</f>
        <v>2161858398.5099998</v>
      </c>
      <c r="G14" s="667">
        <f>G15+G16+G17+G23+G24+G25+G26</f>
        <v>1937110</v>
      </c>
      <c r="H14" s="384">
        <f t="shared" si="1"/>
        <v>2163795508.5099998</v>
      </c>
    </row>
    <row r="15" spans="1:8">
      <c r="A15" s="381">
        <v>5.0999999999999996</v>
      </c>
      <c r="B15" s="388" t="s">
        <v>786</v>
      </c>
      <c r="C15" s="382">
        <v>5756496.9299999997</v>
      </c>
      <c r="D15" s="382">
        <v>1889860</v>
      </c>
      <c r="E15" s="383">
        <f t="shared" si="0"/>
        <v>7646356.9299999997</v>
      </c>
      <c r="F15" s="588">
        <v>18756167.829999998</v>
      </c>
      <c r="G15" s="588">
        <v>1937110</v>
      </c>
      <c r="H15" s="384">
        <f t="shared" si="1"/>
        <v>20693277.829999998</v>
      </c>
    </row>
    <row r="16" spans="1:8">
      <c r="A16" s="381">
        <v>5.2</v>
      </c>
      <c r="B16" s="388" t="s">
        <v>787</v>
      </c>
      <c r="C16" s="382">
        <v>2028</v>
      </c>
      <c r="D16" s="382"/>
      <c r="E16" s="383">
        <f t="shared" si="0"/>
        <v>2028</v>
      </c>
      <c r="F16" s="588">
        <v>2028</v>
      </c>
      <c r="G16" s="588"/>
      <c r="H16" s="384">
        <f t="shared" si="1"/>
        <v>2028</v>
      </c>
    </row>
    <row r="17" spans="1:8">
      <c r="A17" s="381">
        <v>5.3</v>
      </c>
      <c r="B17" s="388" t="s">
        <v>788</v>
      </c>
      <c r="C17" s="678">
        <f>C18+C19+C20+C21+C22</f>
        <v>2507200728.46</v>
      </c>
      <c r="D17" s="678">
        <f>D18+D19+D20+D21+D22</f>
        <v>0</v>
      </c>
      <c r="E17" s="383">
        <f t="shared" si="0"/>
        <v>2507200728.46</v>
      </c>
      <c r="F17" s="667">
        <f>F18+F19+F20+F21+F22</f>
        <v>1905065973.55</v>
      </c>
      <c r="G17" s="667">
        <v>0</v>
      </c>
      <c r="H17" s="384">
        <f t="shared" si="1"/>
        <v>1905065973.55</v>
      </c>
    </row>
    <row r="18" spans="1:8">
      <c r="A18" s="381" t="s">
        <v>169</v>
      </c>
      <c r="B18" s="389" t="s">
        <v>789</v>
      </c>
      <c r="C18" s="382">
        <v>1767751433.55</v>
      </c>
      <c r="D18" s="382"/>
      <c r="E18" s="383">
        <f t="shared" si="0"/>
        <v>1767751433.55</v>
      </c>
      <c r="F18" s="588">
        <v>1390877824.3399999</v>
      </c>
      <c r="G18" s="588"/>
      <c r="H18" s="384">
        <f t="shared" si="1"/>
        <v>1390877824.3399999</v>
      </c>
    </row>
    <row r="19" spans="1:8">
      <c r="A19" s="381" t="s">
        <v>170</v>
      </c>
      <c r="B19" s="390" t="s">
        <v>790</v>
      </c>
      <c r="C19" s="382">
        <v>314175004.92000002</v>
      </c>
      <c r="D19" s="382"/>
      <c r="E19" s="383">
        <f t="shared" si="0"/>
        <v>314175004.92000002</v>
      </c>
      <c r="F19" s="588">
        <v>227334626.21000001</v>
      </c>
      <c r="G19" s="588"/>
      <c r="H19" s="384">
        <f t="shared" si="1"/>
        <v>227334626.21000001</v>
      </c>
    </row>
    <row r="20" spans="1:8">
      <c r="A20" s="381" t="s">
        <v>171</v>
      </c>
      <c r="B20" s="390" t="s">
        <v>791</v>
      </c>
      <c r="C20" s="382"/>
      <c r="D20" s="382"/>
      <c r="E20" s="383">
        <f t="shared" si="0"/>
        <v>0</v>
      </c>
      <c r="F20" s="588"/>
      <c r="G20" s="588"/>
      <c r="H20" s="384">
        <f t="shared" si="1"/>
        <v>0</v>
      </c>
    </row>
    <row r="21" spans="1:8">
      <c r="A21" s="381" t="s">
        <v>172</v>
      </c>
      <c r="B21" s="390" t="s">
        <v>792</v>
      </c>
      <c r="C21" s="382">
        <v>422304003</v>
      </c>
      <c r="D21" s="382"/>
      <c r="E21" s="383">
        <f t="shared" si="0"/>
        <v>422304003</v>
      </c>
      <c r="F21" s="588">
        <v>282929410</v>
      </c>
      <c r="G21" s="588"/>
      <c r="H21" s="384">
        <f t="shared" si="1"/>
        <v>282929410</v>
      </c>
    </row>
    <row r="22" spans="1:8">
      <c r="A22" s="381" t="s">
        <v>173</v>
      </c>
      <c r="B22" s="390" t="s">
        <v>510</v>
      </c>
      <c r="C22" s="382">
        <v>2970286.99</v>
      </c>
      <c r="D22" s="382"/>
      <c r="E22" s="383">
        <f t="shared" si="0"/>
        <v>2970286.99</v>
      </c>
      <c r="F22" s="588">
        <v>3924113</v>
      </c>
      <c r="G22" s="588"/>
      <c r="H22" s="384">
        <f t="shared" si="1"/>
        <v>3924113</v>
      </c>
    </row>
    <row r="23" spans="1:8">
      <c r="A23" s="381">
        <v>5.4</v>
      </c>
      <c r="B23" s="388" t="s">
        <v>793</v>
      </c>
      <c r="C23" s="382">
        <v>371017050.64999998</v>
      </c>
      <c r="D23" s="382"/>
      <c r="E23" s="383">
        <f t="shared" si="0"/>
        <v>371017050.64999998</v>
      </c>
      <c r="F23" s="588">
        <v>238034229.13</v>
      </c>
      <c r="G23" s="588"/>
      <c r="H23" s="384">
        <f t="shared" si="1"/>
        <v>238034229.13</v>
      </c>
    </row>
    <row r="24" spans="1:8">
      <c r="A24" s="381">
        <v>5.5</v>
      </c>
      <c r="B24" s="388" t="s">
        <v>794</v>
      </c>
      <c r="C24" s="382"/>
      <c r="D24" s="382"/>
      <c r="E24" s="383">
        <f t="shared" si="0"/>
        <v>0</v>
      </c>
      <c r="F24" s="588"/>
      <c r="G24" s="588"/>
      <c r="H24" s="384">
        <f t="shared" si="1"/>
        <v>0</v>
      </c>
    </row>
    <row r="25" spans="1:8">
      <c r="A25" s="381">
        <v>5.6</v>
      </c>
      <c r="B25" s="388" t="s">
        <v>795</v>
      </c>
      <c r="C25" s="382"/>
      <c r="D25" s="382"/>
      <c r="E25" s="383">
        <f t="shared" si="0"/>
        <v>0</v>
      </c>
      <c r="F25" s="588"/>
      <c r="G25" s="588"/>
      <c r="H25" s="384">
        <f t="shared" si="1"/>
        <v>0</v>
      </c>
    </row>
    <row r="26" spans="1:8">
      <c r="A26" s="381">
        <v>5.7</v>
      </c>
      <c r="B26" s="388" t="s">
        <v>510</v>
      </c>
      <c r="C26" s="382"/>
      <c r="D26" s="382"/>
      <c r="E26" s="383">
        <f t="shared" si="0"/>
        <v>0</v>
      </c>
      <c r="F26" s="588"/>
      <c r="G26" s="588"/>
      <c r="H26" s="384">
        <f t="shared" si="1"/>
        <v>0</v>
      </c>
    </row>
    <row r="27" spans="1:8">
      <c r="A27" s="381">
        <v>6</v>
      </c>
      <c r="B27" s="387" t="s">
        <v>796</v>
      </c>
      <c r="C27" s="382">
        <v>430084130</v>
      </c>
      <c r="D27" s="382">
        <v>34796936</v>
      </c>
      <c r="E27" s="383">
        <f t="shared" si="0"/>
        <v>464881066</v>
      </c>
      <c r="F27" s="588">
        <v>311028599</v>
      </c>
      <c r="G27" s="588">
        <v>31833358</v>
      </c>
      <c r="H27" s="384">
        <f t="shared" si="1"/>
        <v>342861957</v>
      </c>
    </row>
    <row r="28" spans="1:8">
      <c r="A28" s="381">
        <v>7</v>
      </c>
      <c r="B28" s="387" t="s">
        <v>797</v>
      </c>
      <c r="C28" s="382">
        <v>1498632</v>
      </c>
      <c r="D28" s="382"/>
      <c r="E28" s="383">
        <f t="shared" si="0"/>
        <v>1498632</v>
      </c>
      <c r="F28" s="588">
        <v>2752316</v>
      </c>
      <c r="G28" s="588"/>
      <c r="H28" s="384">
        <f t="shared" si="1"/>
        <v>2752316</v>
      </c>
    </row>
    <row r="29" spans="1:8">
      <c r="A29" s="381">
        <v>8</v>
      </c>
      <c r="B29" s="387" t="s">
        <v>798</v>
      </c>
      <c r="C29" s="382"/>
      <c r="D29" s="382"/>
      <c r="E29" s="383">
        <f t="shared" si="0"/>
        <v>0</v>
      </c>
      <c r="F29" s="588"/>
      <c r="G29" s="588"/>
      <c r="H29" s="384">
        <f t="shared" si="1"/>
        <v>0</v>
      </c>
    </row>
    <row r="30" spans="1:8">
      <c r="A30" s="381">
        <v>9</v>
      </c>
      <c r="B30" s="385" t="s">
        <v>174</v>
      </c>
      <c r="C30" s="678">
        <f>C31+C32+C33+C34+C35+C36+C37</f>
        <v>376871303.5</v>
      </c>
      <c r="D30" s="678">
        <f>D31+D32+D33+D34+D35+D36+D37</f>
        <v>374917307.63</v>
      </c>
      <c r="E30" s="383">
        <f t="shared" si="0"/>
        <v>751788611.13</v>
      </c>
      <c r="F30" s="667">
        <f>F31+F32+F33+F34+F35+F36+F37</f>
        <v>361507688</v>
      </c>
      <c r="G30" s="667">
        <f>G31+G32+G33+G34+G35+G36+G37</f>
        <v>351486006</v>
      </c>
      <c r="H30" s="384">
        <f t="shared" si="1"/>
        <v>712993694</v>
      </c>
    </row>
    <row r="31" spans="1:8" ht="27.6">
      <c r="A31" s="381">
        <v>9.1</v>
      </c>
      <c r="B31" s="386" t="s">
        <v>799</v>
      </c>
      <c r="C31" s="382">
        <v>2702100</v>
      </c>
      <c r="D31" s="679">
        <v>369374655.63</v>
      </c>
      <c r="E31" s="383">
        <f t="shared" si="0"/>
        <v>372076755.63</v>
      </c>
      <c r="F31" s="588">
        <v>2764200</v>
      </c>
      <c r="G31" s="588">
        <v>348387553</v>
      </c>
      <c r="H31" s="668">
        <f t="shared" si="1"/>
        <v>351151753</v>
      </c>
    </row>
    <row r="32" spans="1:8" ht="27.6">
      <c r="A32" s="381">
        <v>9.1999999999999993</v>
      </c>
      <c r="B32" s="386" t="s">
        <v>800</v>
      </c>
      <c r="C32" s="382">
        <v>374169203.5</v>
      </c>
      <c r="D32" s="382">
        <v>5542652</v>
      </c>
      <c r="E32" s="383">
        <f t="shared" si="0"/>
        <v>379711855.5</v>
      </c>
      <c r="F32" s="588">
        <v>358743488</v>
      </c>
      <c r="G32" s="588">
        <v>3098453</v>
      </c>
      <c r="H32" s="668">
        <f t="shared" si="1"/>
        <v>361841941</v>
      </c>
    </row>
    <row r="33" spans="1:8" ht="27.6">
      <c r="A33" s="381">
        <v>9.3000000000000007</v>
      </c>
      <c r="B33" s="386" t="s">
        <v>801</v>
      </c>
      <c r="C33" s="382"/>
      <c r="D33" s="382"/>
      <c r="E33" s="383">
        <f t="shared" si="0"/>
        <v>0</v>
      </c>
      <c r="F33" s="588"/>
      <c r="G33" s="588"/>
      <c r="H33" s="668">
        <f t="shared" si="1"/>
        <v>0</v>
      </c>
    </row>
    <row r="34" spans="1:8">
      <c r="A34" s="381">
        <v>9.4</v>
      </c>
      <c r="B34" s="386" t="s">
        <v>802</v>
      </c>
      <c r="C34" s="382"/>
      <c r="D34" s="382"/>
      <c r="E34" s="383">
        <f t="shared" si="0"/>
        <v>0</v>
      </c>
      <c r="F34" s="588"/>
      <c r="G34" s="588"/>
      <c r="H34" s="668">
        <f t="shared" si="1"/>
        <v>0</v>
      </c>
    </row>
    <row r="35" spans="1:8">
      <c r="A35" s="381">
        <v>9.5</v>
      </c>
      <c r="B35" s="386" t="s">
        <v>803</v>
      </c>
      <c r="C35" s="382"/>
      <c r="D35" s="382"/>
      <c r="E35" s="383">
        <f t="shared" si="0"/>
        <v>0</v>
      </c>
      <c r="F35" s="588"/>
      <c r="G35" s="588"/>
      <c r="H35" s="668">
        <f t="shared" si="1"/>
        <v>0</v>
      </c>
    </row>
    <row r="36" spans="1:8" ht="27.6">
      <c r="A36" s="381">
        <v>9.6</v>
      </c>
      <c r="B36" s="386" t="s">
        <v>804</v>
      </c>
      <c r="C36" s="382"/>
      <c r="D36" s="382"/>
      <c r="E36" s="383">
        <f t="shared" si="0"/>
        <v>0</v>
      </c>
      <c r="F36" s="588"/>
      <c r="G36" s="588"/>
      <c r="H36" s="668">
        <f t="shared" si="1"/>
        <v>0</v>
      </c>
    </row>
    <row r="37" spans="1:8" ht="27.6">
      <c r="A37" s="381">
        <v>9.6999999999999993</v>
      </c>
      <c r="B37" s="386" t="s">
        <v>805</v>
      </c>
      <c r="C37" s="382"/>
      <c r="D37" s="382"/>
      <c r="E37" s="383">
        <f t="shared" si="0"/>
        <v>0</v>
      </c>
      <c r="F37" s="588"/>
      <c r="G37" s="588"/>
      <c r="H37" s="668">
        <f t="shared" si="1"/>
        <v>0</v>
      </c>
    </row>
    <row r="38" spans="1:8">
      <c r="A38" s="381">
        <v>10</v>
      </c>
      <c r="B38" s="387" t="s">
        <v>806</v>
      </c>
      <c r="C38" s="667">
        <f>C41+C42</f>
        <v>339176144.71999997</v>
      </c>
      <c r="D38" s="667">
        <f>D41+D42</f>
        <v>7777644.0132900001</v>
      </c>
      <c r="E38" s="383">
        <f t="shared" si="0"/>
        <v>346953788.73328996</v>
      </c>
      <c r="F38" s="667">
        <f>F41+F42</f>
        <v>283410829</v>
      </c>
      <c r="G38" s="667">
        <f>G41+G42</f>
        <v>4946437</v>
      </c>
      <c r="H38" s="668">
        <f t="shared" si="1"/>
        <v>288357266</v>
      </c>
    </row>
    <row r="39" spans="1:8">
      <c r="A39" s="381">
        <v>10.1</v>
      </c>
      <c r="B39" s="386" t="s">
        <v>807</v>
      </c>
      <c r="C39" s="382">
        <v>10052723</v>
      </c>
      <c r="D39" s="382">
        <v>2691802</v>
      </c>
      <c r="E39" s="383">
        <f t="shared" si="0"/>
        <v>12744525</v>
      </c>
      <c r="F39" s="588">
        <v>11150782.719999984</v>
      </c>
      <c r="G39" s="588"/>
      <c r="H39" s="668">
        <f t="shared" si="1"/>
        <v>11150782.719999984</v>
      </c>
    </row>
    <row r="40" spans="1:8" ht="27.6">
      <c r="A40" s="381">
        <v>10.199999999999999</v>
      </c>
      <c r="B40" s="386" t="s">
        <v>808</v>
      </c>
      <c r="C40" s="382">
        <v>6009600</v>
      </c>
      <c r="D40" s="382">
        <v>450305</v>
      </c>
      <c r="E40" s="383">
        <f t="shared" si="0"/>
        <v>6459905</v>
      </c>
      <c r="F40" s="588">
        <v>7367246.9900000021</v>
      </c>
      <c r="G40" s="588">
        <v>15597.242583000005</v>
      </c>
      <c r="H40" s="668">
        <f t="shared" si="1"/>
        <v>7382844.2325830022</v>
      </c>
    </row>
    <row r="41" spans="1:8" ht="27.6">
      <c r="A41" s="381">
        <v>10.3</v>
      </c>
      <c r="B41" s="386" t="s">
        <v>809</v>
      </c>
      <c r="C41" s="382">
        <v>208655564.44999999</v>
      </c>
      <c r="D41" s="382">
        <v>5655476.680586</v>
      </c>
      <c r="E41" s="383">
        <f t="shared" si="0"/>
        <v>214311041.130586</v>
      </c>
      <c r="F41" s="588">
        <v>174202818</v>
      </c>
      <c r="G41" s="588">
        <v>3325777</v>
      </c>
      <c r="H41" s="668">
        <f t="shared" si="1"/>
        <v>177528595</v>
      </c>
    </row>
    <row r="42" spans="1:8" ht="27.6">
      <c r="A42" s="381">
        <v>10.4</v>
      </c>
      <c r="B42" s="386" t="s">
        <v>810</v>
      </c>
      <c r="C42" s="382">
        <v>130520580.26999997</v>
      </c>
      <c r="D42" s="382">
        <v>2122167.3327040002</v>
      </c>
      <c r="E42" s="383">
        <f t="shared" si="0"/>
        <v>132642747.60270396</v>
      </c>
      <c r="F42" s="588">
        <v>109208011</v>
      </c>
      <c r="G42" s="588">
        <v>1620660</v>
      </c>
      <c r="H42" s="668">
        <f t="shared" si="1"/>
        <v>110828671</v>
      </c>
    </row>
    <row r="43" spans="1:8">
      <c r="A43" s="381">
        <v>11</v>
      </c>
      <c r="B43" s="391" t="s">
        <v>175</v>
      </c>
      <c r="C43" s="382"/>
      <c r="D43" s="382"/>
      <c r="E43" s="383">
        <f t="shared" si="0"/>
        <v>0</v>
      </c>
      <c r="F43" s="588"/>
      <c r="G43" s="588"/>
      <c r="H43" s="384">
        <f t="shared" si="1"/>
        <v>0</v>
      </c>
    </row>
    <row r="44" spans="1:8">
      <c r="C44" s="393"/>
      <c r="D44" s="393"/>
      <c r="E44" s="393"/>
      <c r="F44" s="393"/>
      <c r="G44" s="393"/>
      <c r="H44" s="393"/>
    </row>
    <row r="45" spans="1:8">
      <c r="C45" s="393"/>
      <c r="D45" s="393"/>
      <c r="E45" s="393"/>
      <c r="F45" s="393"/>
      <c r="G45" s="393"/>
      <c r="H45" s="393"/>
    </row>
    <row r="46" spans="1:8">
      <c r="C46" s="393"/>
      <c r="D46" s="393"/>
      <c r="E46" s="393"/>
      <c r="F46" s="393"/>
      <c r="G46" s="393"/>
      <c r="H46" s="393"/>
    </row>
    <row r="47" spans="1:8">
      <c r="C47" s="393"/>
      <c r="D47" s="393"/>
      <c r="E47" s="393"/>
      <c r="F47" s="393"/>
      <c r="G47" s="393"/>
      <c r="H47" s="393"/>
    </row>
  </sheetData>
  <mergeCells count="4">
    <mergeCell ref="A4:A5"/>
    <mergeCell ref="B4:B5"/>
    <mergeCell ref="C4:E4"/>
    <mergeCell ref="F4:H4"/>
  </mergeCells>
  <pageMargins left="0.7" right="0.7" top="0.75" bottom="0.75" header="0.3" footer="0.3"/>
  <pageSetup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G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C12" sqref="C12"/>
    </sheetView>
  </sheetViews>
  <sheetFormatPr defaultColWidth="9.21875" defaultRowHeight="13.8"/>
  <cols>
    <col min="1" max="1" width="9.5546875" style="1" bestFit="1" customWidth="1"/>
    <col min="2" max="2" width="93.5546875" style="1" customWidth="1"/>
    <col min="3" max="4" width="12.77734375" style="1" customWidth="1"/>
    <col min="5" max="7" width="12.33203125" style="8" bestFit="1" customWidth="1"/>
    <col min="8" max="11" width="9.77734375" style="8" customWidth="1"/>
    <col min="12" max="16384" width="9.21875" style="8"/>
  </cols>
  <sheetData>
    <row r="1" spans="1:7">
      <c r="A1" s="13" t="s">
        <v>97</v>
      </c>
      <c r="B1" s="12" t="str">
        <f>Info!C2</f>
        <v>სს "კრედო ბანკი"</v>
      </c>
      <c r="C1" s="12"/>
    </row>
    <row r="2" spans="1:7">
      <c r="A2" s="13" t="s">
        <v>98</v>
      </c>
      <c r="B2" s="275">
        <f>'1. key ratios'!B2</f>
        <v>46112</v>
      </c>
      <c r="C2" s="12"/>
    </row>
    <row r="3" spans="1:7">
      <c r="A3" s="13"/>
      <c r="B3" s="12"/>
      <c r="C3" s="12"/>
    </row>
    <row r="4" spans="1:7" ht="15" customHeight="1" thickBot="1">
      <c r="A4" s="117" t="s">
        <v>242</v>
      </c>
      <c r="B4" s="118" t="s">
        <v>96</v>
      </c>
      <c r="C4" s="119" t="s">
        <v>76</v>
      </c>
    </row>
    <row r="5" spans="1:7" ht="15" customHeight="1">
      <c r="A5" s="115" t="s">
        <v>25</v>
      </c>
      <c r="B5" s="116"/>
      <c r="C5" s="264" t="str">
        <f>INT((MONTH($B$2))/3)&amp;"Q"&amp;"-"&amp;YEAR($B$2)</f>
        <v>1Q-2026</v>
      </c>
      <c r="D5" s="264" t="str">
        <f>IF(INT(MONTH($B$2))=3, "4"&amp;"Q"&amp;"-"&amp;YEAR($B$2)-1, IF(INT(MONTH($B$2))=6, "1"&amp;"Q"&amp;"-"&amp;YEAR($B$2), IF(INT(MONTH($B$2))=9, "2"&amp;"Q"&amp;"-"&amp;YEAR($B$2),IF(INT(MONTH($B$2))=12, "3"&amp;"Q"&amp;"-"&amp;YEAR($B$2), 0))))</f>
        <v>4Q-2025</v>
      </c>
      <c r="E5" s="264" t="str">
        <f>IF(INT(MONTH($B$2))=3, "3"&amp;"Q"&amp;"-"&amp;YEAR($B$2)-1, IF(INT(MONTH($B$2))=6, "4"&amp;"Q"&amp;"-"&amp;YEAR($B$2)-1, IF(INT(MONTH($B$2))=9, "1"&amp;"Q"&amp;"-"&amp;YEAR($B$2),IF(INT(MONTH($B$2))=12, "2"&amp;"Q"&amp;"-"&amp;YEAR($B$2), 0))))</f>
        <v>3Q-2025</v>
      </c>
      <c r="F5" s="264" t="str">
        <f>IF(INT(MONTH($B$2))=3, "2"&amp;"Q"&amp;"-"&amp;YEAR($B$2)-1, IF(INT(MONTH($B$2))=6, "3"&amp;"Q"&amp;"-"&amp;YEAR($B$2)-1, IF(INT(MONTH($B$2))=9, "4"&amp;"Q"&amp;"-"&amp;YEAR($B$2)-1,IF(INT(MONTH($B$2))=12, "1"&amp;"Q"&amp;"-"&amp;YEAR($B$2), 0))))</f>
        <v>2Q-2025</v>
      </c>
      <c r="G5" s="264" t="str">
        <f>IF(INT(MONTH($B$2))=3, "1"&amp;"Q"&amp;"-"&amp;YEAR($B$2)-1, IF(INT(MONTH($B$2))=6, "2"&amp;"Q"&amp;"-"&amp;YEAR($B$2)-1, IF(INT(MONTH($B$2))=9, "3"&amp;"Q"&amp;"-"&amp;YEAR($B$2)-1,IF(INT(MONTH($B$2))=12, "4"&amp;"Q"&amp;"-"&amp;YEAR($B$2)-1, 0))))</f>
        <v>1Q-2025</v>
      </c>
    </row>
    <row r="6" spans="1:7" ht="15" customHeight="1">
      <c r="A6" s="226">
        <v>1</v>
      </c>
      <c r="B6" s="253" t="s">
        <v>101</v>
      </c>
      <c r="C6" s="227">
        <f>C7+C9+C10</f>
        <v>2693325146.8211217</v>
      </c>
      <c r="D6" s="255">
        <f>D7+D9+D10</f>
        <v>2598315328.7061133</v>
      </c>
      <c r="E6" s="228">
        <f t="shared" ref="E6:G6" si="0">E7+E9+E10</f>
        <v>2425903959.9770231</v>
      </c>
      <c r="F6" s="227">
        <f t="shared" si="0"/>
        <v>2279557645.9717302</v>
      </c>
      <c r="G6" s="256">
        <f t="shared" si="0"/>
        <v>2155615504.3424869</v>
      </c>
    </row>
    <row r="7" spans="1:7" ht="15" customHeight="1">
      <c r="A7" s="226">
        <v>1.1000000000000001</v>
      </c>
      <c r="B7" s="229" t="s">
        <v>994</v>
      </c>
      <c r="C7" s="230">
        <v>2594992179.0188866</v>
      </c>
      <c r="D7" s="669">
        <v>2501584077.4811134</v>
      </c>
      <c r="E7" s="670">
        <v>2336499078.746449</v>
      </c>
      <c r="F7" s="669">
        <v>2198265315.321897</v>
      </c>
      <c r="G7" s="669">
        <v>2078270635.7190535</v>
      </c>
    </row>
    <row r="8" spans="1:7" ht="27.6">
      <c r="A8" s="226" t="s">
        <v>146</v>
      </c>
      <c r="B8" s="231" t="s">
        <v>239</v>
      </c>
      <c r="C8" s="230">
        <v>3589432.99</v>
      </c>
      <c r="D8" s="669">
        <v>3721085.11</v>
      </c>
      <c r="E8" s="670">
        <v>1991498.97</v>
      </c>
      <c r="F8" s="669">
        <v>2202413.5</v>
      </c>
      <c r="G8" s="669">
        <v>2328266.9</v>
      </c>
    </row>
    <row r="9" spans="1:7" ht="15" customHeight="1">
      <c r="A9" s="226">
        <v>1.2</v>
      </c>
      <c r="B9" s="229" t="s">
        <v>21</v>
      </c>
      <c r="C9" s="230">
        <v>97106679.802235067</v>
      </c>
      <c r="D9" s="669">
        <v>94203247.224999994</v>
      </c>
      <c r="E9" s="670">
        <v>86362246.617500007</v>
      </c>
      <c r="F9" s="669">
        <v>77574328.375</v>
      </c>
      <c r="G9" s="669">
        <v>72260100.875</v>
      </c>
    </row>
    <row r="10" spans="1:7" ht="15" customHeight="1">
      <c r="A10" s="226">
        <v>1.3</v>
      </c>
      <c r="B10" s="254" t="s">
        <v>73</v>
      </c>
      <c r="C10" s="230">
        <v>1226288</v>
      </c>
      <c r="D10" s="669">
        <v>2528004</v>
      </c>
      <c r="E10" s="670">
        <v>3042634.6130742901</v>
      </c>
      <c r="F10" s="669">
        <v>3718002.2748331837</v>
      </c>
      <c r="G10" s="669">
        <v>5084767.7484337837</v>
      </c>
    </row>
    <row r="11" spans="1:7" ht="15" customHeight="1">
      <c r="A11" s="226">
        <v>2</v>
      </c>
      <c r="B11" s="253" t="s">
        <v>102</v>
      </c>
      <c r="C11" s="230">
        <v>1610437</v>
      </c>
      <c r="D11" s="669">
        <v>2126077</v>
      </c>
      <c r="E11" s="670">
        <v>3455625.7996334741</v>
      </c>
      <c r="F11" s="669">
        <v>2452100</v>
      </c>
      <c r="G11" s="669">
        <v>1537337</v>
      </c>
    </row>
    <row r="12" spans="1:7" ht="15" customHeight="1">
      <c r="A12" s="226">
        <v>3</v>
      </c>
      <c r="B12" s="253" t="s">
        <v>100</v>
      </c>
      <c r="C12" s="230">
        <v>656876651</v>
      </c>
      <c r="D12" s="669">
        <v>656876651.11259413</v>
      </c>
      <c r="E12" s="670">
        <v>559691583.66043723</v>
      </c>
      <c r="F12" s="669">
        <v>559691583.66043723</v>
      </c>
      <c r="G12" s="669">
        <v>559691583.66043723</v>
      </c>
    </row>
    <row r="13" spans="1:7" ht="15" customHeight="1" thickBot="1">
      <c r="A13" s="62">
        <v>4</v>
      </c>
      <c r="B13" s="259" t="s">
        <v>147</v>
      </c>
      <c r="C13" s="137">
        <f>C6+C11+C12</f>
        <v>3351812234.8211217</v>
      </c>
      <c r="D13" s="257">
        <f>D6+D11+D12</f>
        <v>3257318056.8187075</v>
      </c>
      <c r="E13" s="138">
        <f t="shared" ref="E13:G13" si="1">E6+E11+E12</f>
        <v>2989051169.4370937</v>
      </c>
      <c r="F13" s="137">
        <f t="shared" si="1"/>
        <v>2841701329.6321673</v>
      </c>
      <c r="G13" s="258">
        <f t="shared" si="1"/>
        <v>2716844425.002924</v>
      </c>
    </row>
    <row r="14" spans="1:7">
      <c r="B14" s="17"/>
    </row>
    <row r="15" spans="1:7">
      <c r="B15" s="17"/>
    </row>
    <row r="16" spans="1:7">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4"/>
  <sheetViews>
    <sheetView showGridLines="0" tabSelected="1" zoomScale="80" zoomScaleNormal="80" workbookViewId="0">
      <pane xSplit="1" ySplit="4" topLeftCell="B20" activePane="bottomRight" state="frozen"/>
      <selection pane="topRight" activeCell="B1" sqref="B1"/>
      <selection pane="bottomLeft" activeCell="A4" sqref="A4"/>
      <selection pane="bottomRight" activeCell="C26" sqref="C26:C34"/>
    </sheetView>
  </sheetViews>
  <sheetFormatPr defaultRowHeight="14.4"/>
  <cols>
    <col min="1" max="1" width="9.5546875" style="1" bestFit="1" customWidth="1"/>
    <col min="2" max="2" width="58.77734375" style="1" customWidth="1"/>
    <col min="3" max="3" width="40.21875" style="1" bestFit="1" customWidth="1"/>
  </cols>
  <sheetData>
    <row r="1" spans="1:3">
      <c r="A1" s="1" t="s">
        <v>97</v>
      </c>
      <c r="B1" s="1" t="str">
        <f>Info!C2</f>
        <v>სს "კრედო ბანკი"</v>
      </c>
    </row>
    <row r="2" spans="1:3">
      <c r="A2" s="1" t="s">
        <v>98</v>
      </c>
      <c r="B2" s="275">
        <f>'1. key ratios'!B2</f>
        <v>46112</v>
      </c>
    </row>
    <row r="4" spans="1:3" ht="25.5" customHeight="1" thickBot="1">
      <c r="A4" s="131" t="s">
        <v>243</v>
      </c>
      <c r="B4" s="23" t="s">
        <v>80</v>
      </c>
      <c r="C4" s="9"/>
    </row>
    <row r="5" spans="1:3">
      <c r="A5" s="7"/>
      <c r="B5" s="249" t="s">
        <v>81</v>
      </c>
      <c r="C5" s="262" t="s">
        <v>419</v>
      </c>
    </row>
    <row r="6" spans="1:3" ht="15">
      <c r="A6" s="10">
        <v>1</v>
      </c>
      <c r="B6" s="24" t="s">
        <v>1001</v>
      </c>
      <c r="C6" s="260" t="s">
        <v>1005</v>
      </c>
    </row>
    <row r="7" spans="1:3" ht="15">
      <c r="A7" s="10">
        <v>2</v>
      </c>
      <c r="B7" s="24" t="s">
        <v>1008</v>
      </c>
      <c r="C7" s="260" t="s">
        <v>1007</v>
      </c>
    </row>
    <row r="8" spans="1:3" ht="15">
      <c r="A8" s="10">
        <v>3</v>
      </c>
      <c r="B8" s="24" t="s">
        <v>1002</v>
      </c>
      <c r="C8" s="260" t="s">
        <v>1006</v>
      </c>
    </row>
    <row r="9" spans="1:3" ht="15">
      <c r="A9" s="10">
        <v>4</v>
      </c>
      <c r="B9" s="24" t="s">
        <v>1003</v>
      </c>
      <c r="C9" s="260" t="s">
        <v>1007</v>
      </c>
    </row>
    <row r="10" spans="1:3" ht="15">
      <c r="A10" s="10">
        <v>5</v>
      </c>
      <c r="B10" s="24" t="s">
        <v>1004</v>
      </c>
      <c r="C10" s="260" t="s">
        <v>1006</v>
      </c>
    </row>
    <row r="11" spans="1:3" ht="15">
      <c r="A11" s="10"/>
      <c r="B11" s="796"/>
      <c r="C11" s="797"/>
    </row>
    <row r="12" spans="1:3" ht="41.4">
      <c r="A12" s="10"/>
      <c r="B12" s="250" t="s">
        <v>82</v>
      </c>
      <c r="C12" s="263" t="s">
        <v>420</v>
      </c>
    </row>
    <row r="13" spans="1:3">
      <c r="A13" s="10">
        <v>1</v>
      </c>
      <c r="B13" s="20" t="s">
        <v>1009</v>
      </c>
      <c r="C13" s="261" t="s">
        <v>1010</v>
      </c>
    </row>
    <row r="14" spans="1:3">
      <c r="A14" s="10">
        <v>2</v>
      </c>
      <c r="B14" s="20" t="s">
        <v>1011</v>
      </c>
      <c r="C14" s="261" t="s">
        <v>1012</v>
      </c>
    </row>
    <row r="15" spans="1:3">
      <c r="A15" s="10">
        <v>3</v>
      </c>
      <c r="B15" s="20" t="s">
        <v>1013</v>
      </c>
      <c r="C15" s="261" t="s">
        <v>1014</v>
      </c>
    </row>
    <row r="16" spans="1:3">
      <c r="A16" s="10">
        <v>4</v>
      </c>
      <c r="B16" s="20" t="s">
        <v>1015</v>
      </c>
      <c r="C16" s="261" t="s">
        <v>1016</v>
      </c>
    </row>
    <row r="17" spans="1:3">
      <c r="A17" s="10">
        <v>5</v>
      </c>
      <c r="B17" s="20" t="s">
        <v>1017</v>
      </c>
      <c r="C17" s="261" t="s">
        <v>1018</v>
      </c>
    </row>
    <row r="18" spans="1:3">
      <c r="A18" s="10">
        <v>6</v>
      </c>
      <c r="B18" s="20" t="s">
        <v>1019</v>
      </c>
      <c r="C18" s="261" t="s">
        <v>1020</v>
      </c>
    </row>
    <row r="19" spans="1:3" ht="15.75" customHeight="1">
      <c r="A19" s="10"/>
      <c r="B19" s="20"/>
      <c r="C19" s="21"/>
    </row>
    <row r="20" spans="1:3" ht="30" customHeight="1">
      <c r="A20" s="10"/>
      <c r="B20" s="798" t="s">
        <v>83</v>
      </c>
      <c r="C20" s="799"/>
    </row>
    <row r="21" spans="1:3" ht="15">
      <c r="A21" s="10">
        <v>1</v>
      </c>
      <c r="B21" s="672" t="s">
        <v>1021</v>
      </c>
      <c r="C21" s="673">
        <v>0.50260000000000005</v>
      </c>
    </row>
    <row r="22" spans="1:3" ht="15">
      <c r="A22" s="671">
        <v>2</v>
      </c>
      <c r="B22" s="672" t="s">
        <v>1022</v>
      </c>
      <c r="C22" s="673">
        <v>0.3322</v>
      </c>
    </row>
    <row r="23" spans="1:3" ht="28.8">
      <c r="A23" s="10">
        <v>3</v>
      </c>
      <c r="B23" s="672" t="s">
        <v>1023</v>
      </c>
      <c r="C23" s="673">
        <v>0.1469</v>
      </c>
    </row>
    <row r="24" spans="1:3" ht="15.75" customHeight="1">
      <c r="A24" s="10"/>
      <c r="B24" s="24"/>
      <c r="C24" s="25"/>
    </row>
    <row r="25" spans="1:3" ht="29.25" customHeight="1">
      <c r="A25" s="10"/>
      <c r="B25" s="798" t="s">
        <v>163</v>
      </c>
      <c r="C25" s="799"/>
    </row>
    <row r="26" spans="1:3" ht="15">
      <c r="A26" s="10">
        <v>1</v>
      </c>
      <c r="B26" s="672" t="s">
        <v>1024</v>
      </c>
      <c r="C26" s="761">
        <v>5.9400000000000001E-2</v>
      </c>
    </row>
    <row r="27" spans="1:3" ht="15.6" thickBot="1">
      <c r="A27" s="11">
        <v>2</v>
      </c>
      <c r="B27" s="762" t="s">
        <v>1025</v>
      </c>
      <c r="C27" s="763">
        <v>5.9400000000000001E-2</v>
      </c>
    </row>
    <row r="28" spans="1:3" ht="15">
      <c r="A28" s="10">
        <v>3</v>
      </c>
      <c r="B28" s="762" t="s">
        <v>1026</v>
      </c>
      <c r="C28" s="763">
        <v>7.4800000000000005E-2</v>
      </c>
    </row>
    <row r="29" spans="1:3" ht="15.6" thickBot="1">
      <c r="A29" s="11">
        <v>4</v>
      </c>
      <c r="B29" s="762" t="s">
        <v>1027</v>
      </c>
      <c r="C29" s="763">
        <v>6.3899999999999998E-2</v>
      </c>
    </row>
    <row r="30" spans="1:3" ht="15">
      <c r="A30" s="10">
        <v>5</v>
      </c>
      <c r="B30" s="762" t="s">
        <v>1028</v>
      </c>
      <c r="C30" s="763">
        <v>0.1195</v>
      </c>
    </row>
    <row r="31" spans="1:3" ht="15.6" thickBot="1">
      <c r="A31" s="11">
        <v>6</v>
      </c>
      <c r="B31" s="762" t="s">
        <v>1029</v>
      </c>
      <c r="C31" s="763">
        <v>5.6300000000000003E-2</v>
      </c>
    </row>
    <row r="32" spans="1:3" ht="15">
      <c r="A32" s="766">
        <v>7</v>
      </c>
      <c r="B32" s="762" t="s">
        <v>1030</v>
      </c>
      <c r="C32" s="763">
        <v>0.12520000000000001</v>
      </c>
    </row>
    <row r="33" spans="1:3" ht="15">
      <c r="A33" s="766">
        <v>8</v>
      </c>
      <c r="B33" s="762" t="s">
        <v>1040</v>
      </c>
      <c r="C33" s="763">
        <v>7.17E-2</v>
      </c>
    </row>
    <row r="34" spans="1:3" ht="15.6" thickBot="1">
      <c r="A34" s="10">
        <v>9</v>
      </c>
      <c r="B34" s="764" t="s">
        <v>1039</v>
      </c>
      <c r="C34" s="765">
        <v>6.0699999999999997E-2</v>
      </c>
    </row>
  </sheetData>
  <mergeCells count="3">
    <mergeCell ref="B11:C11"/>
    <mergeCell ref="B25:C25"/>
    <mergeCell ref="B20:C20"/>
  </mergeCells>
  <dataValidations count="1">
    <dataValidation type="list" allowBlank="1" showInputMessage="1" showErrorMessage="1" sqref="C6:C10"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G53"/>
  <sheetViews>
    <sheetView zoomScale="80" zoomScaleNormal="80" workbookViewId="0">
      <pane xSplit="1" ySplit="5" topLeftCell="B20" activePane="bottomRight" state="frozen"/>
      <selection activeCell="H6" sqref="H6"/>
      <selection pane="topRight" activeCell="H6" sqref="H6"/>
      <selection pane="bottomLeft" activeCell="H6" sqref="H6"/>
      <selection pane="bottomRight" activeCell="C31" sqref="C31"/>
    </sheetView>
  </sheetViews>
  <sheetFormatPr defaultRowHeight="14.4"/>
  <cols>
    <col min="1" max="1" width="9.5546875" style="1" bestFit="1" customWidth="1"/>
    <col min="2" max="2" width="47.5546875" style="1" customWidth="1"/>
    <col min="3" max="3" width="28" style="1" customWidth="1"/>
    <col min="4" max="4" width="25.6640625" style="1" customWidth="1"/>
    <col min="5" max="5" width="18.77734375" style="1" customWidth="1"/>
    <col min="6" max="6" width="12" bestFit="1" customWidth="1"/>
    <col min="7" max="7" width="12.5546875" bestFit="1" customWidth="1"/>
  </cols>
  <sheetData>
    <row r="1" spans="1:5">
      <c r="A1" s="13" t="s">
        <v>97</v>
      </c>
      <c r="B1" s="12" t="str">
        <f>Info!C2</f>
        <v>სს "კრედო ბანკი"</v>
      </c>
    </row>
    <row r="2" spans="1:5" s="13" customFormat="1" ht="15.75" customHeight="1">
      <c r="A2" s="13" t="s">
        <v>98</v>
      </c>
      <c r="B2" s="275">
        <f>'1. key ratios'!B2</f>
        <v>46112</v>
      </c>
    </row>
    <row r="3" spans="1:5" s="13" customFormat="1" ht="15.75" customHeight="1"/>
    <row r="4" spans="1:5" s="13" customFormat="1" ht="15.75" customHeight="1" thickBot="1">
      <c r="A4" s="132" t="s">
        <v>244</v>
      </c>
      <c r="B4" s="133" t="s">
        <v>157</v>
      </c>
      <c r="C4" s="97"/>
      <c r="D4" s="97"/>
      <c r="E4" s="98" t="s">
        <v>76</v>
      </c>
    </row>
    <row r="5" spans="1:5" s="58" customFormat="1" ht="17.55" customHeight="1">
      <c r="A5" s="204"/>
      <c r="B5" s="205"/>
      <c r="C5" s="96" t="s">
        <v>0</v>
      </c>
      <c r="D5" s="96" t="s">
        <v>1</v>
      </c>
      <c r="E5" s="206" t="s">
        <v>2</v>
      </c>
    </row>
    <row r="6" spans="1:5" ht="14.55" customHeight="1">
      <c r="A6" s="207"/>
      <c r="B6" s="800" t="s">
        <v>133</v>
      </c>
      <c r="C6" s="800" t="s">
        <v>824</v>
      </c>
      <c r="D6" s="801" t="s">
        <v>132</v>
      </c>
      <c r="E6" s="802"/>
    </row>
    <row r="7" spans="1:5" ht="99.6" customHeight="1">
      <c r="A7" s="207"/>
      <c r="B7" s="800"/>
      <c r="C7" s="800"/>
      <c r="D7" s="202" t="s">
        <v>131</v>
      </c>
      <c r="E7" s="203" t="s">
        <v>341</v>
      </c>
    </row>
    <row r="8" spans="1:5" ht="22.5" customHeight="1">
      <c r="A8" s="395">
        <v>1</v>
      </c>
      <c r="B8" s="340" t="s">
        <v>811</v>
      </c>
      <c r="C8" s="682">
        <f>SUM(C9:C11)</f>
        <v>524486548.09478575</v>
      </c>
      <c r="D8" s="682">
        <f t="shared" ref="D8:E8" si="0">SUM(D9:D11)</f>
        <v>0</v>
      </c>
      <c r="E8" s="682">
        <f t="shared" si="0"/>
        <v>524486548.09478575</v>
      </c>
    </row>
    <row r="9" spans="1:5">
      <c r="A9" s="395">
        <v>1.1000000000000001</v>
      </c>
      <c r="B9" s="342" t="s">
        <v>85</v>
      </c>
      <c r="C9" s="680">
        <v>97662066.569999993</v>
      </c>
      <c r="D9" s="680"/>
      <c r="E9" s="680">
        <f>C9-D9</f>
        <v>97662066.569999993</v>
      </c>
    </row>
    <row r="10" spans="1:5">
      <c r="A10" s="395">
        <v>1.2</v>
      </c>
      <c r="B10" s="342" t="s">
        <v>86</v>
      </c>
      <c r="C10" s="680">
        <v>229529255.2555005</v>
      </c>
      <c r="D10" s="680"/>
      <c r="E10" s="680">
        <f t="shared" ref="E10:E13" si="1">C10-D10</f>
        <v>229529255.2555005</v>
      </c>
    </row>
    <row r="11" spans="1:5">
      <c r="A11" s="395">
        <v>1.3</v>
      </c>
      <c r="B11" s="342" t="s">
        <v>87</v>
      </c>
      <c r="C11" s="680">
        <v>197295226.26928526</v>
      </c>
      <c r="D11" s="680"/>
      <c r="E11" s="680">
        <f t="shared" si="1"/>
        <v>197295226.26928526</v>
      </c>
    </row>
    <row r="12" spans="1:5">
      <c r="A12" s="395">
        <v>2</v>
      </c>
      <c r="B12" s="343" t="s">
        <v>698</v>
      </c>
      <c r="C12" s="680">
        <v>2531454.27</v>
      </c>
      <c r="D12" s="680"/>
      <c r="E12" s="680">
        <f>C12-D12</f>
        <v>2531454.27</v>
      </c>
    </row>
    <row r="13" spans="1:5">
      <c r="A13" s="395">
        <v>2.1</v>
      </c>
      <c r="B13" s="344" t="s">
        <v>699</v>
      </c>
      <c r="C13" s="680">
        <v>2531454.27</v>
      </c>
      <c r="D13" s="680"/>
      <c r="E13" s="680">
        <f t="shared" si="1"/>
        <v>2531454.27</v>
      </c>
    </row>
    <row r="14" spans="1:5" ht="34.049999999999997" customHeight="1">
      <c r="A14" s="395">
        <v>3</v>
      </c>
      <c r="B14" s="345" t="s">
        <v>700</v>
      </c>
      <c r="C14" s="680"/>
      <c r="D14" s="680"/>
      <c r="E14" s="680"/>
    </row>
    <row r="15" spans="1:5" ht="32.549999999999997" customHeight="1">
      <c r="A15" s="395">
        <v>4</v>
      </c>
      <c r="B15" s="346" t="s">
        <v>701</v>
      </c>
      <c r="C15" s="680"/>
      <c r="D15" s="680"/>
      <c r="E15" s="680"/>
    </row>
    <row r="16" spans="1:5" ht="22.95" customHeight="1">
      <c r="A16" s="395">
        <v>5</v>
      </c>
      <c r="B16" s="346" t="s">
        <v>702</v>
      </c>
      <c r="C16" s="682">
        <f>SUM(C17:C19)</f>
        <v>0</v>
      </c>
      <c r="D16" s="682">
        <f t="shared" ref="D16:E16" si="2">SUM(D17:D19)</f>
        <v>0</v>
      </c>
      <c r="E16" s="682">
        <f t="shared" si="2"/>
        <v>0</v>
      </c>
    </row>
    <row r="17" spans="1:5">
      <c r="A17" s="395">
        <v>5.0999999999999996</v>
      </c>
      <c r="B17" s="347" t="s">
        <v>703</v>
      </c>
      <c r="C17" s="680"/>
      <c r="D17" s="680"/>
      <c r="E17" s="680"/>
    </row>
    <row r="18" spans="1:5">
      <c r="A18" s="395">
        <v>5.2</v>
      </c>
      <c r="B18" s="347" t="s">
        <v>538</v>
      </c>
      <c r="C18" s="680"/>
      <c r="D18" s="680"/>
      <c r="E18" s="680"/>
    </row>
    <row r="19" spans="1:5">
      <c r="A19" s="395">
        <v>5.3</v>
      </c>
      <c r="B19" s="347" t="s">
        <v>704</v>
      </c>
      <c r="C19" s="680"/>
      <c r="D19" s="680"/>
      <c r="E19" s="680"/>
    </row>
    <row r="20" spans="1:5" ht="20.399999999999999">
      <c r="A20" s="395">
        <v>6</v>
      </c>
      <c r="B20" s="345" t="s">
        <v>705</v>
      </c>
      <c r="C20" s="682">
        <f>SUM(C21:C22)</f>
        <v>3225262515.7820425</v>
      </c>
      <c r="D20" s="682">
        <f t="shared" ref="D20:E20" si="3">SUM(D21:D22)</f>
        <v>0</v>
      </c>
      <c r="E20" s="682">
        <f t="shared" si="3"/>
        <v>3225262515.7820425</v>
      </c>
    </row>
    <row r="21" spans="1:5">
      <c r="A21" s="395">
        <v>6.1</v>
      </c>
      <c r="B21" s="347" t="s">
        <v>538</v>
      </c>
      <c r="C21" s="292">
        <v>53383000.169999994</v>
      </c>
      <c r="D21" s="292"/>
      <c r="E21" s="292">
        <f>C21-D21</f>
        <v>53383000.169999994</v>
      </c>
    </row>
    <row r="22" spans="1:5">
      <c r="A22" s="395">
        <v>6.2</v>
      </c>
      <c r="B22" s="347" t="s">
        <v>704</v>
      </c>
      <c r="C22" s="292">
        <v>3171879515.6120424</v>
      </c>
      <c r="D22" s="292"/>
      <c r="E22" s="292">
        <f t="shared" ref="E22:E23" si="4">C22-D22</f>
        <v>3171879515.6120424</v>
      </c>
    </row>
    <row r="23" spans="1:5" ht="20.399999999999999">
      <c r="A23" s="395">
        <v>7</v>
      </c>
      <c r="B23" s="348" t="s">
        <v>706</v>
      </c>
      <c r="C23" s="681">
        <v>3589432.99</v>
      </c>
      <c r="D23" s="681"/>
      <c r="E23" s="292">
        <f t="shared" si="4"/>
        <v>3589432.99</v>
      </c>
    </row>
    <row r="24" spans="1:5" ht="20.399999999999999">
      <c r="A24" s="395">
        <v>8</v>
      </c>
      <c r="B24" s="349" t="s">
        <v>707</v>
      </c>
      <c r="C24" s="681"/>
      <c r="D24" s="681"/>
      <c r="E24" s="681"/>
    </row>
    <row r="25" spans="1:5">
      <c r="A25" s="395">
        <v>9</v>
      </c>
      <c r="B25" s="346" t="s">
        <v>708</v>
      </c>
      <c r="C25" s="683">
        <f>SUM(C26:C27)</f>
        <v>54883322.370000057</v>
      </c>
      <c r="D25" s="683">
        <f t="shared" ref="D25:E25" si="5">SUM(D26:D27)</f>
        <v>0</v>
      </c>
      <c r="E25" s="683">
        <f t="shared" si="5"/>
        <v>54883322.370000057</v>
      </c>
    </row>
    <row r="26" spans="1:5">
      <c r="A26" s="395">
        <v>9.1</v>
      </c>
      <c r="B26" s="350" t="s">
        <v>709</v>
      </c>
      <c r="C26" s="681">
        <v>54883322.370000057</v>
      </c>
      <c r="D26" s="681"/>
      <c r="E26" s="681">
        <f>C26-D26</f>
        <v>54883322.370000057</v>
      </c>
    </row>
    <row r="27" spans="1:5">
      <c r="A27" s="395">
        <v>9.1999999999999993</v>
      </c>
      <c r="B27" s="350" t="s">
        <v>710</v>
      </c>
      <c r="C27" s="681"/>
      <c r="D27" s="681"/>
      <c r="E27" s="681"/>
    </row>
    <row r="28" spans="1:5">
      <c r="A28" s="395">
        <v>10</v>
      </c>
      <c r="B28" s="346" t="s">
        <v>36</v>
      </c>
      <c r="C28" s="683">
        <f>SUM(C29:C30)</f>
        <v>42420371.899999999</v>
      </c>
      <c r="D28" s="683">
        <f t="shared" ref="D28:E28" si="6">SUM(D29:D30)</f>
        <v>37595408.789999999</v>
      </c>
      <c r="E28" s="683">
        <f t="shared" si="6"/>
        <v>4824963.1099999994</v>
      </c>
    </row>
    <row r="29" spans="1:5">
      <c r="A29" s="395">
        <v>10.1</v>
      </c>
      <c r="B29" s="350" t="s">
        <v>711</v>
      </c>
      <c r="C29" s="681"/>
      <c r="D29" s="681"/>
      <c r="E29" s="681"/>
    </row>
    <row r="30" spans="1:5">
      <c r="A30" s="395">
        <v>10.199999999999999</v>
      </c>
      <c r="B30" s="350" t="s">
        <v>712</v>
      </c>
      <c r="C30" s="681">
        <v>42420371.899999999</v>
      </c>
      <c r="D30" s="681">
        <v>37595408.789999999</v>
      </c>
      <c r="E30" s="681">
        <f>C30-D30</f>
        <v>4824963.1099999994</v>
      </c>
    </row>
    <row r="31" spans="1:5">
      <c r="A31" s="395">
        <v>11</v>
      </c>
      <c r="B31" s="346" t="s">
        <v>713</v>
      </c>
      <c r="C31" s="683">
        <f>SUM(C32:C33)</f>
        <v>0</v>
      </c>
      <c r="D31" s="683">
        <f t="shared" ref="D31:E31" si="7">SUM(D32:D33)</f>
        <v>0</v>
      </c>
      <c r="E31" s="683">
        <f t="shared" si="7"/>
        <v>0</v>
      </c>
    </row>
    <row r="32" spans="1:5">
      <c r="A32" s="395">
        <v>11.1</v>
      </c>
      <c r="B32" s="350" t="s">
        <v>714</v>
      </c>
      <c r="C32" s="681"/>
      <c r="D32" s="681"/>
      <c r="E32" s="681">
        <f>C32-D32</f>
        <v>0</v>
      </c>
    </row>
    <row r="33" spans="1:7">
      <c r="A33" s="395">
        <v>11.2</v>
      </c>
      <c r="B33" s="350" t="s">
        <v>715</v>
      </c>
      <c r="C33" s="681"/>
      <c r="D33" s="681"/>
      <c r="E33" s="681"/>
    </row>
    <row r="34" spans="1:7">
      <c r="A34" s="395">
        <v>13</v>
      </c>
      <c r="B34" s="346" t="s">
        <v>88</v>
      </c>
      <c r="C34" s="684">
        <v>59743133.56000001</v>
      </c>
      <c r="D34" s="684"/>
      <c r="E34" s="684">
        <f>C34-D34</f>
        <v>59743133.56000001</v>
      </c>
    </row>
    <row r="35" spans="1:7">
      <c r="A35" s="395">
        <v>13.1</v>
      </c>
      <c r="B35" s="351" t="s">
        <v>716</v>
      </c>
      <c r="C35" s="292">
        <v>34805793.789999999</v>
      </c>
      <c r="D35" s="292"/>
      <c r="E35" s="292">
        <f>C35-D35</f>
        <v>34805793.789999999</v>
      </c>
    </row>
    <row r="36" spans="1:7">
      <c r="A36" s="395">
        <v>13.2</v>
      </c>
      <c r="B36" s="351" t="s">
        <v>717</v>
      </c>
      <c r="C36" s="396"/>
      <c r="D36" s="396"/>
      <c r="E36" s="396"/>
    </row>
    <row r="37" spans="1:7" ht="42" thickBot="1">
      <c r="A37" s="208"/>
      <c r="B37" s="209" t="s">
        <v>308</v>
      </c>
      <c r="C37" s="169">
        <f>SUM(C8,C12,C14,C15,C16,C20,C23,C24,C25,C28,C31,C34)</f>
        <v>3912916778.9668279</v>
      </c>
      <c r="D37" s="169">
        <f t="shared" ref="D37:E37" si="8">SUM(D8,D12,D14,D15,D16,D20,D23,D24,D25,D28,D31,D34)</f>
        <v>37595408.789999999</v>
      </c>
      <c r="E37" s="169">
        <f t="shared" si="8"/>
        <v>3875321370.1768279</v>
      </c>
    </row>
    <row r="38" spans="1:7">
      <c r="A38"/>
      <c r="B38"/>
      <c r="C38"/>
      <c r="D38"/>
      <c r="E38"/>
    </row>
    <row r="39" spans="1:7">
      <c r="A39"/>
      <c r="B39"/>
      <c r="C39"/>
      <c r="D39"/>
      <c r="E39"/>
    </row>
    <row r="41" spans="1:7" s="1" customFormat="1">
      <c r="B41" s="27"/>
      <c r="F41"/>
      <c r="G41"/>
    </row>
    <row r="42" spans="1:7" s="1" customFormat="1">
      <c r="B42" s="28"/>
      <c r="F42"/>
      <c r="G42"/>
    </row>
    <row r="43" spans="1:7" s="1" customFormat="1">
      <c r="B43" s="27"/>
      <c r="F43"/>
      <c r="G43"/>
    </row>
    <row r="44" spans="1:7" s="1" customFormat="1">
      <c r="B44" s="27"/>
      <c r="F44"/>
      <c r="G44"/>
    </row>
    <row r="45" spans="1:7" s="1" customFormat="1">
      <c r="B45" s="27"/>
      <c r="F45"/>
      <c r="G45"/>
    </row>
    <row r="46" spans="1:7" s="1" customFormat="1">
      <c r="B46" s="27"/>
      <c r="F46"/>
      <c r="G46"/>
    </row>
    <row r="47" spans="1:7" s="1" customFormat="1">
      <c r="B47" s="27"/>
      <c r="F47"/>
      <c r="G47"/>
    </row>
    <row r="48" spans="1:7"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C10" activeCellId="1" sqref="C6 C10"/>
    </sheetView>
  </sheetViews>
  <sheetFormatPr defaultRowHeight="14.4" outlineLevelRow="1"/>
  <cols>
    <col min="1" max="1" width="9.5546875" style="1" bestFit="1" customWidth="1"/>
    <col min="2" max="2" width="114.21875" style="1" customWidth="1"/>
    <col min="3" max="3" width="18.77734375" customWidth="1"/>
    <col min="4" max="4" width="25.44140625" customWidth="1"/>
    <col min="5" max="5" width="24.21875" customWidth="1"/>
    <col min="6" max="6" width="24" customWidth="1"/>
    <col min="7" max="7" width="10" bestFit="1" customWidth="1"/>
    <col min="8" max="8" width="12" bestFit="1" customWidth="1"/>
    <col min="9" max="9" width="12.5546875" bestFit="1" customWidth="1"/>
  </cols>
  <sheetData>
    <row r="1" spans="1:6">
      <c r="A1" s="13" t="s">
        <v>97</v>
      </c>
      <c r="B1" s="12" t="str">
        <f>Info!C2</f>
        <v>სს "კრედო ბანკი"</v>
      </c>
    </row>
    <row r="2" spans="1:6" s="13" customFormat="1" ht="15.75" customHeight="1">
      <c r="A2" s="13" t="s">
        <v>98</v>
      </c>
      <c r="B2" s="275">
        <f>'1. key ratios'!B2</f>
        <v>46112</v>
      </c>
      <c r="C2"/>
      <c r="D2"/>
      <c r="E2"/>
      <c r="F2"/>
    </row>
    <row r="3" spans="1:6" s="13" customFormat="1" ht="15.75" customHeight="1">
      <c r="C3"/>
      <c r="D3"/>
      <c r="E3"/>
      <c r="F3"/>
    </row>
    <row r="4" spans="1:6" s="13" customFormat="1" ht="28.2" thickBot="1">
      <c r="A4" s="13" t="s">
        <v>245</v>
      </c>
      <c r="B4" s="104" t="s">
        <v>160</v>
      </c>
      <c r="C4" s="98" t="s">
        <v>76</v>
      </c>
      <c r="D4"/>
      <c r="E4"/>
      <c r="F4"/>
    </row>
    <row r="5" spans="1:6">
      <c r="A5" s="99">
        <v>1</v>
      </c>
      <c r="B5" s="100" t="s">
        <v>695</v>
      </c>
      <c r="C5" s="139">
        <f>'7. LI1'!E37</f>
        <v>3875321370.1768279</v>
      </c>
    </row>
    <row r="6" spans="1:6">
      <c r="A6" s="57">
        <v>2.1</v>
      </c>
      <c r="B6" s="106" t="s">
        <v>829</v>
      </c>
      <c r="C6" s="140">
        <v>466379698.06938028</v>
      </c>
    </row>
    <row r="7" spans="1:6" s="2" customFormat="1" ht="27.6" outlineLevel="1">
      <c r="A7" s="105">
        <v>2.2000000000000002</v>
      </c>
      <c r="B7" s="101" t="s">
        <v>830</v>
      </c>
      <c r="C7" s="141">
        <v>369282100</v>
      </c>
    </row>
    <row r="8" spans="1:6" s="2" customFormat="1" ht="27.6">
      <c r="A8" s="105">
        <v>3</v>
      </c>
      <c r="B8" s="102" t="s">
        <v>696</v>
      </c>
      <c r="C8" s="142">
        <f>SUM(C5:C7)</f>
        <v>4710983168.2462082</v>
      </c>
    </row>
    <row r="9" spans="1:6">
      <c r="A9" s="57">
        <v>4</v>
      </c>
      <c r="B9" s="109" t="s">
        <v>158</v>
      </c>
      <c r="C9" s="140"/>
    </row>
    <row r="10" spans="1:6" s="2" customFormat="1" ht="27.6" outlineLevel="1">
      <c r="A10" s="105">
        <v>5.0999999999999996</v>
      </c>
      <c r="B10" s="101" t="s">
        <v>164</v>
      </c>
      <c r="C10" s="141">
        <v>-340264173.33306682</v>
      </c>
    </row>
    <row r="11" spans="1:6" s="2" customFormat="1" ht="27.6" outlineLevel="1">
      <c r="A11" s="105">
        <v>5.2</v>
      </c>
      <c r="B11" s="101" t="s">
        <v>165</v>
      </c>
      <c r="C11" s="141">
        <v>-368055811.85339427</v>
      </c>
    </row>
    <row r="12" spans="1:6" s="2" customFormat="1">
      <c r="A12" s="105">
        <v>6</v>
      </c>
      <c r="B12" s="107" t="s">
        <v>995</v>
      </c>
      <c r="C12" s="141"/>
    </row>
    <row r="13" spans="1:6" s="2" customFormat="1" ht="15" thickBot="1">
      <c r="A13" s="108">
        <v>7</v>
      </c>
      <c r="B13" s="103" t="s">
        <v>159</v>
      </c>
      <c r="C13" s="143">
        <f>SUM(C8:C12)</f>
        <v>4002663183.0597467</v>
      </c>
    </row>
    <row r="15" spans="1:6">
      <c r="B15" s="17"/>
    </row>
    <row r="16" spans="1:6">
      <c r="C16" s="685"/>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/IDT/dKzhIFvOYZl++/6X0A+vP0LIEniOoKAGNcPzWI=</DigestValue>
    </Reference>
    <Reference Type="http://www.w3.org/2000/09/xmldsig#Object" URI="#idOfficeObject">
      <DigestMethod Algorithm="http://www.w3.org/2001/04/xmlenc#sha256"/>
      <DigestValue>YWNDY3FKdWKWQZiTjFQa9xWe5bnScJkBDB7Nft463/0=</DigestValue>
    </Reference>
    <Reference Type="http://uri.etsi.org/01903#SignedProperties" URI="#idSignedProperties">
      <Transforms>
        <Transform Algorithm="http://www.w3.org/TR/2001/REC-xml-c14n-20010315"/>
      </Transforms>
      <DigestMethod Algorithm="http://www.w3.org/2001/04/xmlenc#sha256"/>
      <DigestValue>q2Xavj5toVt/Bd9l10wbBjQ/QbS2uMhwffizsWE34GM=</DigestValue>
    </Reference>
  </SignedInfo>
  <SignatureValue>Sw4zPsJji1P2vQ96esitad+LyfAR3V4XvTpmA+eMHZIaldYGOe5IwC2ceZ0A6MKZXhTH55Q5FVWk
ZGSbbktldCM9jdIW19udavclVs5lgSnWlx/mr8xtbwtcbNSNHIFbx1ZWNdrRjU8xRNjJiyCWwwJ3
9+4m+MaaVVS+u78N5oduUu3RFF74tQ9WtqSr4RNUulFuXT9Y/FPQepOctVOizqWsBsgf/7o5aU+I
QGeUXO7iwzbTRipoDBRdCavxq6PWjMBvCu9BMCs0punauV4NVWIiQYWKWDvl/BL03ffjgp+xkkXi
ElDup6zwhkY/d0KezLY8s9lZ7bfLmyA0s3sTTQ==</SignatureValue>
  <KeyInfo>
    <X509Data>
      <X509Certificate>MIIGKzCCBROgAwIBAgIKJ40y3AAEAAKI8TANBgkqhkiG9w0BAQsFADBKMRIwEAYKCZImiZPyLGQBGRYCZ2UxEzARBgoJkiaJk/IsZAEZFgNuYmcxHzAdBgNVBAMTFk5CRyBDbGFzcyAyIElOVCBTdWIgQ0EwHhcNMjUwNjMwMDczNDQ4WhcNMjcwNjMwMDczNDQ4WjApMScwJQYDVQQDEx5CQ0QgLSBLb25zdGFudGluZSBHaGFtYmFzaGlkemUwggEiMA0GCSqGSIb3DQEBAQUAA4IBDwAwggEKAoIBAQDp+8svDO5/CWsNWcoY4JcK1WBL+1emG9Kjybiy/UFmdLQlZjNEIXZQuPQDB3l8lGifPu2MKhEVn4pSWM96ENL/s3ow4Kn0EcUaZg/Wib3Vv3Zrqsvqnc9sORLf6wAwjrJq6WdMsP73+KUQPB8dFoDzAzKTuxIjHd4wk/ehOqjmuDXkeZUWUO0SoOSSf+9zaiIKJfHk78fTo2PLVILR8LBcREHKMOkqfEvI2ZAzyU8ZbTfQCUuPuA+tP9Rg8qwbyHs3oB9PMOFyV6rcA+K3O73hOwig2phvHz5FsOBK8Um8U8pnj7FwdNVykTG9IuJ4k0abryk4O0DfiJKBwIgjVQMRAgMBAAGjggMyMIIDLjA8BgkrBgEEAYI3FQcELzAtBiUrBgEEAYI3FQjmsmCDjfVEhoGZCYO4oUqDvoRxBIPEkTOEg4hdAgFkAgEjMB0GA1UdJQQWMBQGCCsGAQUFBwMCBggrBgEFBQcDBDALBgNVHQ8EBAMCB4AwJwYJKwYBBAGCNxUKBBowGDAKBggrBgEFBQcDAjAKBggrBgEFBQcDBDAdBgNVHQ4EFgQUMdNFy5GzIzAwJEakNbOCs8N27Hs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J3ihD8LaacrVnsHjHrRYobo+5IAtEEzQzFEVXymIXShx9rOvpyiubjqjWnNFH8PRthCx4f7ygT9RAkjY5o3nLnjZVsapunkubFkpqGnrXzqwqroDAC7r90eMNsyZZbpWwUAFD5Y6e9Sx/++lfOp6FkHoX2cwS+fXDYT9ZOuFZc5eCAG18vr3mrn64cUob3He7gjGkGnx1vkjtzp+0V213dqtFVjGxQjZQz7Add8GCNFg3KnFW91Ihrd2rI4w32xavXu5cZU+FimHpvnBUBqDYy/vN/jn7BAu2CRdrjwCDvgun6l1dr89IojTity3ldh8BPlzQhjBCLULzK/lgMkif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4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Transform>
          <Transform Algorithm="http://www.w3.org/TR/2001/REC-xml-c14n-20010315"/>
        </Transforms>
        <DigestMethod Algorithm="http://www.w3.org/2001/04/xmlenc#sha256"/>
        <DigestValue>OQ7Zn+wvRnmzXFJ7q8p/FIFCfFVXGJf7ZRQPH7GpZQ4=</DigestValue>
      </Reference>
      <Reference URI="/xl/calcChain.xml?ContentType=application/vnd.openxmlformats-officedocument.spreadsheetml.calcChain+xml">
        <DigestMethod Algorithm="http://www.w3.org/2001/04/xmlenc#sha256"/>
        <DigestValue>0kr5dFqowBV1/Y2yZy7Y86Ln0wd9gmGqdQcudQ5Y5ug=</DigestValue>
      </Reference>
      <Reference URI="/xl/comments1.xml?ContentType=application/vnd.openxmlformats-officedocument.spreadsheetml.comments+xml">
        <DigestMethod Algorithm="http://www.w3.org/2001/04/xmlenc#sha256"/>
        <DigestValue>h2MmQekuqH35L8gC/5cQAbPKH+pC/QvyrbPAWaytUwg=</DigestValue>
      </Reference>
      <Reference URI="/xl/comments2.xml?ContentType=application/vnd.openxmlformats-officedocument.spreadsheetml.comments+xml">
        <DigestMethod Algorithm="http://www.w3.org/2001/04/xmlenc#sha256"/>
        <DigestValue>D1ZJOUA+rSHcom9m3ySIHuX7CboEvAibeubIv/6JwCs=</DigestValue>
      </Reference>
      <Reference URI="/xl/drawings/drawing1.xml?ContentType=application/vnd.openxmlformats-officedocument.drawing+xml">
        <DigestMethod Algorithm="http://www.w3.org/2001/04/xmlenc#sha256"/>
        <DigestValue>R1LJm+AhlNP5akpTq67x0rdMG+aWVkGYuvUF1YgTbNw=</DigestValue>
      </Reference>
      <Reference URI="/xl/drawings/vmlDrawing1.vml?ContentType=application/vnd.openxmlformats-officedocument.vmlDrawing">
        <DigestMethod Algorithm="http://www.w3.org/2001/04/xmlenc#sha256"/>
        <DigestValue>TQ1yuvASEnVGUrZCMjd66lfY6rBr+fsAPWvs+x9Zfk0=</DigestValue>
      </Reference>
      <Reference URI="/xl/drawings/vmlDrawing2.vml?ContentType=application/vnd.openxmlformats-officedocument.vmlDrawing">
        <DigestMethod Algorithm="http://www.w3.org/2001/04/xmlenc#sha256"/>
        <DigestValue>YeLyGFrTmqzQHUQPgxynTn9Z43LkZGu7npeFJV2FrEk=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S9Shbx/WLxct+XdbJLoy+21QXq0uliQl+Jr339wPZe8=</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Ann5MvTusLsx9a9k8by1xerDOPmJG2EeyJFRGak/gkY=</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Mb2UZ8YEu2lJof9mhqANuV6U30sn24/U5E7kw10pQIY=</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MJIRMH6v0QbwIZ2crvLbVFsWHVPKbvRmYE6dtOyV+00=</DigestValue>
      </Reference>
      <Reference URI="/xl/externalLinks/externalLink3.xml?ContentType=application/vnd.openxmlformats-officedocument.spreadsheetml.externalLink+xml">
        <DigestMethod Algorithm="http://www.w3.org/2001/04/xmlenc#sha256"/>
        <DigestValue>gr+YulVqyxJmtCvVGqOr7TLdCaYWqpyNUVsu9jjGET8=</DigestValue>
      </Reference>
      <Reference URI="/xl/externalLinks/externalLink4.xml?ContentType=application/vnd.openxmlformats-officedocument.spreadsheetml.externalLink+xml">
        <DigestMethod Algorithm="http://www.w3.org/2001/04/xmlenc#sha256"/>
        <DigestValue>53YeaXFcHe3Q2aue/NluwglauvPXuBIS+ctAZfjkc54=</DigestValue>
      </Reference>
      <Reference URI="/xl/externalLinks/externalLink5.xml?ContentType=application/vnd.openxmlformats-officedocument.spreadsheetml.externalLink+xml">
        <DigestMethod Algorithm="http://www.w3.org/2001/04/xmlenc#sha256"/>
        <DigestValue>1Nr1IxEr6T1RXXysaETfk+2TFlZO07TpouaBU4+ti+4=</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nkR1lu9OLM1UMxWiPa7wm3YcnQOlFOICy95qYiodDz0=</DigestValue>
      </Reference>
      <Reference URI="/xl/printerSettings/printerSettings12.bin?ContentType=application/vnd.openxmlformats-officedocument.spreadsheetml.printerSettings">
        <DigestMethod Algorithm="http://www.w3.org/2001/04/xmlenc#sha256"/>
        <DigestValue>yMi8stU5bqFShuh1MUNAff1/atoh6+i0/ROVy9FQsKk=</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16nRtTkTNfAdSTF0Lg1CT4t8t5VLf2B9wJs/PWFk54A=</DigestValue>
      </Reference>
      <Reference URI="/xl/printerSettings/printerSettings16.bin?ContentType=application/vnd.openxmlformats-officedocument.spreadsheetml.printerSettings">
        <DigestMethod Algorithm="http://www.w3.org/2001/04/xmlenc#sha256"/>
        <DigestValue>2m6CW85rBYKpJKifjkFVt0n58BwBksWMXfva2VqaA+I=</DigestValue>
      </Reference>
      <Reference URI="/xl/printerSettings/printerSettings17.bin?ContentType=application/vnd.openxmlformats-officedocument.spreadsheetml.printerSettings">
        <DigestMethod Algorithm="http://www.w3.org/2001/04/xmlenc#sha256"/>
        <DigestValue>ar6hk/aRBhJ3Q7h1Xd48HWTe7Gl3RUqECzD058YGBrM=</DigestValue>
      </Reference>
      <Reference URI="/xl/printerSettings/printerSettings18.bin?ContentType=application/vnd.openxmlformats-officedocument.spreadsheetml.printerSettings">
        <DigestMethod Algorithm="http://www.w3.org/2001/04/xmlenc#sha256"/>
        <DigestValue>ze+MZOtihPj9dKeV/Dz5QESpeY6Fdwmnkxhrh69STxA=</DigestValue>
      </Reference>
      <Reference URI="/xl/printerSettings/printerSettings19.bin?ContentType=application/vnd.openxmlformats-officedocument.spreadsheetml.printerSettings">
        <DigestMethod Algorithm="http://www.w3.org/2001/04/xmlenc#sha256"/>
        <DigestValue>zxLIGjiJ19gUsPtQr72salfkFKrVFBCr1X8320JEcsQ=</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nkR1lu9OLM1UMxWiPa7wm3YcnQOlFOICy95qYiodDz0=</DigestValue>
      </Reference>
      <Reference URI="/xl/printerSettings/printerSettings22.bin?ContentType=application/vnd.openxmlformats-officedocument.spreadsheetml.printerSettings">
        <DigestMethod Algorithm="http://www.w3.org/2001/04/xmlenc#sha256"/>
        <DigestValue>2bvX94YA3UVSaKlpfCjo157kRTaGD9ZFW7t96/Nk1uk=</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iE26OokMEnQMYiWgMfFhVXzSbn0Dmk333xx6Y+G1iUw=</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qqKz7UtelGHdfiWdqNc1EvL8LqlQ7O4MTpeoyQcgyv0=</DigestValue>
      </Reference>
      <Reference URI="/xl/printerSettings/printerSettings27.bin?ContentType=application/vnd.openxmlformats-officedocument.spreadsheetml.printerSettings">
        <DigestMethod Algorithm="http://www.w3.org/2001/04/xmlenc#sha256"/>
        <DigestValue>ze+MZOtihPj9dKeV/Dz5QESpeY6Fdwmnkxhrh69STxA=</DigestValue>
      </Reference>
      <Reference URI="/xl/printerSettings/printerSettings28.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EKGprfHc+H/gyzRZZBHrFfPlu2WlrJ3b9VoWeQJrTNM=</DigestValue>
      </Reference>
      <Reference URI="/xl/printerSettings/printerSettings4.bin?ContentType=application/vnd.openxmlformats-officedocument.spreadsheetml.printerSettings">
        <DigestMethod Algorithm="http://www.w3.org/2001/04/xmlenc#sha256"/>
        <DigestValue>ZZHgBK3ClE4NLQ/d1wTpBivMuCT8wZjjdiWSGfkAHbk=</DigestValue>
      </Reference>
      <Reference URI="/xl/printerSettings/printerSettings5.bin?ContentType=application/vnd.openxmlformats-officedocument.spreadsheetml.printerSettings">
        <DigestMethod Algorithm="http://www.w3.org/2001/04/xmlenc#sha256"/>
        <DigestValue>L+CxbXS3yzcVLTJTz50kMb6T4gEHhM4qLfUzzpiwfWw=</DigestValue>
      </Reference>
      <Reference URI="/xl/printerSettings/printerSettings6.bin?ContentType=application/vnd.openxmlformats-officedocument.spreadsheetml.printerSettings">
        <DigestMethod Algorithm="http://www.w3.org/2001/04/xmlenc#sha256"/>
        <DigestValue>9mG81PytrHkYioZI1LP0ksiI7i+szuT1Vsy2GarE5gg=</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aQz4a0QcKqpyNxt3KNDbaDpg02BRYDdCh3gv/hYUcVE=</DigestValue>
      </Reference>
      <Reference URI="/xl/styles.xml?ContentType=application/vnd.openxmlformats-officedocument.spreadsheetml.styles+xml">
        <DigestMethod Algorithm="http://www.w3.org/2001/04/xmlenc#sha256"/>
        <DigestValue>EKaNRwnIh8s3EhHWvxfiGhXDzNLfcv9PVfFw7Vv+Nuw=</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BfEna+6M3Mq15snocYY1BlCgTqBMflIl6ZbEc0RkLcQ=</DigestValue>
      </Reference>
      <Reference URI="/xl/workbook.xml?ContentType=application/vnd.openxmlformats-officedocument.spreadsheetml.sheet.main+xml">
        <DigestMethod Algorithm="http://www.w3.org/2001/04/xmlenc#sha256"/>
        <DigestValue>MgJqrXbEHhDY8ekcVgx7zHRc2iWV2s236NoTznOMFvY=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uBCsLoCeDaoZuHLizZacnRXpOOOOxk0iSLefQ5jFwpo=</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9L1b2m5lx2AW9d+8Uf8RdPYSw4vOLHIf9sR5SDci85c=</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QiDCyON6/l/Ti8hBcEpg68sz+6NJGWbPiZMQQy/y0eQ=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3VUG1FyZ6j7e/fvLGkVBdquG63WoVGXpNMPfRx2dC6g=</DigestValue>
      </Reference>
      <Reference URI="/xl/worksheets/sheet10.xml?ContentType=application/vnd.openxmlformats-officedocument.spreadsheetml.worksheet+xml">
        <DigestMethod Algorithm="http://www.w3.org/2001/04/xmlenc#sha256"/>
        <DigestValue>wraXFBYHeQLalfvK+YIIuCGoocGMpX8fljg2HzKalc0=</DigestValue>
      </Reference>
      <Reference URI="/xl/worksheets/sheet11.xml?ContentType=application/vnd.openxmlformats-officedocument.spreadsheetml.worksheet+xml">
        <DigestMethod Algorithm="http://www.w3.org/2001/04/xmlenc#sha256"/>
        <DigestValue>wg1f1YqHhLlwT0f50qhyaCa9d8Lq1q5lk4I7FHQEnqs=</DigestValue>
      </Reference>
      <Reference URI="/xl/worksheets/sheet12.xml?ContentType=application/vnd.openxmlformats-officedocument.spreadsheetml.worksheet+xml">
        <DigestMethod Algorithm="http://www.w3.org/2001/04/xmlenc#sha256"/>
        <DigestValue>RJNXlj3Zv+obkZT6B3Yphvo7SBiJTG3DlzJvbw9eap4=</DigestValue>
      </Reference>
      <Reference URI="/xl/worksheets/sheet13.xml?ContentType=application/vnd.openxmlformats-officedocument.spreadsheetml.worksheet+xml">
        <DigestMethod Algorithm="http://www.w3.org/2001/04/xmlenc#sha256"/>
        <DigestValue>/M2UjgaE0N/IIhMJqBbIRf9Gdp5chh1U8dEu6jtsjBw=</DigestValue>
      </Reference>
      <Reference URI="/xl/worksheets/sheet14.xml?ContentType=application/vnd.openxmlformats-officedocument.spreadsheetml.worksheet+xml">
        <DigestMethod Algorithm="http://www.w3.org/2001/04/xmlenc#sha256"/>
        <DigestValue>1Ntu7uThJ0Thr/dAjHwj17ymC6FBM6IAyfDjvglbgtY=</DigestValue>
      </Reference>
      <Reference URI="/xl/worksheets/sheet15.xml?ContentType=application/vnd.openxmlformats-officedocument.spreadsheetml.worksheet+xml">
        <DigestMethod Algorithm="http://www.w3.org/2001/04/xmlenc#sha256"/>
        <DigestValue>S+tvmeDU2vQn36oeBLidsU+ahZIojSC7ncJzCnytpMo=</DigestValue>
      </Reference>
      <Reference URI="/xl/worksheets/sheet16.xml?ContentType=application/vnd.openxmlformats-officedocument.spreadsheetml.worksheet+xml">
        <DigestMethod Algorithm="http://www.w3.org/2001/04/xmlenc#sha256"/>
        <DigestValue>lagpRz9ASqzZI8CkfXDDgi2pUyQqlS6qpkbNBKRKlxA=</DigestValue>
      </Reference>
      <Reference URI="/xl/worksheets/sheet17.xml?ContentType=application/vnd.openxmlformats-officedocument.spreadsheetml.worksheet+xml">
        <DigestMethod Algorithm="http://www.w3.org/2001/04/xmlenc#sha256"/>
        <DigestValue>J9ovxwniNwzG1qTV6EoRhLzr1M+PxR6CTLf2ow6xPOI=</DigestValue>
      </Reference>
      <Reference URI="/xl/worksheets/sheet18.xml?ContentType=application/vnd.openxmlformats-officedocument.spreadsheetml.worksheet+xml">
        <DigestMethod Algorithm="http://www.w3.org/2001/04/xmlenc#sha256"/>
        <DigestValue>i9VJnlvM/dqX2IMBnFQWD18UTcdgiPU7HKzZu8KL3pA=</DigestValue>
      </Reference>
      <Reference URI="/xl/worksheets/sheet19.xml?ContentType=application/vnd.openxmlformats-officedocument.spreadsheetml.worksheet+xml">
        <DigestMethod Algorithm="http://www.w3.org/2001/04/xmlenc#sha256"/>
        <DigestValue>YR7Yun9irMSxUMhri3HePXKFh0UoS9MIT4Fu1S/rFKc=</DigestValue>
      </Reference>
      <Reference URI="/xl/worksheets/sheet2.xml?ContentType=application/vnd.openxmlformats-officedocument.spreadsheetml.worksheet+xml">
        <DigestMethod Algorithm="http://www.w3.org/2001/04/xmlenc#sha256"/>
        <DigestValue>/D444dVWVQrBxXyhTd6wKTsW0E7Gx/memImoxRcFcmg=</DigestValue>
      </Reference>
      <Reference URI="/xl/worksheets/sheet20.xml?ContentType=application/vnd.openxmlformats-officedocument.spreadsheetml.worksheet+xml">
        <DigestMethod Algorithm="http://www.w3.org/2001/04/xmlenc#sha256"/>
        <DigestValue>wvy4rOUs0j1G/xGUAk5jjUoVs/mJMgUSZsN58ro6rIQ=</DigestValue>
      </Reference>
      <Reference URI="/xl/worksheets/sheet21.xml?ContentType=application/vnd.openxmlformats-officedocument.spreadsheetml.worksheet+xml">
        <DigestMethod Algorithm="http://www.w3.org/2001/04/xmlenc#sha256"/>
        <DigestValue>jsji+9VNQBZr9w9p7Qz0MG9Y0BK0wtP+FEkzi8HkVeE=</DigestValue>
      </Reference>
      <Reference URI="/xl/worksheets/sheet22.xml?ContentType=application/vnd.openxmlformats-officedocument.spreadsheetml.worksheet+xml">
        <DigestMethod Algorithm="http://www.w3.org/2001/04/xmlenc#sha256"/>
        <DigestValue>Y9DugB631ae14WhS1bQKVCF49gapa1TkQqlWZ7gF9K4=</DigestValue>
      </Reference>
      <Reference URI="/xl/worksheets/sheet23.xml?ContentType=application/vnd.openxmlformats-officedocument.spreadsheetml.worksheet+xml">
        <DigestMethod Algorithm="http://www.w3.org/2001/04/xmlenc#sha256"/>
        <DigestValue>hILOVGiJtBnxTB2xxov/om0knD8TvrkhzBIPzTdGltA=</DigestValue>
      </Reference>
      <Reference URI="/xl/worksheets/sheet24.xml?ContentType=application/vnd.openxmlformats-officedocument.spreadsheetml.worksheet+xml">
        <DigestMethod Algorithm="http://www.w3.org/2001/04/xmlenc#sha256"/>
        <DigestValue>7gZLx/kQijzKTZUn5Pq/P6XNIuLG8LzBnzXoHWj7FnU=</DigestValue>
      </Reference>
      <Reference URI="/xl/worksheets/sheet25.xml?ContentType=application/vnd.openxmlformats-officedocument.spreadsheetml.worksheet+xml">
        <DigestMethod Algorithm="http://www.w3.org/2001/04/xmlenc#sha256"/>
        <DigestValue>ho3XrvlbxiNwlXxRs6wOErTJ3bJOWRMRbcS3Qhx97lU=</DigestValue>
      </Reference>
      <Reference URI="/xl/worksheets/sheet26.xml?ContentType=application/vnd.openxmlformats-officedocument.spreadsheetml.worksheet+xml">
        <DigestMethod Algorithm="http://www.w3.org/2001/04/xmlenc#sha256"/>
        <DigestValue>wIbYcBzKzkuetJyOX5ER1jjtJ4rPTZYZfsPX8yQE/OY=</DigestValue>
      </Reference>
      <Reference URI="/xl/worksheets/sheet27.xml?ContentType=application/vnd.openxmlformats-officedocument.spreadsheetml.worksheet+xml">
        <DigestMethod Algorithm="http://www.w3.org/2001/04/xmlenc#sha256"/>
        <DigestValue>BdAHFU5RtopPJywJso3BM7flXaIjfTSuNtU9tbeBzMY=</DigestValue>
      </Reference>
      <Reference URI="/xl/worksheets/sheet28.xml?ContentType=application/vnd.openxmlformats-officedocument.spreadsheetml.worksheet+xml">
        <DigestMethod Algorithm="http://www.w3.org/2001/04/xmlenc#sha256"/>
        <DigestValue>Lgv++kvd+AkC7/ivYZ4waPTRTeRNgJLEWacJGL1HTGw=</DigestValue>
      </Reference>
      <Reference URI="/xl/worksheets/sheet29.xml?ContentType=application/vnd.openxmlformats-officedocument.spreadsheetml.worksheet+xml">
        <DigestMethod Algorithm="http://www.w3.org/2001/04/xmlenc#sha256"/>
        <DigestValue>J0eTDqHXJAE8Fe7Wyiu9scWaghKLaGH8OD6nUCS1fF4=</DigestValue>
      </Reference>
      <Reference URI="/xl/worksheets/sheet3.xml?ContentType=application/vnd.openxmlformats-officedocument.spreadsheetml.worksheet+xml">
        <DigestMethod Algorithm="http://www.w3.org/2001/04/xmlenc#sha256"/>
        <DigestValue>aHzW+dnmrSMf/37n+6Bw1/4xzC3cv1XEOluI/dWQztk=</DigestValue>
      </Reference>
      <Reference URI="/xl/worksheets/sheet30.xml?ContentType=application/vnd.openxmlformats-officedocument.spreadsheetml.worksheet+xml">
        <DigestMethod Algorithm="http://www.w3.org/2001/04/xmlenc#sha256"/>
        <DigestValue>PX5a4FQZ/Ps597lwvm/kAaFx4FjpFuUno0avUBuATz0=</DigestValue>
      </Reference>
      <Reference URI="/xl/worksheets/sheet31.xml?ContentType=application/vnd.openxmlformats-officedocument.spreadsheetml.worksheet+xml">
        <DigestMethod Algorithm="http://www.w3.org/2001/04/xmlenc#sha256"/>
        <DigestValue>pfo40Dclqj1XVcgjo23EWbFHdbECblkAvuE87RgsRww=</DigestValue>
      </Reference>
      <Reference URI="/xl/worksheets/sheet32.xml?ContentType=application/vnd.openxmlformats-officedocument.spreadsheetml.worksheet+xml">
        <DigestMethod Algorithm="http://www.w3.org/2001/04/xmlenc#sha256"/>
        <DigestValue>+G35tgCW5fY+gRVuWeOFf9NZMs4LgHiLKPhLOiRDDAo=</DigestValue>
      </Reference>
      <Reference URI="/xl/worksheets/sheet33.xml?ContentType=application/vnd.openxmlformats-officedocument.spreadsheetml.worksheet+xml">
        <DigestMethod Algorithm="http://www.w3.org/2001/04/xmlenc#sha256"/>
        <DigestValue>KV9IKxDBJXc4++nuzoWoR0ZsLJDE6+vniaY6vPjLAzE=</DigestValue>
      </Reference>
      <Reference URI="/xl/worksheets/sheet4.xml?ContentType=application/vnd.openxmlformats-officedocument.spreadsheetml.worksheet+xml">
        <DigestMethod Algorithm="http://www.w3.org/2001/04/xmlenc#sha256"/>
        <DigestValue>u6sbqGCfe48PqQwSHyPq/lNNACPoUeH3mkq1bV4gw94=</DigestValue>
      </Reference>
      <Reference URI="/xl/worksheets/sheet5.xml?ContentType=application/vnd.openxmlformats-officedocument.spreadsheetml.worksheet+xml">
        <DigestMethod Algorithm="http://www.w3.org/2001/04/xmlenc#sha256"/>
        <DigestValue>OgwgQNx7T81sMCMlCiQ3Sj2ZR4ti0xMmnlRaAPrVmko=</DigestValue>
      </Reference>
      <Reference URI="/xl/worksheets/sheet6.xml?ContentType=application/vnd.openxmlformats-officedocument.spreadsheetml.worksheet+xml">
        <DigestMethod Algorithm="http://www.w3.org/2001/04/xmlenc#sha256"/>
        <DigestValue>n1KbGdC421IUnNiGqJWGedmp1H8O8VNWH1sMXULGeco=</DigestValue>
      </Reference>
      <Reference URI="/xl/worksheets/sheet7.xml?ContentType=application/vnd.openxmlformats-officedocument.spreadsheetml.worksheet+xml">
        <DigestMethod Algorithm="http://www.w3.org/2001/04/xmlenc#sha256"/>
        <DigestValue>BlXeVikh7Bv+dcT9hHRx7M509pODU/q+fMevMz+CYUA=</DigestValue>
      </Reference>
      <Reference URI="/xl/worksheets/sheet8.xml?ContentType=application/vnd.openxmlformats-officedocument.spreadsheetml.worksheet+xml">
        <DigestMethod Algorithm="http://www.w3.org/2001/04/xmlenc#sha256"/>
        <DigestValue>H9uMY4LM/GUc45NklOY2WUiGuvMX4QL5DLMfu4kDkp0=</DigestValue>
      </Reference>
      <Reference URI="/xl/worksheets/sheet9.xml?ContentType=application/vnd.openxmlformats-officedocument.spreadsheetml.worksheet+xml">
        <DigestMethod Algorithm="http://www.w3.org/2001/04/xmlenc#sha256"/>
        <DigestValue>+S8QYk8tKGDHCoSjFfO73JQMq/rI3IzT1q9XAoAf6UA=</DigestValue>
      </Reference>
    </Manifest>
    <SignatureProperties>
      <SignatureProperty Id="idSignatureTime" Target="#idPackageSignature">
        <mdssi:SignatureTime xmlns:mdssi="http://schemas.openxmlformats.org/package/2006/digital-signature">
          <mdssi:Format>YYYY-MM-DDThh:mm:ssTZD</mdssi:Format>
          <mdssi:Value>2026-04-21T12:19:31Z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aaaa</SignatureComments>
          <WindowsVersion>10.0</WindowsVersion>
          <OfficeVersion>16.0.19822/27</OfficeVersion>
          <ApplicationVersion>16.0.19822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2026-04-21T12:19:31Z</xd:SigningTime>
          <xd:SigningCertificate>
            <xd:Cert>
              <xd:CertDigest>
                <DigestMethod Algorithm="http://www.w3.org/2001/04/xmlenc#sha256"/>
                <DigestValue>bU55H9dcBqi3ttBbYMli7D2XBNW2C5FpDZHhp0iA0fQ=</DigestValue>
              </xd:CertDigest>
              <xd:IssuerSerial>
                <X509IssuerName>CN=NBG Class 2 INT Sub CA, DC=nbg, DC=ge</X509IssuerName>
                <X509SerialNumber>186776948550523162888433</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Created and approved this document</xd:Description>
            </xd:CommitmentTypeId>
            <xd:AllSignedDataObjects/>
            <xd:CommitmentTypeQualifiers>
              <xd:CommitmentTypeQualifier>aaaa</xd:CommitmentTypeQualifier>
            </xd:CommitmentTypeQualifiers>
          </xd:CommitmentTypeIndication>
        </xd:SignedDataObject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YEpVzGUcl+B/SDaxi8qCuvPPJx9xlQGSJFc5bm7WXKY=</DigestValue>
    </Reference>
    <Reference Type="http://www.w3.org/2000/09/xmldsig#Object" URI="#idOfficeObject">
      <DigestMethod Algorithm="http://www.w3.org/2001/04/xmlenc#sha256"/>
      <DigestValue>yze0DbHoS0+H3jOasK83mBR9QCJn6yxS2gRI94fmPQs=</DigestValue>
    </Reference>
    <Reference Type="http://uri.etsi.org/01903#SignedProperties" URI="#idSignedProperties">
      <Transforms>
        <Transform Algorithm="http://www.w3.org/TR/2001/REC-xml-c14n-20010315"/>
      </Transforms>
      <DigestMethod Algorithm="http://www.w3.org/2001/04/xmlenc#sha256"/>
      <DigestValue>JCLW/KRu9CfIfOkqz+WjGjYfrBQ6NyNUqUOPSX/6qZ4=</DigestValue>
    </Reference>
  </SignedInfo>
  <SignatureValue>MBz3lvqBfkj6uEXupm6b3HtOwbM6PiXmt6hk0p9gLzJwcVTo6d5ytWcN2alcNjqIqbknE71HWwlV
3TnnE2dZc6D066pweCO4r7kzGLTrNMjHaeRC0QOgLI1lZyoyso9NpjB+5xeYhhzSGdlM/PFpxM4f
EHr9g9uBJEc2qrd3jUIselxRsR7XOggcy5PkL7nsX6M9O4/zWAqUZWvDW2N/kQjCJJtoj3EeKLS7
WvnHBhCnsZRJt8pf3exkI9Dv5PDOntZiaPw2tdc3s9q0UJNjCmrrPgvPL3hGb53x03JvQYffZVvs
Q/pkVxktN0CuBf6UN6hXRP/sq/mTToOWpzAfMA==</SignatureValue>
  <KeyInfo>
    <X509Data>
      <X509Certificate>MIIGPjCCBSagAwIBAgIKJ3JJaAAEAAKI8DANBgkqhkiG9w0BAQsFADBKMRIwEAYKCZImiZPyLGQBGRYCZ2UxEzARBgoJkiaJk/IsZAEZFgNuYmcxHzAdBgNVBAMTFk5CRyBDbGFzcyAyIElOVCBTdWIgQ0EwHhcNMjUwNjMwMDcwNTI0WhcNMjcwNjMwMDcwNTI0WjA8MRcwFQYDVQQKEw5KU0MgQ3JlZG8gQmFuazEhMB8GA1UEAxMYQkNEIC0gRXJla2xlIFphdGlhc2h2aWxpMIIBIjANBgkqhkiG9w0BAQEFAAOCAQ8AMIIBCgKCAQEA45GSJSX5XVSnf7fyLnbR9YHGUbwE3pC0CZ1t6xWXnVPHQxewtNSfXrj/GpL6eGyUOsZvc651RVi8p0i6blXuPvbI2qHF7n/jRhoZizXHrd8tzM/oaXIkgIVzFiRL3zyXihQi0VSOrz82mef0bV9jzTJdnKItiLcob8S+qZ2xIgBLDSf1ojGhz7SeB1xxEePOS561Go6s+ahrJwP9uw/s0jUQM7WxMtQN5wKJjiBYUhmM2kEiXYHVtekvAfBsAnJpcyABc/kg/4xgIpln5BbaNNb2u8sAxNtCqXX/9U6nMCqwedqD4gXd8/eyHPne9qQq0d9FmrNNnEaG+e0b51X0RwIDAQABo4IDMjCCAy4wPAYJKwYBBAGCNxUHBC8wLQYlKwYBBAGCNxUI5rJgg431RIaBmQmDuKFKg76EcQSDxJEzhIOIXQIBZAIBIzAdBgNVHSUEFjAUBggrBgEFBQcDAgYIKwYBBQUHAwQwCwYDVR0PBAQDAgeAMCcGCSsGAQQBgjcVCgQaMBgwCgYIKwYBBQUHAwIwCgYIKwYBBQUHAwQwHQYDVR0OBBYEFJNIFQVzutRSv2LCzcizQy9x8tzk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CDupBcsiReXJd6sxEhqCzqGB9pdjIsuuZYLLLseiVD0r1bfMg8g5c/EHMMP0ejeQi2MKQGPq0zG/1qDYNxJu1t/d6ALuqLW0CHiX58/jpTiX+Op6nIPI56b8va3wceRTcfOlVnbhz85UL31//oH2V+LKgGKMcIE/NVepgtQsz2plyGmtTzAtirmVmbYBk1ulUBW0xwugNPDu5vHCeLSEteN4eAcbKEU35Zjtdo4LImxka7r3K1xKGrmWnJw85V73WMRlatIekR+B9j0ZrUks50k785oza/1YE3s12bVdTCvimr3u5gFZ4pYAk9PVvxRVxz6CQLbbhDtOfKm6PYJ0cB</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4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OQ7Zn+wvRnmzXFJ7q8p/FIFCfFVXGJf7ZRQPH7GpZQ4=</DigestValue>
      </Reference>
      <Reference URI="/xl/calcChain.xml?ContentType=application/vnd.openxmlformats-officedocument.spreadsheetml.calcChain+xml">
        <DigestMethod Algorithm="http://www.w3.org/2001/04/xmlenc#sha256"/>
        <DigestValue>0kr5dFqowBV1/Y2yZy7Y86Ln0wd9gmGqdQcudQ5Y5ug=</DigestValue>
      </Reference>
      <Reference URI="/xl/comments1.xml?ContentType=application/vnd.openxmlformats-officedocument.spreadsheetml.comments+xml">
        <DigestMethod Algorithm="http://www.w3.org/2001/04/xmlenc#sha256"/>
        <DigestValue>h2MmQekuqH35L8gC/5cQAbPKH+pC/QvyrbPAWaytUwg=</DigestValue>
      </Reference>
      <Reference URI="/xl/comments2.xml?ContentType=application/vnd.openxmlformats-officedocument.spreadsheetml.comments+xml">
        <DigestMethod Algorithm="http://www.w3.org/2001/04/xmlenc#sha256"/>
        <DigestValue>D1ZJOUA+rSHcom9m3ySIHuX7CboEvAibeubIv/6JwCs=</DigestValue>
      </Reference>
      <Reference URI="/xl/drawings/drawing1.xml?ContentType=application/vnd.openxmlformats-officedocument.drawing+xml">
        <DigestMethod Algorithm="http://www.w3.org/2001/04/xmlenc#sha256"/>
        <DigestValue>R1LJm+AhlNP5akpTq67x0rdMG+aWVkGYuvUF1YgTbNw=</DigestValue>
      </Reference>
      <Reference URI="/xl/drawings/vmlDrawing1.vml?ContentType=application/vnd.openxmlformats-officedocument.vmlDrawing">
        <DigestMethod Algorithm="http://www.w3.org/2001/04/xmlenc#sha256"/>
        <DigestValue>TQ1yuvASEnVGUrZCMjd66lfY6rBr+fsAPWvs+x9Zfk0=</DigestValue>
      </Reference>
      <Reference URI="/xl/drawings/vmlDrawing2.vml?ContentType=application/vnd.openxmlformats-officedocument.vmlDrawing">
        <DigestMethod Algorithm="http://www.w3.org/2001/04/xmlenc#sha256"/>
        <DigestValue>YeLyGFrTmqzQHUQPgxynTn9Z43LkZGu7npeFJV2FrEk=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S9Shbx/WLxct+XdbJLoy+21QXq0uliQl+Jr339wPZe8=</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Ann5MvTusLsx9a9k8by1xerDOPmJG2EeyJFRGak/gkY=</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Mb2UZ8YEu2lJof9mhqANuV6U30sn24/U5E7kw10pQIY=</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MJIRMH6v0QbwIZ2crvLbVFsWHVPKbvRmYE6dtOyV+00=</DigestValue>
      </Reference>
      <Reference URI="/xl/externalLinks/externalLink3.xml?ContentType=application/vnd.openxmlformats-officedocument.spreadsheetml.externalLink+xml">
        <DigestMethod Algorithm="http://www.w3.org/2001/04/xmlenc#sha256"/>
        <DigestValue>gr+YulVqyxJmtCvVGqOr7TLdCaYWqpyNUVsu9jjGET8=</DigestValue>
      </Reference>
      <Reference URI="/xl/externalLinks/externalLink4.xml?ContentType=application/vnd.openxmlformats-officedocument.spreadsheetml.externalLink+xml">
        <DigestMethod Algorithm="http://www.w3.org/2001/04/xmlenc#sha256"/>
        <DigestValue>53YeaXFcHe3Q2aue/NluwglauvPXuBIS+ctAZfjkc54=</DigestValue>
      </Reference>
      <Reference URI="/xl/externalLinks/externalLink5.xml?ContentType=application/vnd.openxmlformats-officedocument.spreadsheetml.externalLink+xml">
        <DigestMethod Algorithm="http://www.w3.org/2001/04/xmlenc#sha256"/>
        <DigestValue>1Nr1IxEr6T1RXXysaETfk+2TFlZO07TpouaBU4+ti+4=</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nkR1lu9OLM1UMxWiPa7wm3YcnQOlFOICy95qYiodDz0=</DigestValue>
      </Reference>
      <Reference URI="/xl/printerSettings/printerSettings12.bin?ContentType=application/vnd.openxmlformats-officedocument.spreadsheetml.printerSettings">
        <DigestMethod Algorithm="http://www.w3.org/2001/04/xmlenc#sha256"/>
        <DigestValue>yMi8stU5bqFShuh1MUNAff1/atoh6+i0/ROVy9FQsKk=</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16nRtTkTNfAdSTF0Lg1CT4t8t5VLf2B9wJs/PWFk54A=</DigestValue>
      </Reference>
      <Reference URI="/xl/printerSettings/printerSettings16.bin?ContentType=application/vnd.openxmlformats-officedocument.spreadsheetml.printerSettings">
        <DigestMethod Algorithm="http://www.w3.org/2001/04/xmlenc#sha256"/>
        <DigestValue>2m6CW85rBYKpJKifjkFVt0n58BwBksWMXfva2VqaA+I=</DigestValue>
      </Reference>
      <Reference URI="/xl/printerSettings/printerSettings17.bin?ContentType=application/vnd.openxmlformats-officedocument.spreadsheetml.printerSettings">
        <DigestMethod Algorithm="http://www.w3.org/2001/04/xmlenc#sha256"/>
        <DigestValue>ar6hk/aRBhJ3Q7h1Xd48HWTe7Gl3RUqECzD058YGBrM=</DigestValue>
      </Reference>
      <Reference URI="/xl/printerSettings/printerSettings18.bin?ContentType=application/vnd.openxmlformats-officedocument.spreadsheetml.printerSettings">
        <DigestMethod Algorithm="http://www.w3.org/2001/04/xmlenc#sha256"/>
        <DigestValue>ze+MZOtihPj9dKeV/Dz5QESpeY6Fdwmnkxhrh69STxA=</DigestValue>
      </Reference>
      <Reference URI="/xl/printerSettings/printerSettings19.bin?ContentType=application/vnd.openxmlformats-officedocument.spreadsheetml.printerSettings">
        <DigestMethod Algorithm="http://www.w3.org/2001/04/xmlenc#sha256"/>
        <DigestValue>zxLIGjiJ19gUsPtQr72salfkFKrVFBCr1X8320JEcsQ=</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nkR1lu9OLM1UMxWiPa7wm3YcnQOlFOICy95qYiodDz0=</DigestValue>
      </Reference>
      <Reference URI="/xl/printerSettings/printerSettings22.bin?ContentType=application/vnd.openxmlformats-officedocument.spreadsheetml.printerSettings">
        <DigestMethod Algorithm="http://www.w3.org/2001/04/xmlenc#sha256"/>
        <DigestValue>2bvX94YA3UVSaKlpfCjo157kRTaGD9ZFW7t96/Nk1uk=</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iE26OokMEnQMYiWgMfFhVXzSbn0Dmk333xx6Y+G1iUw=</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qqKz7UtelGHdfiWdqNc1EvL8LqlQ7O4MTpeoyQcgyv0=</DigestValue>
      </Reference>
      <Reference URI="/xl/printerSettings/printerSettings27.bin?ContentType=application/vnd.openxmlformats-officedocument.spreadsheetml.printerSettings">
        <DigestMethod Algorithm="http://www.w3.org/2001/04/xmlenc#sha256"/>
        <DigestValue>ze+MZOtihPj9dKeV/Dz5QESpeY6Fdwmnkxhrh69STxA=</DigestValue>
      </Reference>
      <Reference URI="/xl/printerSettings/printerSettings28.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EKGprfHc+H/gyzRZZBHrFfPlu2WlrJ3b9VoWeQJrTNM=</DigestValue>
      </Reference>
      <Reference URI="/xl/printerSettings/printerSettings4.bin?ContentType=application/vnd.openxmlformats-officedocument.spreadsheetml.printerSettings">
        <DigestMethod Algorithm="http://www.w3.org/2001/04/xmlenc#sha256"/>
        <DigestValue>ZZHgBK3ClE4NLQ/d1wTpBivMuCT8wZjjdiWSGfkAHbk=</DigestValue>
      </Reference>
      <Reference URI="/xl/printerSettings/printerSettings5.bin?ContentType=application/vnd.openxmlformats-officedocument.spreadsheetml.printerSettings">
        <DigestMethod Algorithm="http://www.w3.org/2001/04/xmlenc#sha256"/>
        <DigestValue>L+CxbXS3yzcVLTJTz50kMb6T4gEHhM4qLfUzzpiwfWw=</DigestValue>
      </Reference>
      <Reference URI="/xl/printerSettings/printerSettings6.bin?ContentType=application/vnd.openxmlformats-officedocument.spreadsheetml.printerSettings">
        <DigestMethod Algorithm="http://www.w3.org/2001/04/xmlenc#sha256"/>
        <DigestValue>9mG81PytrHkYioZI1LP0ksiI7i+szuT1Vsy2GarE5gg=</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aQz4a0QcKqpyNxt3KNDbaDpg02BRYDdCh3gv/hYUcVE=</DigestValue>
      </Reference>
      <Reference URI="/xl/styles.xml?ContentType=application/vnd.openxmlformats-officedocument.spreadsheetml.styles+xml">
        <DigestMethod Algorithm="http://www.w3.org/2001/04/xmlenc#sha256"/>
        <DigestValue>EKaNRwnIh8s3EhHWvxfiGhXDzNLfcv9PVfFw7Vv+Nuw=</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BfEna+6M3Mq15snocYY1BlCgTqBMflIl6ZbEc0RkLcQ=</DigestValue>
      </Reference>
      <Reference URI="/xl/workbook.xml?ContentType=application/vnd.openxmlformats-officedocument.spreadsheetml.sheet.main+xml">
        <DigestMethod Algorithm="http://www.w3.org/2001/04/xmlenc#sha256"/>
        <DigestValue>MgJqrXbEHhDY8ekcVgx7zHRc2iWV2s236NoTznOMFvY=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uBCsLoCeDaoZuHLizZacnRXpOOOOxk0iSLefQ5jFwpo=</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9L1b2m5lx2AW9d+8Uf8RdPYSw4vOLHIf9sR5SDci85c=</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QiDCyON6/l/Ti8hBcEpg68sz+6NJGWbPiZMQQy/y0eQ=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3VUG1FyZ6j7e/fvLGkVBdquG63WoVGXpNMPfRx2dC6g=</DigestValue>
      </Reference>
      <Reference URI="/xl/worksheets/sheet10.xml?ContentType=application/vnd.openxmlformats-officedocument.spreadsheetml.worksheet+xml">
        <DigestMethod Algorithm="http://www.w3.org/2001/04/xmlenc#sha256"/>
        <DigestValue>wraXFBYHeQLalfvK+YIIuCGoocGMpX8fljg2HzKalc0=</DigestValue>
      </Reference>
      <Reference URI="/xl/worksheets/sheet11.xml?ContentType=application/vnd.openxmlformats-officedocument.spreadsheetml.worksheet+xml">
        <DigestMethod Algorithm="http://www.w3.org/2001/04/xmlenc#sha256"/>
        <DigestValue>wg1f1YqHhLlwT0f50qhyaCa9d8Lq1q5lk4I7FHQEnqs=</DigestValue>
      </Reference>
      <Reference URI="/xl/worksheets/sheet12.xml?ContentType=application/vnd.openxmlformats-officedocument.spreadsheetml.worksheet+xml">
        <DigestMethod Algorithm="http://www.w3.org/2001/04/xmlenc#sha256"/>
        <DigestValue>RJNXlj3Zv+obkZT6B3Yphvo7SBiJTG3DlzJvbw9eap4=</DigestValue>
      </Reference>
      <Reference URI="/xl/worksheets/sheet13.xml?ContentType=application/vnd.openxmlformats-officedocument.spreadsheetml.worksheet+xml">
        <DigestMethod Algorithm="http://www.w3.org/2001/04/xmlenc#sha256"/>
        <DigestValue>/M2UjgaE0N/IIhMJqBbIRf9Gdp5chh1U8dEu6jtsjBw=</DigestValue>
      </Reference>
      <Reference URI="/xl/worksheets/sheet14.xml?ContentType=application/vnd.openxmlformats-officedocument.spreadsheetml.worksheet+xml">
        <DigestMethod Algorithm="http://www.w3.org/2001/04/xmlenc#sha256"/>
        <DigestValue>1Ntu7uThJ0Thr/dAjHwj17ymC6FBM6IAyfDjvglbgtY=</DigestValue>
      </Reference>
      <Reference URI="/xl/worksheets/sheet15.xml?ContentType=application/vnd.openxmlformats-officedocument.spreadsheetml.worksheet+xml">
        <DigestMethod Algorithm="http://www.w3.org/2001/04/xmlenc#sha256"/>
        <DigestValue>S+tvmeDU2vQn36oeBLidsU+ahZIojSC7ncJzCnytpMo=</DigestValue>
      </Reference>
      <Reference URI="/xl/worksheets/sheet16.xml?ContentType=application/vnd.openxmlformats-officedocument.spreadsheetml.worksheet+xml">
        <DigestMethod Algorithm="http://www.w3.org/2001/04/xmlenc#sha256"/>
        <DigestValue>lagpRz9ASqzZI8CkfXDDgi2pUyQqlS6qpkbNBKRKlxA=</DigestValue>
      </Reference>
      <Reference URI="/xl/worksheets/sheet17.xml?ContentType=application/vnd.openxmlformats-officedocument.spreadsheetml.worksheet+xml">
        <DigestMethod Algorithm="http://www.w3.org/2001/04/xmlenc#sha256"/>
        <DigestValue>J9ovxwniNwzG1qTV6EoRhLzr1M+PxR6CTLf2ow6xPOI=</DigestValue>
      </Reference>
      <Reference URI="/xl/worksheets/sheet18.xml?ContentType=application/vnd.openxmlformats-officedocument.spreadsheetml.worksheet+xml">
        <DigestMethod Algorithm="http://www.w3.org/2001/04/xmlenc#sha256"/>
        <DigestValue>i9VJnlvM/dqX2IMBnFQWD18UTcdgiPU7HKzZu8KL3pA=</DigestValue>
      </Reference>
      <Reference URI="/xl/worksheets/sheet19.xml?ContentType=application/vnd.openxmlformats-officedocument.spreadsheetml.worksheet+xml">
        <DigestMethod Algorithm="http://www.w3.org/2001/04/xmlenc#sha256"/>
        <DigestValue>YR7Yun9irMSxUMhri3HePXKFh0UoS9MIT4Fu1S/rFKc=</DigestValue>
      </Reference>
      <Reference URI="/xl/worksheets/sheet2.xml?ContentType=application/vnd.openxmlformats-officedocument.spreadsheetml.worksheet+xml">
        <DigestMethod Algorithm="http://www.w3.org/2001/04/xmlenc#sha256"/>
        <DigestValue>/D444dVWVQrBxXyhTd6wKTsW0E7Gx/memImoxRcFcmg=</DigestValue>
      </Reference>
      <Reference URI="/xl/worksheets/sheet20.xml?ContentType=application/vnd.openxmlformats-officedocument.spreadsheetml.worksheet+xml">
        <DigestMethod Algorithm="http://www.w3.org/2001/04/xmlenc#sha256"/>
        <DigestValue>wvy4rOUs0j1G/xGUAk5jjUoVs/mJMgUSZsN58ro6rIQ=</DigestValue>
      </Reference>
      <Reference URI="/xl/worksheets/sheet21.xml?ContentType=application/vnd.openxmlformats-officedocument.spreadsheetml.worksheet+xml">
        <DigestMethod Algorithm="http://www.w3.org/2001/04/xmlenc#sha256"/>
        <DigestValue>jsji+9VNQBZr9w9p7Qz0MG9Y0BK0wtP+FEkzi8HkVeE=</DigestValue>
      </Reference>
      <Reference URI="/xl/worksheets/sheet22.xml?ContentType=application/vnd.openxmlformats-officedocument.spreadsheetml.worksheet+xml">
        <DigestMethod Algorithm="http://www.w3.org/2001/04/xmlenc#sha256"/>
        <DigestValue>Y9DugB631ae14WhS1bQKVCF49gapa1TkQqlWZ7gF9K4=</DigestValue>
      </Reference>
      <Reference URI="/xl/worksheets/sheet23.xml?ContentType=application/vnd.openxmlformats-officedocument.spreadsheetml.worksheet+xml">
        <DigestMethod Algorithm="http://www.w3.org/2001/04/xmlenc#sha256"/>
        <DigestValue>hILOVGiJtBnxTB2xxov/om0knD8TvrkhzBIPzTdGltA=</DigestValue>
      </Reference>
      <Reference URI="/xl/worksheets/sheet24.xml?ContentType=application/vnd.openxmlformats-officedocument.spreadsheetml.worksheet+xml">
        <DigestMethod Algorithm="http://www.w3.org/2001/04/xmlenc#sha256"/>
        <DigestValue>7gZLx/kQijzKTZUn5Pq/P6XNIuLG8LzBnzXoHWj7FnU=</DigestValue>
      </Reference>
      <Reference URI="/xl/worksheets/sheet25.xml?ContentType=application/vnd.openxmlformats-officedocument.spreadsheetml.worksheet+xml">
        <DigestMethod Algorithm="http://www.w3.org/2001/04/xmlenc#sha256"/>
        <DigestValue>ho3XrvlbxiNwlXxRs6wOErTJ3bJOWRMRbcS3Qhx97lU=</DigestValue>
      </Reference>
      <Reference URI="/xl/worksheets/sheet26.xml?ContentType=application/vnd.openxmlformats-officedocument.spreadsheetml.worksheet+xml">
        <DigestMethod Algorithm="http://www.w3.org/2001/04/xmlenc#sha256"/>
        <DigestValue>wIbYcBzKzkuetJyOX5ER1jjtJ4rPTZYZfsPX8yQE/OY=</DigestValue>
      </Reference>
      <Reference URI="/xl/worksheets/sheet27.xml?ContentType=application/vnd.openxmlformats-officedocument.spreadsheetml.worksheet+xml">
        <DigestMethod Algorithm="http://www.w3.org/2001/04/xmlenc#sha256"/>
        <DigestValue>BdAHFU5RtopPJywJso3BM7flXaIjfTSuNtU9tbeBzMY=</DigestValue>
      </Reference>
      <Reference URI="/xl/worksheets/sheet28.xml?ContentType=application/vnd.openxmlformats-officedocument.spreadsheetml.worksheet+xml">
        <DigestMethod Algorithm="http://www.w3.org/2001/04/xmlenc#sha256"/>
        <DigestValue>Lgv++kvd+AkC7/ivYZ4waPTRTeRNgJLEWacJGL1HTGw=</DigestValue>
      </Reference>
      <Reference URI="/xl/worksheets/sheet29.xml?ContentType=application/vnd.openxmlformats-officedocument.spreadsheetml.worksheet+xml">
        <DigestMethod Algorithm="http://www.w3.org/2001/04/xmlenc#sha256"/>
        <DigestValue>J0eTDqHXJAE8Fe7Wyiu9scWaghKLaGH8OD6nUCS1fF4=</DigestValue>
      </Reference>
      <Reference URI="/xl/worksheets/sheet3.xml?ContentType=application/vnd.openxmlformats-officedocument.spreadsheetml.worksheet+xml">
        <DigestMethod Algorithm="http://www.w3.org/2001/04/xmlenc#sha256"/>
        <DigestValue>aHzW+dnmrSMf/37n+6Bw1/4xzC3cv1XEOluI/dWQztk=</DigestValue>
      </Reference>
      <Reference URI="/xl/worksheets/sheet30.xml?ContentType=application/vnd.openxmlformats-officedocument.spreadsheetml.worksheet+xml">
        <DigestMethod Algorithm="http://www.w3.org/2001/04/xmlenc#sha256"/>
        <DigestValue>PX5a4FQZ/Ps597lwvm/kAaFx4FjpFuUno0avUBuATz0=</DigestValue>
      </Reference>
      <Reference URI="/xl/worksheets/sheet31.xml?ContentType=application/vnd.openxmlformats-officedocument.spreadsheetml.worksheet+xml">
        <DigestMethod Algorithm="http://www.w3.org/2001/04/xmlenc#sha256"/>
        <DigestValue>pfo40Dclqj1XVcgjo23EWbFHdbECblkAvuE87RgsRww=</DigestValue>
      </Reference>
      <Reference URI="/xl/worksheets/sheet32.xml?ContentType=application/vnd.openxmlformats-officedocument.spreadsheetml.worksheet+xml">
        <DigestMethod Algorithm="http://www.w3.org/2001/04/xmlenc#sha256"/>
        <DigestValue>+G35tgCW5fY+gRVuWeOFf9NZMs4LgHiLKPhLOiRDDAo=</DigestValue>
      </Reference>
      <Reference URI="/xl/worksheets/sheet33.xml?ContentType=application/vnd.openxmlformats-officedocument.spreadsheetml.worksheet+xml">
        <DigestMethod Algorithm="http://www.w3.org/2001/04/xmlenc#sha256"/>
        <DigestValue>KV9IKxDBJXc4++nuzoWoR0ZsLJDE6+vniaY6vPjLAzE=</DigestValue>
      </Reference>
      <Reference URI="/xl/worksheets/sheet4.xml?ContentType=application/vnd.openxmlformats-officedocument.spreadsheetml.worksheet+xml">
        <DigestMethod Algorithm="http://www.w3.org/2001/04/xmlenc#sha256"/>
        <DigestValue>u6sbqGCfe48PqQwSHyPq/lNNACPoUeH3mkq1bV4gw94=</DigestValue>
      </Reference>
      <Reference URI="/xl/worksheets/sheet5.xml?ContentType=application/vnd.openxmlformats-officedocument.spreadsheetml.worksheet+xml">
        <DigestMethod Algorithm="http://www.w3.org/2001/04/xmlenc#sha256"/>
        <DigestValue>OgwgQNx7T81sMCMlCiQ3Sj2ZR4ti0xMmnlRaAPrVmko=</DigestValue>
      </Reference>
      <Reference URI="/xl/worksheets/sheet6.xml?ContentType=application/vnd.openxmlformats-officedocument.spreadsheetml.worksheet+xml">
        <DigestMethod Algorithm="http://www.w3.org/2001/04/xmlenc#sha256"/>
        <DigestValue>n1KbGdC421IUnNiGqJWGedmp1H8O8VNWH1sMXULGeco=</DigestValue>
      </Reference>
      <Reference URI="/xl/worksheets/sheet7.xml?ContentType=application/vnd.openxmlformats-officedocument.spreadsheetml.worksheet+xml">
        <DigestMethod Algorithm="http://www.w3.org/2001/04/xmlenc#sha256"/>
        <DigestValue>BlXeVikh7Bv+dcT9hHRx7M509pODU/q+fMevMz+CYUA=</DigestValue>
      </Reference>
      <Reference URI="/xl/worksheets/sheet8.xml?ContentType=application/vnd.openxmlformats-officedocument.spreadsheetml.worksheet+xml">
        <DigestMethod Algorithm="http://www.w3.org/2001/04/xmlenc#sha256"/>
        <DigestValue>H9uMY4LM/GUc45NklOY2WUiGuvMX4QL5DLMfu4kDkp0=</DigestValue>
      </Reference>
      <Reference URI="/xl/worksheets/sheet9.xml?ContentType=application/vnd.openxmlformats-officedocument.spreadsheetml.worksheet+xml">
        <DigestMethod Algorithm="http://www.w3.org/2001/04/xmlenc#sha256"/>
        <DigestValue>+S8QYk8tKGDHCoSjFfO73JQMq/rI3IzT1q9XAoAf6UA=</DigestValue>
      </Reference>
    </Manifest>
    <SignatureProperties>
      <SignatureProperty Id="idSignatureTime" Target="#idPackageSignature">
        <mdssi:SignatureTime xmlns:mdssi="http://schemas.openxmlformats.org/package/2006/digital-signature">
          <mdssi:Format>YYYY-MM-DDThh:mm:ssTZD</mdssi:Format>
          <mdssi:Value>2026-04-23T16:07:26Z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nbg reporting</SignatureComments>
          <WindowsVersion>10.0</WindowsVersion>
          <OfficeVersion>16.0.19929/27</OfficeVersion>
          <ApplicationVersion>16.0.19929</ApplicationVersion>
          <Monitors>1</Monitors>
          <HorizontalResolution>3840</HorizontalResolution>
          <VerticalResolution>2160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2026-04-23T16:07:26Z</xd:SigningTime>
          <xd:SigningCertificate>
            <xd:Cert>
              <xd:CertDigest>
                <DigestMethod Algorithm="http://www.w3.org/2001/04/xmlenc#sha256"/>
                <DigestValue>Q7Uepn9gkBAEvbbhMzOw/ABQnlA3wu/Avda6gvXjvFg=</DigestValue>
              </xd:CertDigest>
              <xd:IssuerSerial>
                <X509IssuerName>CN=NBG Class 2 INT Sub CA, DC=nbg, DC=ge</X509IssuerName>
                <X509SerialNumber>186280511134098578901232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nbg reporting</xd:CommitmentTypeQualifier>
            </xd:CommitmentTypeQualifiers>
          </xd:CommitmentTypeIndication>
        </xd:SignedDataObject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83CD7958-928F-45CE-A0BA-C7ADC4D7D374}">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2026-04-21T12:17:28Z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2250bde7-4d65-43cb-a260-e37a11446c04</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