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1478" documentId="13_ncr:1_{E12D3F1A-62B9-4172-BDA6-FDE9D1BCC41C}" xr6:coauthVersionLast="47" xr6:coauthVersionMax="47" xr10:uidLastSave="{4A6CF696-BDF8-4B7F-AAB0-3DD6097C84D9}"/>
  <bookViews>
    <workbookView xWindow="-108" yWindow="-108" windowWidth="23256" windowHeight="12456" tabRatio="919" firstSheet="12" activeTab="16"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80" l="1"/>
  <c r="G22" i="96" l="1"/>
  <c r="E22" i="96"/>
  <c r="D22" i="96"/>
  <c r="C22" i="96"/>
  <c r="C26" i="80" l="1"/>
  <c r="C23" i="80"/>
  <c r="F20" i="80"/>
  <c r="F15" i="74" l="1"/>
  <c r="F14" i="74"/>
  <c r="C25" i="72" l="1"/>
  <c r="D38" i="94" l="1"/>
  <c r="C38" i="94"/>
  <c r="D30" i="94"/>
  <c r="C30" i="94"/>
  <c r="D17" i="94"/>
  <c r="C17" i="94"/>
  <c r="D14" i="94"/>
  <c r="C14" i="94"/>
  <c r="D11" i="94"/>
  <c r="C11" i="94"/>
  <c r="D8" i="94"/>
  <c r="C8" i="94"/>
  <c r="H7" i="102" l="1"/>
  <c r="H8" i="102"/>
  <c r="H9" i="102"/>
  <c r="H10" i="102"/>
  <c r="H11" i="102"/>
  <c r="H12" i="102"/>
  <c r="H13" i="102"/>
  <c r="H14" i="102"/>
  <c r="H15" i="102"/>
  <c r="H16" i="102"/>
  <c r="H17" i="102"/>
  <c r="H18" i="102"/>
  <c r="H19" i="102"/>
  <c r="H20" i="102"/>
  <c r="H21" i="102"/>
  <c r="H22" i="102"/>
  <c r="H23" i="102"/>
  <c r="H24" i="102"/>
  <c r="H25" i="102"/>
  <c r="H26" i="102"/>
  <c r="H27" i="102"/>
  <c r="H28" i="102"/>
  <c r="H29" i="102"/>
  <c r="H30" i="102"/>
  <c r="H31" i="102"/>
  <c r="H32" i="102"/>
  <c r="C16" i="100" l="1"/>
  <c r="C17" i="100"/>
  <c r="C13" i="100"/>
  <c r="C14" i="100"/>
  <c r="G36" i="80" l="1"/>
  <c r="E16" i="80" l="1"/>
  <c r="F39" i="93" l="1"/>
  <c r="F41" i="93"/>
  <c r="G38" i="94" l="1"/>
  <c r="F38" i="94"/>
  <c r="G29" i="93"/>
  <c r="F29" i="93"/>
  <c r="Q13" i="104" l="1"/>
  <c r="Q19" i="104" s="1"/>
  <c r="P13" i="104"/>
  <c r="P19" i="104" s="1"/>
  <c r="O13" i="104"/>
  <c r="O19" i="104" s="1"/>
  <c r="N13" i="104"/>
  <c r="N19" i="104" s="1"/>
  <c r="M20" i="104"/>
  <c r="M18" i="104"/>
  <c r="M17" i="104"/>
  <c r="M16" i="104"/>
  <c r="M15" i="104"/>
  <c r="M14" i="104"/>
  <c r="M12" i="104"/>
  <c r="M11" i="104"/>
  <c r="M10" i="104"/>
  <c r="M9" i="104"/>
  <c r="M8" i="104"/>
  <c r="M7" i="104"/>
  <c r="L13" i="104"/>
  <c r="L19" i="104" s="1"/>
  <c r="K13" i="104"/>
  <c r="K19" i="104" s="1"/>
  <c r="J13" i="104"/>
  <c r="J19" i="104" s="1"/>
  <c r="I13" i="104"/>
  <c r="H20" i="104"/>
  <c r="H18" i="104"/>
  <c r="H17" i="104"/>
  <c r="H16" i="104"/>
  <c r="H15" i="104"/>
  <c r="H14" i="104"/>
  <c r="H12" i="104"/>
  <c r="H11" i="104"/>
  <c r="H10" i="104"/>
  <c r="H9" i="104"/>
  <c r="H8" i="104"/>
  <c r="H7" i="104"/>
  <c r="G13" i="104"/>
  <c r="G19" i="104" s="1"/>
  <c r="F13" i="104"/>
  <c r="F19" i="104" s="1"/>
  <c r="E13" i="104"/>
  <c r="E19" i="104" s="1"/>
  <c r="D13" i="104"/>
  <c r="C20" i="104"/>
  <c r="C18" i="104"/>
  <c r="C17" i="104"/>
  <c r="C16" i="104"/>
  <c r="C15" i="104"/>
  <c r="C14" i="104"/>
  <c r="C12" i="104"/>
  <c r="C11" i="104"/>
  <c r="C10" i="104"/>
  <c r="C9" i="104"/>
  <c r="C8" i="104"/>
  <c r="C7" i="104"/>
  <c r="C13" i="104" l="1"/>
  <c r="D19" i="104"/>
  <c r="M13" i="104"/>
  <c r="H13" i="104"/>
  <c r="I19" i="104"/>
  <c r="M19" i="104"/>
  <c r="H19" i="104"/>
  <c r="C19" i="104"/>
  <c r="C12" i="101" l="1"/>
  <c r="C13" i="101"/>
  <c r="C14" i="101"/>
  <c r="C15" i="101"/>
  <c r="C11" i="101"/>
  <c r="C22" i="101" l="1"/>
  <c r="C21" i="101"/>
  <c r="C20" i="101"/>
  <c r="C19" i="101"/>
  <c r="C18" i="101"/>
  <c r="C17" i="101"/>
  <c r="AA10" i="101"/>
  <c r="Z10" i="101"/>
  <c r="Y10" i="101"/>
  <c r="X10" i="101"/>
  <c r="W10" i="101"/>
  <c r="V10" i="101"/>
  <c r="U10" i="101"/>
  <c r="T10" i="101"/>
  <c r="S10" i="101"/>
  <c r="R10" i="101"/>
  <c r="Q10" i="101"/>
  <c r="P10" i="101"/>
  <c r="O10" i="101"/>
  <c r="N10" i="101"/>
  <c r="M10" i="101"/>
  <c r="L10" i="101"/>
  <c r="K10" i="101"/>
  <c r="J10" i="101"/>
  <c r="I10" i="101"/>
  <c r="H10" i="101"/>
  <c r="G10" i="101"/>
  <c r="F10" i="101"/>
  <c r="E10" i="101"/>
  <c r="D10" i="101"/>
  <c r="C10" i="101"/>
  <c r="C9" i="101"/>
  <c r="C8" i="101"/>
  <c r="I33" i="102" l="1"/>
  <c r="J33" i="102"/>
  <c r="K33" i="102"/>
  <c r="L33" i="102"/>
  <c r="H33" i="102"/>
  <c r="D33" i="102"/>
  <c r="E33" i="102"/>
  <c r="F33" i="102"/>
  <c r="G33" i="102"/>
  <c r="C8" i="102"/>
  <c r="C9" i="102"/>
  <c r="C10" i="102"/>
  <c r="C11" i="102"/>
  <c r="C12" i="102"/>
  <c r="C13" i="102"/>
  <c r="C14" i="102"/>
  <c r="C15" i="102"/>
  <c r="C16" i="102"/>
  <c r="C17" i="102"/>
  <c r="C18" i="102"/>
  <c r="C19" i="102"/>
  <c r="C20" i="102"/>
  <c r="C21" i="102"/>
  <c r="C22" i="102"/>
  <c r="C23" i="102"/>
  <c r="C24" i="102"/>
  <c r="C25" i="102"/>
  <c r="C26" i="102"/>
  <c r="C27" i="102"/>
  <c r="C28" i="102"/>
  <c r="C29" i="102"/>
  <c r="C30" i="102"/>
  <c r="C31" i="102"/>
  <c r="C32" i="102"/>
  <c r="C7" i="102"/>
  <c r="C33" i="102" l="1"/>
  <c r="D15" i="100"/>
  <c r="C15" i="100" s="1"/>
  <c r="C22"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G31" i="80" l="1"/>
  <c r="G26" i="80" l="1"/>
  <c r="G16" i="80"/>
  <c r="G15" i="80" l="1"/>
  <c r="G13" i="80" l="1"/>
  <c r="G12" i="80"/>
  <c r="G10" i="80"/>
  <c r="G9" i="80" l="1"/>
  <c r="F8" i="107" l="1"/>
  <c r="F9" i="107"/>
  <c r="F7" i="107"/>
  <c r="F6" i="107" s="1"/>
  <c r="E6" i="107"/>
  <c r="D6" i="107"/>
  <c r="C31" i="79" l="1"/>
  <c r="C7" i="79"/>
  <c r="P9" i="37"/>
  <c r="O9" i="37"/>
  <c r="N9" i="37"/>
  <c r="M9" i="37"/>
  <c r="L9" i="37"/>
  <c r="K9" i="37"/>
  <c r="J9" i="37"/>
  <c r="P8" i="37"/>
  <c r="O8" i="37"/>
  <c r="N8" i="37"/>
  <c r="M8" i="37"/>
  <c r="L8" i="37"/>
  <c r="K8" i="37"/>
  <c r="J8" i="37"/>
  <c r="P7" i="37"/>
  <c r="O7" i="37"/>
  <c r="N7" i="37"/>
  <c r="M7" i="37"/>
  <c r="M6" i="37" s="1"/>
  <c r="L7" i="37"/>
  <c r="L6" i="37" s="1"/>
  <c r="K7" i="37"/>
  <c r="J7" i="37"/>
  <c r="J6" i="37" s="1"/>
  <c r="P6" i="37"/>
  <c r="O6" i="37"/>
  <c r="N6" i="37"/>
  <c r="K6" i="37"/>
  <c r="E9" i="37"/>
  <c r="E8" i="37"/>
  <c r="E7" i="37"/>
  <c r="D9" i="37"/>
  <c r="D8" i="37"/>
  <c r="D7" i="37"/>
  <c r="D6" i="37" s="1"/>
  <c r="E6" i="37"/>
  <c r="J23" i="36" l="1"/>
  <c r="I23" i="36"/>
  <c r="K23" i="36" s="1"/>
  <c r="G23" i="36"/>
  <c r="F23" i="36"/>
  <c r="H23" i="36" s="1"/>
  <c r="K19" i="36"/>
  <c r="K20" i="36"/>
  <c r="K18" i="36"/>
  <c r="J21" i="36"/>
  <c r="I21" i="36"/>
  <c r="K21" i="36" s="1"/>
  <c r="J16" i="36"/>
  <c r="I16" i="36"/>
  <c r="K10" i="36"/>
  <c r="K16" i="36" s="1"/>
  <c r="K11" i="36"/>
  <c r="K12" i="36"/>
  <c r="K13" i="36"/>
  <c r="K14" i="36"/>
  <c r="K15" i="36"/>
  <c r="K8" i="36"/>
  <c r="H20" i="36"/>
  <c r="H19" i="36"/>
  <c r="H21" i="36" s="1"/>
  <c r="H18" i="36"/>
  <c r="G21" i="36"/>
  <c r="F21" i="36"/>
  <c r="G16" i="36"/>
  <c r="F16" i="36"/>
  <c r="H15" i="36"/>
  <c r="H14" i="36"/>
  <c r="H13" i="36"/>
  <c r="H12" i="36"/>
  <c r="H16" i="36" s="1"/>
  <c r="H11" i="36"/>
  <c r="H10" i="36"/>
  <c r="H8" i="36"/>
  <c r="D21" i="36"/>
  <c r="C21" i="36"/>
  <c r="E20" i="36"/>
  <c r="E19" i="36"/>
  <c r="E21" i="36" s="1"/>
  <c r="E18" i="36"/>
  <c r="D16" i="36"/>
  <c r="C16" i="36"/>
  <c r="E11" i="36"/>
  <c r="E12" i="36"/>
  <c r="E13" i="36"/>
  <c r="E14" i="36"/>
  <c r="E15" i="36"/>
  <c r="E10" i="36"/>
  <c r="E16" i="36" s="1"/>
  <c r="F24" i="36" l="1"/>
  <c r="I24" i="36"/>
  <c r="J24" i="36"/>
  <c r="J25" i="36" s="1"/>
  <c r="K24" i="36"/>
  <c r="G24" i="36"/>
  <c r="H24" i="36"/>
  <c r="H25" i="36" s="1"/>
  <c r="K25" i="36"/>
  <c r="G25" i="36"/>
  <c r="F25" i="36"/>
  <c r="I25" i="36"/>
  <c r="C22" i="74" l="1"/>
  <c r="D29" i="93" l="1"/>
  <c r="C29" i="93"/>
  <c r="E35" i="72" l="1"/>
  <c r="E34" i="72"/>
  <c r="E32" i="72"/>
  <c r="E30" i="72"/>
  <c r="E26" i="72"/>
  <c r="E22" i="72"/>
  <c r="E23" i="72"/>
  <c r="E21" i="72"/>
  <c r="E12" i="72"/>
  <c r="E13" i="72"/>
  <c r="E10" i="72"/>
  <c r="E11" i="72"/>
  <c r="E9" i="72"/>
  <c r="G30" i="94" l="1"/>
  <c r="F30" i="94"/>
  <c r="G17" i="94"/>
  <c r="G14" i="94" s="1"/>
  <c r="F17" i="94"/>
  <c r="F14" i="94" s="1"/>
  <c r="G8" i="94"/>
  <c r="F8" i="94"/>
  <c r="G37" i="93"/>
  <c r="F37" i="93"/>
  <c r="G13" i="93"/>
  <c r="F13" i="93"/>
  <c r="C13" i="93"/>
  <c r="D13" i="93"/>
  <c r="G6" i="93"/>
  <c r="F6" i="93"/>
  <c r="F68" i="92"/>
  <c r="F47" i="92"/>
  <c r="G41" i="92"/>
  <c r="F41" i="92"/>
  <c r="F7" i="92"/>
  <c r="G7" i="92"/>
  <c r="Q33" i="37" l="1"/>
  <c r="I33" i="37"/>
  <c r="Q32" i="37"/>
  <c r="I32" i="37"/>
  <c r="Q31" i="37"/>
  <c r="I31" i="37"/>
  <c r="I30" i="37"/>
  <c r="Q29" i="37"/>
  <c r="I29" i="37"/>
  <c r="Q28" i="37"/>
  <c r="I28" i="37"/>
  <c r="Q27" i="37"/>
  <c r="Q26" i="37" s="1"/>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K34" i="37"/>
  <c r="G9" i="37"/>
  <c r="F9" i="37"/>
  <c r="I9" i="37" s="1"/>
  <c r="C9" i="37"/>
  <c r="G8" i="37"/>
  <c r="F8" i="37"/>
  <c r="C8" i="37"/>
  <c r="O34" i="37"/>
  <c r="N34" i="37"/>
  <c r="M34" i="37"/>
  <c r="J34" i="37"/>
  <c r="G7" i="37"/>
  <c r="F7" i="37"/>
  <c r="C7" i="37"/>
  <c r="P34" i="37"/>
  <c r="L34" i="37"/>
  <c r="E34" i="37"/>
  <c r="C13" i="79" s="1"/>
  <c r="D34" i="37"/>
  <c r="B2" i="37"/>
  <c r="B1" i="37"/>
  <c r="C26" i="79"/>
  <c r="C22" i="79"/>
  <c r="Q18" i="37" l="1"/>
  <c r="G6" i="37"/>
  <c r="G34" i="37" s="1"/>
  <c r="C11" i="79" s="1"/>
  <c r="I7" i="37"/>
  <c r="F6" i="37"/>
  <c r="F34" i="37" s="1"/>
  <c r="Q8" i="37"/>
  <c r="I8" i="37"/>
  <c r="Q22" i="37"/>
  <c r="Q30" i="37"/>
  <c r="Q10" i="37"/>
  <c r="C6" i="37"/>
  <c r="C34" i="37" s="1"/>
  <c r="Q9" i="37"/>
  <c r="Q7" i="37"/>
  <c r="Q6" i="37" s="1"/>
  <c r="Q34" i="37" s="1"/>
  <c r="I6" i="37" l="1"/>
  <c r="I34" i="37"/>
  <c r="C12" i="79" s="1"/>
  <c r="C14" i="79" s="1"/>
  <c r="C10" i="79"/>
  <c r="C6" i="107"/>
  <c r="B2" i="107"/>
  <c r="B1" i="107"/>
  <c r="H8" i="7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2" i="95"/>
  <c r="C15" i="98"/>
  <c r="H21" i="96"/>
  <c r="C62" i="69"/>
  <c r="C58" i="69"/>
  <c r="C67" i="69" s="1"/>
  <c r="C46" i="69"/>
  <c r="C40" i="69"/>
  <c r="C29" i="69"/>
  <c r="C26" i="69"/>
  <c r="C23" i="69"/>
  <c r="C18" i="69"/>
  <c r="C14" i="69"/>
  <c r="C6" i="69"/>
  <c r="D8" i="72"/>
  <c r="E8" i="72"/>
  <c r="D16" i="72"/>
  <c r="E16" i="72"/>
  <c r="D20" i="72"/>
  <c r="E20" i="72"/>
  <c r="D25" i="72"/>
  <c r="E25" i="72"/>
  <c r="D28" i="72"/>
  <c r="E28" i="72"/>
  <c r="D31" i="72"/>
  <c r="E31" i="72"/>
  <c r="C31" i="72"/>
  <c r="C28" i="72"/>
  <c r="C20" i="72"/>
  <c r="C16" i="72"/>
  <c r="C8" i="72"/>
  <c r="C35" i="69" l="1"/>
  <c r="C52" i="69"/>
  <c r="C68" i="69" s="1"/>
  <c r="C37" i="72"/>
  <c r="E37" i="72"/>
  <c r="D37" i="72"/>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H16" i="94"/>
  <c r="E16" i="94"/>
  <c r="H15" i="94"/>
  <c r="E15" i="94"/>
  <c r="H13" i="94"/>
  <c r="E13" i="94"/>
  <c r="H12" i="94"/>
  <c r="E12" i="94"/>
  <c r="H10" i="94"/>
  <c r="E10" i="94"/>
  <c r="H9" i="94"/>
  <c r="E9" i="94"/>
  <c r="H7" i="94"/>
  <c r="E7" i="94"/>
  <c r="H6" i="94"/>
  <c r="E6" i="94"/>
  <c r="H44" i="93"/>
  <c r="E44" i="93"/>
  <c r="H42" i="93"/>
  <c r="E42" i="93"/>
  <c r="H41" i="93"/>
  <c r="E41" i="93"/>
  <c r="H40" i="93"/>
  <c r="E40" i="93"/>
  <c r="H39" i="93"/>
  <c r="E39" i="93"/>
  <c r="H38" i="93"/>
  <c r="E38" i="93"/>
  <c r="H37" i="93"/>
  <c r="D37" i="93"/>
  <c r="C37" i="93"/>
  <c r="H36" i="93"/>
  <c r="E36" i="93"/>
  <c r="H35" i="93"/>
  <c r="E35" i="93"/>
  <c r="G34" i="93"/>
  <c r="F34" i="93"/>
  <c r="H34" i="93" s="1"/>
  <c r="D34" i="93"/>
  <c r="C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C6" i="93"/>
  <c r="G68" i="92"/>
  <c r="H67" i="92"/>
  <c r="E67" i="92"/>
  <c r="H66" i="92"/>
  <c r="E66" i="92"/>
  <c r="H65" i="92"/>
  <c r="E65" i="92"/>
  <c r="H64" i="92"/>
  <c r="E64" i="92"/>
  <c r="H63" i="92"/>
  <c r="D63" i="92"/>
  <c r="E63" i="92"/>
  <c r="H62" i="92"/>
  <c r="E62" i="92"/>
  <c r="H61" i="92"/>
  <c r="E61" i="92"/>
  <c r="H60" i="92"/>
  <c r="E60" i="92"/>
  <c r="H59" i="92"/>
  <c r="D59" i="92"/>
  <c r="H58" i="92"/>
  <c r="E58" i="92"/>
  <c r="H57" i="92"/>
  <c r="E57" i="92"/>
  <c r="H56" i="92"/>
  <c r="E56" i="92"/>
  <c r="H55" i="92"/>
  <c r="E55" i="92"/>
  <c r="H52" i="92"/>
  <c r="E52" i="92"/>
  <c r="H51" i="92"/>
  <c r="E51" i="92"/>
  <c r="H50" i="92"/>
  <c r="E50" i="92"/>
  <c r="H49" i="92"/>
  <c r="E49" i="92"/>
  <c r="H48" i="92"/>
  <c r="E48" i="92"/>
  <c r="G47" i="92"/>
  <c r="D47" i="92"/>
  <c r="C47" i="92"/>
  <c r="E47" i="92" s="1"/>
  <c r="H46" i="92"/>
  <c r="E46" i="92"/>
  <c r="H45" i="92"/>
  <c r="E45" i="92"/>
  <c r="H44" i="92"/>
  <c r="E44" i="92"/>
  <c r="H43" i="92"/>
  <c r="E43" i="92"/>
  <c r="H42" i="92"/>
  <c r="E42" i="92"/>
  <c r="H41" i="92"/>
  <c r="D41" i="92"/>
  <c r="D53" i="92" s="1"/>
  <c r="C41" i="92"/>
  <c r="H40" i="92"/>
  <c r="E40" i="92"/>
  <c r="H39" i="92"/>
  <c r="E39" i="92"/>
  <c r="H38" i="92"/>
  <c r="E38" i="92"/>
  <c r="H35" i="92"/>
  <c r="E35" i="92"/>
  <c r="H34" i="92"/>
  <c r="E34" i="92"/>
  <c r="H33" i="92"/>
  <c r="E33" i="92"/>
  <c r="H32" i="92"/>
  <c r="E32" i="92"/>
  <c r="H31" i="92"/>
  <c r="E31" i="92"/>
  <c r="G30" i="92"/>
  <c r="F30" i="92"/>
  <c r="H30" i="92" s="1"/>
  <c r="D30" i="92"/>
  <c r="C30" i="92"/>
  <c r="H29" i="92"/>
  <c r="E29" i="92"/>
  <c r="H28" i="92"/>
  <c r="E28" i="92"/>
  <c r="G27" i="92"/>
  <c r="F27" i="92"/>
  <c r="H27" i="92" s="1"/>
  <c r="D27" i="92"/>
  <c r="C27" i="92"/>
  <c r="E27" i="92" s="1"/>
  <c r="H26" i="92"/>
  <c r="E26" i="92"/>
  <c r="H25" i="92"/>
  <c r="E25" i="92"/>
  <c r="G24" i="92"/>
  <c r="F24" i="92"/>
  <c r="D24" i="92"/>
  <c r="C24" i="92"/>
  <c r="H23" i="92"/>
  <c r="E23" i="92"/>
  <c r="H22" i="92"/>
  <c r="E22" i="92"/>
  <c r="H21" i="92"/>
  <c r="E21" i="92"/>
  <c r="H20" i="92"/>
  <c r="E20" i="92"/>
  <c r="G19" i="92"/>
  <c r="F19" i="92"/>
  <c r="H19" i="92" s="1"/>
  <c r="D19" i="92"/>
  <c r="C19" i="92"/>
  <c r="H18" i="92"/>
  <c r="E18" i="92"/>
  <c r="H17" i="92"/>
  <c r="E17" i="92"/>
  <c r="H16" i="92"/>
  <c r="E16" i="92"/>
  <c r="G15" i="92"/>
  <c r="F15" i="92"/>
  <c r="H15" i="92" s="1"/>
  <c r="D15" i="92"/>
  <c r="C15" i="92"/>
  <c r="E15" i="92" s="1"/>
  <c r="H14" i="92"/>
  <c r="E14" i="92"/>
  <c r="H13" i="92"/>
  <c r="E13" i="92"/>
  <c r="H12" i="92"/>
  <c r="E12" i="92"/>
  <c r="H11" i="92"/>
  <c r="E11" i="92"/>
  <c r="H10" i="92"/>
  <c r="E10" i="92"/>
  <c r="H9" i="92"/>
  <c r="E9" i="92"/>
  <c r="H8" i="92"/>
  <c r="E8" i="92"/>
  <c r="H7" i="92"/>
  <c r="D7" i="92"/>
  <c r="C7" i="92"/>
  <c r="E24" i="92" l="1"/>
  <c r="E37" i="93"/>
  <c r="C43" i="93"/>
  <c r="G36" i="92"/>
  <c r="E41" i="92"/>
  <c r="E19" i="92"/>
  <c r="C68" i="92"/>
  <c r="E6" i="93"/>
  <c r="D68" i="92"/>
  <c r="D69" i="92" s="1"/>
  <c r="F43" i="93"/>
  <c r="F45" i="93" s="1"/>
  <c r="F36" i="92"/>
  <c r="H36" i="92" s="1"/>
  <c r="E59" i="92"/>
  <c r="G43" i="93"/>
  <c r="G45" i="93" s="1"/>
  <c r="C36" i="92"/>
  <c r="G53" i="92"/>
  <c r="G69" i="92" s="1"/>
  <c r="E34" i="93"/>
  <c r="D36" i="92"/>
  <c r="E30" i="92"/>
  <c r="H47" i="92"/>
  <c r="H8" i="94"/>
  <c r="E8" i="94"/>
  <c r="E14" i="94"/>
  <c r="H38" i="94"/>
  <c r="E30" i="94"/>
  <c r="E11" i="94"/>
  <c r="E17" i="94"/>
  <c r="H11" i="94"/>
  <c r="H14" i="94"/>
  <c r="H6" i="93"/>
  <c r="D43" i="93"/>
  <c r="C53" i="92"/>
  <c r="H68" i="92"/>
  <c r="F53" i="92"/>
  <c r="F69" i="92" s="1"/>
  <c r="E7" i="92"/>
  <c r="H24" i="92"/>
  <c r="D45" i="93" l="1"/>
  <c r="C45" i="93"/>
  <c r="H69" i="92"/>
  <c r="H43" i="93"/>
  <c r="H53" i="92"/>
  <c r="E36" i="92"/>
  <c r="H45" i="93"/>
  <c r="E68" i="92"/>
  <c r="E45" i="93"/>
  <c r="E43" i="93"/>
  <c r="C69" i="92"/>
  <c r="E69" i="92" s="1"/>
  <c r="C6" i="79" s="1"/>
  <c r="C8" i="79" s="1"/>
  <c r="C32" i="79" s="1"/>
  <c r="E53" i="92"/>
  <c r="C34" i="79" l="1"/>
  <c r="B19" i="105"/>
  <c r="B1" i="80"/>
  <c r="G33" i="80"/>
  <c r="F33" i="80"/>
  <c r="E33" i="80"/>
  <c r="D33" i="80"/>
  <c r="C33" i="80"/>
  <c r="G24" i="80"/>
  <c r="G37" i="80" s="1"/>
  <c r="F24" i="80"/>
  <c r="E24" i="80"/>
  <c r="D24" i="80"/>
  <c r="C24" i="80"/>
  <c r="G18" i="80"/>
  <c r="F18" i="80"/>
  <c r="E18" i="80"/>
  <c r="C18" i="80"/>
  <c r="G14" i="80"/>
  <c r="F14" i="80"/>
  <c r="E14" i="80"/>
  <c r="D14" i="80"/>
  <c r="C14" i="80"/>
  <c r="G11" i="80"/>
  <c r="F11" i="80"/>
  <c r="E11" i="80"/>
  <c r="D11" i="80"/>
  <c r="C11" i="80"/>
  <c r="G8" i="80"/>
  <c r="F8" i="80"/>
  <c r="E8" i="80"/>
  <c r="D8" i="80"/>
  <c r="C8" i="80"/>
  <c r="G21" i="80" l="1"/>
  <c r="G39" i="80" s="1"/>
  <c r="G6" i="71"/>
  <c r="G13" i="71" s="1"/>
  <c r="F6" i="71"/>
  <c r="F13" i="71" s="1"/>
  <c r="E6" i="71"/>
  <c r="E13" i="71" s="1"/>
  <c r="D6" i="71"/>
  <c r="D13" i="71" s="1"/>
  <c r="C6" i="71"/>
  <c r="C13" i="71" l="1"/>
  <c r="B18" i="105" s="1"/>
  <c r="B1" i="79"/>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F22" i="74" l="1"/>
  <c r="V7" i="64" l="1"/>
  <c r="H13" i="74"/>
  <c r="H16" i="74"/>
  <c r="H17" i="74"/>
  <c r="H21" i="74"/>
  <c r="T21" i="64" l="1"/>
  <c r="U21" i="64"/>
  <c r="V9" i="64"/>
  <c r="D22" i="74" l="1"/>
  <c r="E22" i="74"/>
  <c r="C8" i="73" l="1"/>
  <c r="C13" i="73" s="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B10" i="105" s="1"/>
  <c r="C36" i="28"/>
  <c r="C42" i="28" s="1"/>
  <c r="B9" i="105" s="1"/>
  <c r="C12" i="28"/>
  <c r="C6" i="28" l="1"/>
  <c r="C29" i="28" s="1"/>
  <c r="B8" i="105" s="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 r="G22" i="74"/>
  <c r="H22" i="74" s="1"/>
  <c r="H1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<sst xmlns="http://schemas.openxmlformats.org/spreadsheetml/2006/main" count="1653" uniqueCount="1041">
  <si>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</si>
  <si>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</si>
  <si>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</si>
  <si>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</si>
  <si>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</si>
  <si>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</si>
  <si>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</si>
  <si>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</si>
  <si>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</si>
  <si>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</si>
  <si>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</si>
  <si>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</si>
  <si>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</si>
  <si>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</si>
  <si>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</si>
  <si>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</si>
  <si>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</si>
  <si>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</si>
  <si>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</si>
  <si>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</si>
  <si>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</si>
  <si>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</si>
  <si>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</si>
  <si>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</si>
  <si>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</si>
  <si>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</si>
  <si>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</si>
  <si>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</si>
  <si>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</si>
  <si>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</si>
  <si>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</si>
  <si>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</si>
  <si>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</si>
  <si>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</si>
  <si>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</si>
  <si>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</si>
  <si>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</si>
  <si>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</si>
  <si>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</si>
  <si>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</si>
  <si>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</si>
  <si>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</si>
  <si>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</si>
  <si>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</si>
  <si>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</si>
  <si>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</si>
  <si>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</si>
  <si>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</si>
  <si>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</si>
  <si>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</si>
  <si>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</si>
  <si>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</si>
  <si>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</si>
  <si>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</si>
  <si>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</si>
  <si>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</si>
  <si>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</si>
  <si>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</si>
  <si>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</si>
  <si>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</si>
  <si>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</si>
  <si>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</si>
  <si>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</si>
  <si>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</si>
  <si>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</si>
  <si>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</si>
  <si>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</si>
  <si>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</si>
  <si>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</si>
  <si>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</si>
  <si>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</si>
  <si>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</si>
  <si>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</si>
  <si>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</si>
  <si>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</si>
  <si>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</si>
  <si>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</si>
  <si>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</si>
  <si>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</si>
  <si>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</si>
  <si>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</si>
  <si>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</si>
  <si>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</si>
  <si>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</si>
  <si>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</si>
  <si>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</si>
  <si>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</si>
  <si>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</si>
  <si>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</si>
  <si>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</si>
  <si>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</si>
  <si>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</si>
  <si>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</si>
  <si>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</si>
  <si>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</si>
  <si>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</si>
  <si>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</si>
  <si>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</si>
  <si>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</si>
  <si>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</si>
  <si>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</si>
  <si>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</si>
  <si>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</si>
  <si>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</si>
  <si>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</si>
  <si>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</si>
  <si>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</si>
  <si>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</si>
  <si>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</si>
  <si>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</si>
  <si>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</si>
  <si>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</si>
  <si>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</si>
  <si>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</si>
  <si>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</si>
  <si>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</si>
  <si>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</si>
  <si>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</si>
  <si>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</si>
  <si>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</si>
  <si>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</si>
  <si>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</si>
  <si>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</si>
  <si>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</si>
  <si>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</si>
  <si>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</si>
  <si>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</si>
  <si>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</si>
  <si>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</si>
  <si>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</si>
  <si>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</si>
  <si>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</si>
  <si>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</si>
  <si>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</si>
  <si>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</si>
  <si>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</si>
  <si>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</si>
  <si>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</si>
  <si>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</si>
  <si>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</si>
  <si>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</si>
  <si>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</si>
  <si>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</si>
  <si>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</si>
  <si>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</si>
  <si>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</si>
  <si>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</si>
  <si>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</si>
  <si>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</si>
  <si>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</si>
  <si>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</si>
  <si>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</si>
  <si>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</si>
  <si>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</si>
  <si>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</si>
  <si>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</si>
  <si>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</si>
  <si>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</si>
  <si>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</si>
  <si>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</si>
  <si>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</si>
  <si>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</si>
  <si>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</si>
  <si>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</si>
  <si>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</si>
  <si>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</si>
  <si>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</si>
  <si>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</si>
  <si>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</si>
  <si>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</si>
  <si>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</si>
  <si>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</si>
  <si>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</si>
  <si>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</si>
  <si>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</si>
  <si>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</si>
  <si>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</si>
  <si>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</si>
  <si>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</si>
  <si>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</si>
  <si>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</si>
  <si>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</si>
  <si>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</si>
  <si>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</si>
  <si>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</si>
  <si>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</si>
  <si>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</si>
  <si>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</si>
  <si>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</si>
  <si>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</si>
  <si>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</si>
  <si>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</si>
  <si>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</si>
  <si>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</si>
  <si>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</si>
  <si>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</si>
  <si>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</si>
  <si>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</si>
  <si>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</si>
  <si>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</si>
  <si>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</si>
  <si>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</si>
  <si>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</si>
  <si>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</si>
  <si>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</si>
  <si>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</si>
  <si>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</si>
  <si>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</si>
  <si>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</si>
  <si>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</si>
  <si>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</si>
  <si>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</si>
  <si>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</si>
  <si>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</si>
  <si>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</si>
  <si>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</si>
  <si>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</si>
  <si>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</si>
  <si>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</si>
  <si>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</si>
  <si>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</si>
  <si>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</si>
  <si>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</si>
  <si>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</si>
  <si>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</si>
  <si>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</si>
  <si>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</si>
  <si>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</si>
  <si>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</si>
  <si>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</si>
  <si>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</si>
  <si>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</si>
  <si>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</si>
  <si>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</si>
  <si>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</si>
  <si>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</si>
  <si>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</si>
  <si>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</si>
  <si>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</si>
  <si>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</si>
  <si>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</si>
  <si>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</si>
  <si>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</si>
  <si>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</si>
  <si>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</si>
  <si>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</si>
  <si>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</si>
  <si>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</si>
  <si>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</si>
  <si>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</si>
  <si>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</si>
  <si>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</si>
  <si>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</si>
  <si>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</si>
  <si>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</si>
  <si>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</si>
  <si>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</si>
  <si>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</si>
  <si>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</si>
  <si>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</si>
  <si>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</si>
  <si>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</si>
  <si>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</si>
  <si>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</si>
  <si>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</si>
  <si>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</si>
  <si>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</si>
  <si>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</si>
  <si>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</si>
  <si>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</si>
  <si>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</si>
  <si>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</si>
  <si>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</si>
  <si>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</si>
  <si>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</si>
  <si>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</si>
  <si>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</si>
  <si>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</si>
  <si>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</si>
  <si>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</si>
  <si>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</si>
  <si>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</si>
  <si>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</si>
  <si>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</si>
  <si>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</si>
  <si>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</si>
  <si>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</si>
  <si>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</si>
  <si>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</si>
  <si>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</si>
  <si>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</si>
  <si>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</si>
  <si>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</si>
  <si>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</si>
  <si>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</si>
  <si>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</si>
  <si>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</si>
  <si>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</si>
  <si>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</si>
  <si>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</si>
  <si>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</si>
  <si>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</si>
  <si>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</si>
  <si>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</si>
  <si>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</si>
  <si>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</si>
  <si>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</si>
  <si>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</si>
  <si>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</si>
  <si>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</si>
  <si>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</si>
  <si>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</si>
  <si>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</si>
  <si>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</si>
  <si>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</si>
  <si>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</si>
  <si>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</si>
  <si>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</si>
  <si>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</si>
  <si>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</si>
  <si>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</si>
  <si>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</si>
  <si>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</si>
  <si>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</si>
  <si>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</si>
  <si>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</si>
  <si>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</si>
  <si>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</si>
  <si>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</si>
  <si>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</si>
  <si>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</si>
  <si>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</si>
  <si>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</si>
  <si>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</si>
  <si>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</si>
  <si>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</si>
  <si>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</si>
  <si>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</si>
  <si>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</si>
  <si>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</si>
  <si>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</si>
  <si>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</si>
  <si>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</si>
  <si>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</si>
  <si>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</si>
  <si>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</si>
  <si>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</si>
  <si>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</si>
  <si>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</si>
  <si>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</si>
  <si>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</si>
  <si>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</si>
  <si>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</si>
  <si>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</si>
  <si>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</si>
  <si>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</si>
  <si>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</si>
  <si>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</si>
  <si>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</si>
  <si>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</si>
  <si>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</si>
  <si>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</si>
  <si>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</si>
  <si>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</si>
  <si>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</si>
  <si>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</si>
  <si>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</si>
  <si>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</si>
  <si>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</si>
  <si>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</si>
  <si>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</si>
  <si>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</si>
  <si>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</si>
  <si>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</si>
  <si>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</si>
  <si>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</si>
  <si>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</si>
  <si>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</si>
  <si>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</si>
  <si>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</si>
  <si>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</si>
  <si>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</si>
  <si>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</si>
  <si>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</si>
  <si>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</si>
  <si>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</si>
  <si>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</si>
  <si>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</si>
  <si>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</si>
  <si>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</si>
  <si>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</si>
  <si>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</si>
  <si>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</si>
  <si>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</si>
  <si>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</si>
  <si>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</si>
  <si>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</si>
  <si>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</si>
  <si>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</si>
  <si>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</si>
  <si>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</si>
  <si>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</si>
  <si>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</si>
  <si>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</si>
  <si>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</si>
  <si>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</si>
  <si>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</si>
  <si>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</si>
  <si>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</si>
  <si>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</si>
  <si>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</si>
  <si>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</si>
  <si>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</si>
  <si>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</si>
  <si>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</si>
  <si>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</si>
  <si>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</si>
  <si>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</si>
  <si>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</si>
  <si>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</si>
  <si>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</si>
  <si>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</si>
  <si>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</si>
  <si>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</si>
  <si>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</si>
  <si>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</si>
  <si>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</si>
  <si>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</si>
  <si>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</si>
  <si>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</si>
  <si>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</si>
  <si>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</si>
  <si>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</si>
  <si>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</si>
  <si>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</si>
  <si>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</si>
  <si>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</si>
  <si>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</si>
  <si>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</si>
  <si>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</si>
  <si>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</si>
  <si>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</si>
  <si>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</si>
  <si>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</si>
  <si>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</si>
  <si>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</si>
  <si>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</si>
  <si>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</si>
  <si>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</si>
  <si>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</si>
  <si>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</si>
  <si>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</si>
  <si>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</si>
  <si>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</si>
  <si>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</si>
  <si>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</si>
  <si>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</si>
  <si>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</si>
  <si>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</si>
  <si>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</si>
  <si>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</si>
  <si>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</si>
  <si>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</si>
  <si>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</si>
  <si>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</si>
  <si>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</si>
  <si>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</si>
  <si>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</si>
  <si>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</si>
  <si>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</si>
  <si>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</si>
  <si>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</si>
  <si>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</si>
  <si>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</si>
  <si>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</si>
  <si>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</si>
  <si>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</si>
  <si>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</si>
  <si>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</si>
  <si>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</si>
  <si>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</si>
  <si>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</si>
  <si>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</si>
  <si>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</si>
  <si>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</si>
  <si>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</si>
  <si>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</si>
  <si>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</si>
  <si>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</si>
  <si>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</si>
  <si>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</si>
  <si>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</si>
  <si>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</si>
  <si>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</si>
  <si>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</si>
  <si>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</si>
  <si>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</si>
  <si>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</si>
  <si>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</si>
  <si>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</si>
  <si>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</si>
  <si>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</si>
  <si>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</si>
  <si>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</si>
  <si>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</si>
  <si>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</si>
  <si>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</si>
  <si>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</si>
  <si>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</si>
  <si>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</si>
  <si>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</si>
  <si>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</si>
  <si>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</si>
  <si>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</si>
  <si>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</si>
  <si>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</si>
  <si>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</si>
  <si>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</si>
  <si>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</si>
  <si>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</si>
  <si>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</si>
  <si>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</si>
  <si>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</si>
  <si>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</si>
  <si>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</si>
  <si>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</si>
  <si>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</si>
  <si>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</si>
  <si>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</si>
  <si>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</si>
  <si>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</si>
  <si>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</si>
  <si>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</si>
  <si>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</si>
  <si>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</si>
  <si>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</si>
  <si>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</si>
  <si>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</si>
  <si>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</si>
  <si>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</si>
  <si>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</si>
  <si>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</si>
  <si>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</si>
  <si>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</si>
  <si>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</si>
  <si>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</si>
  <si>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</si>
  <si>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</si>
  <si>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</si>
  <si>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</si>
  <si>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</si>
  <si>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</si>
  <si>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</si>
  <si>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</si>
  <si>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</si>
  <si>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</si>
  <si>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</si>
  <si>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</si>
  <si>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</si>
  <si>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</si>
  <si>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</si>
  <si>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</si>
  <si>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</si>
  <si>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</si>
  <si>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</si>
  <si>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</si>
  <si>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</si>
  <si>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</si>
  <si>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</si>
  <si>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</si>
  <si>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</si>
  <si>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</si>
  <si>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</si>
  <si>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</si>
  <si>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</si>
  <si>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</si>
  <si>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</si>
  <si>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</si>
  <si>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</si>
  <si>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</si>
  <si>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</si>
  <si>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</si>
  <si>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</si>
  <si>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</si>
  <si>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</si>
  <si>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</si>
  <si>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</si>
  <si>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</si>
  <si>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</si>
  <si>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</si>
  <si>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</si>
  <si>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</si>
  <si>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</si>
  <si>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</si>
  <si>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</si>
  <si>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</si>
  <si>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</si>
  <si>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</si>
  <si>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</si>
  <si>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</si>
  <si>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</si>
  <si>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</si>
  <si>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</si>
  <si>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</si>
  <si>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</si>
  <si>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</si>
  <si>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</si>
  <si>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</si>
  <si>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</si>
  <si>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</si>
  <si>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</si>
  <si>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</si>
  <si>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</si>
  <si>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</si>
  <si>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</si>
  <si>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</si>
  <si>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</si>
  <si>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</si>
  <si>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</si>
  <si>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</si>
  <si>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</si>
  <si>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</si>
  <si>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</si>
  <si>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</si>
  <si>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</si>
  <si>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</si>
  <si>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</si>
  <si>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</si>
  <si>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</si>
  <si>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</si>
  <si>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</si>
  <si>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</si>
  <si>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</si>
  <si>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</si>
  <si>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</si>
  <si>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</si>
  <si>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</si>
  <si>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</si>
  <si>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</si>
  <si>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</si>
  <si>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</si>
  <si>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</si>
  <si>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</si>
  <si>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</si>
  <si>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</si>
  <si>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</si>
  <si>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</si>
  <si>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</si>
  <si>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</si>
  <si>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</si>
  <si>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</si>
  <si>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</si>
  <si>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</si>
  <si>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</si>
  <si>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</si>
  <si>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</si>
  <si>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</si>
  <si>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</si>
  <si>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</si>
  <si>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</si>
  <si>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</si>
  <si>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</si>
  <si>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</si>
  <si>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</si>
  <si>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</si>
  <si>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</si>
  <si>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</si>
  <si>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</si>
  <si>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</si>
  <si>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</si>
  <si>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</si>
  <si>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</si>
  <si>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</si>
  <si>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</si>
  <si>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</si>
  <si>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</si>
  <si>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</si>
  <si>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</si>
  <si>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</si>
  <si>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</si>
  <si>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</si>
  <si>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</si>
  <si>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</si>
  <si>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</si>
  <si>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</si>
  <si>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</si>
  <si>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</si>
  <si>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</si>
  <si>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</si>
  <si>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</si>
  <si>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</si>
  <si>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</si>
  <si>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</si>
  <si>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</si>
  <si>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</si>
  <si>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</si>
  <si>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</si>
  <si>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</si>
  <si>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</si>
  <si>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</si>
  <si>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</si>
  <si>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</si>
  <si>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</si>
  <si>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</si>
  <si>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</si>
  <si>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</si>
  <si>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</si>
  <si>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</si>
  <si>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</si>
  <si>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</si>
  <si>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</si>
  <si>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</si>
  <si>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</si>
  <si>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</si>
  <si>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</si>
  <si>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</si>
  <si>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</si>
  <si>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</si>
  <si>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</si>
  <si>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</si>
  <si>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</si>
  <si>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</si>
  <si>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</si>
  <si>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</si>
  <si>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</si>
  <si>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</si>
  <si>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</si>
  <si>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</si>
  <si>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</si>
  <si>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</si>
  <si>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</si>
  <si>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</si>
  <si>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</si>
  <si>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</si>
  <si>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</si>
  <si>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</si>
  <si>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</si>
  <si>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</si>
  <si>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</si>
  <si>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</si>
  <si>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</si>
  <si>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</si>
  <si>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</si>
  <si>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</si>
  <si>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</si>
  <si>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</si>
  <si>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</si>
  <si>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</si>
  <si>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</si>
  <si>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</si>
  <si>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</si>
  <si>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</si>
  <si>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</si>
  <si>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</si>
  <si>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</si>
  <si>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</si>
  <si>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</si>
  <si>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</si>
  <si>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</si>
  <si>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</si>
  <si>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</si>
  <si>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</si>
  <si>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</si>
  <si>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</si>
  <si>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</si>
  <si>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</si>
  <si>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</si>
  <si>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</si>
  <si>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</si>
  <si>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</si>
  <si>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</si>
  <si>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</si>
  <si>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</si>
  <si>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</si>
  <si>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</si>
  <si>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</si>
  <si>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</si>
  <si>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</si>
  <si>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</si>
  <si>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</si>
  <si>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</si>
  <si>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</si>
  <si>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</si>
  <si>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</si>
  <si>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</si>
  <si>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</si>
  <si>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</si>
  <si>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</si>
  <si>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</si>
  <si>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</si>
  <si>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</si>
  <si>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</si>
  <si>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</si>
  <si>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</si>
  <si>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</si>
  <si>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</si>
  <si>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</si>
  <si>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</si>
  <si>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</si>
  <si>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</si>
  <si>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</si>
  <si>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</si>
  <si>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</si>
  <si>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</si>
  <si>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</si>
  <si>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</si>
  <si>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</si>
  <si>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</si>
  <si>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</si>
  <si>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</si>
  <si>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</si>
  <si>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</si>
  <si>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</si>
  <si>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</si>
  <si>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</si>
  <si>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</si>
  <si>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</si>
  <si>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</si>
  <si>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</si>
  <si>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</si>
  <si>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</si>
  <si>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</si>
  <si>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</si>
  <si>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</si>
  <si>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</si>
  <si>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</si>
  <si>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</si>
  <si>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</si>
  <si>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</si>
  <si>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</si>
  <si>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</si>
  <si>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</si>
  <si>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</si>
  <si>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</si>
  <si>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</si>
  <si>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</si>
  <si>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</si>
  <si>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</si>
  <si>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</si>
  <si>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</si>
  <si>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</si>
  <si>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</si>
  <si>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</si>
  <si>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</si>
  <si>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</si>
  <si>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</si>
  <si>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</si>
  <si>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</si>
  <si>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</si>
  <si>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</si>
  <si>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</si>
  <si>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</si>
  <si>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</si>
  <si>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</si>
  <si>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</si>
  <si>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</si>
  <si>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</si>
  <si>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</si>
  <si>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</si>
  <si>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</si>
  <si>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</si>
  <si>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</si>
  <si>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</si>
  <si>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</si>
  <si>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</si>
  <si>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</si>
  <si>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</si>
  <si>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</si>
  <si>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</si>
  <si>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</si>
  <si>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</si>
  <si>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</si>
  <si>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</si>
  <si>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</si>
  <si>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</si>
  <si>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</si>
  <si>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</si>
  <si>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</si>
  <si>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</si>
  <si>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</si>
  <si>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</si>
  <si>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</si>
  <si>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</si>
  <si>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</si>
  <si>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</si>
  <si>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</si>
  <si>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</si>
  <si>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</si>
  <si>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</si>
  <si>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</si>
  <si>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</si>
  <si>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</si>
  <si>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</si>
  <si>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</si>
  <si>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</si>
  <si>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</si>
  <si>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</si>
  <si>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</si>
  <si>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</si>
  <si>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</si>
  <si>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</si>
  <si>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</si>
  <si>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</si>
  <si>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</si>
  <si>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</si>
  <si>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</si>
  <si>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</si>
  <si>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</si>
  <si>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</si>
  <si>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</si>
  <si>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</si>
  <si>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</si>
  <si>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</si>
  <si>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</si>
  <si>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</si>
  <si>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</si>
  <si>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</si>
  <si>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</si>
  <si>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</si>
  <si>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</si>
  <si>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</si>
  <si>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</si>
  <si>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</si>
  <si>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</si>
  <si>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</si>
  <si>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</si>
  <si>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</si>
  <si>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</si>
  <si>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</si>
  <si>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</si>
  <si>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</si>
  <si>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</si>
  <si>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</si>
  <si>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</si>
  <si>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</si>
  <si>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</si>
  <si>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</si>
  <si>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</si>
  <si>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</si>
  <si>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</si>
  <si>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</si>
  <si>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</si>
  <si>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</si>
  <si>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</si>
  <si>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</si>
  <si>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</si>
  <si>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</si>
  <si>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</si>
  <si>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</si>
  <si>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</si>
  <si>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</si>
  <si>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</si>
  <si>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</si>
  <si>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</si>
  <si>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</si>
  <si>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</si>
  <si>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</si>
  <si>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</si>
  <si>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</si>
  <si>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</si>
  <si>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</si>
  <si>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</si>
  <si>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</si>
  <si>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</si>
  <si>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</si>
  <si>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</si>
  <si>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</si>
  <si>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</si>
  <si>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</si>
  <si>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</si>
  <si>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</si>
  <si>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</si>
  <si>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</si>
  <si>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</si>
  <si>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</si>
  <si>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</si>
  <si>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</si>
  <si>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</si>
  <si>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</si>
  <si>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</si>
  <si>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</si>
  <si>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</si>
  <si>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</si>
  <si>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</si>
  <si>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</si>
  <si>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</si>
  <si>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</si>
  <si>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</si>
  <si>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</si>
  <si>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</si>
  <si>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</si>
  <si>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</si>
  <si>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</si>
  <si>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</si>
  <si>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</si>
  <si>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</si>
  <si>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</si>
  <si>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</si>
  <si>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</si>
  <si>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</si>
  <si>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</si>
  <si>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Thomas Engelhardt (Germany)</t>
  </si>
  <si>
    <t>Johannes Mainhardt (Germany)</t>
  </si>
  <si>
    <t>Andrew Pospielovsky (Great Britain)</t>
  </si>
  <si>
    <t>Almira Zejnilagic (Great Britain)</t>
  </si>
  <si>
    <t>არადამოუკიდებელი თავმჯდომარე</t>
  </si>
  <si>
    <t>არადამოუკიდებელ წევრი</t>
  </si>
  <si>
    <t>დამოუკიდებელი წევრი</t>
  </si>
  <si>
    <t>Margarita Cherikbaeva (Kyrgyzstan)</t>
  </si>
  <si>
    <t>ზაალ ფირცხელავა</t>
  </si>
  <si>
    <t>გენერალური დირექტორი</t>
  </si>
  <si>
    <t>ერეკლე ზათიაშვილი</t>
  </si>
  <si>
    <t>ფინანსური დირექტორი</t>
  </si>
  <si>
    <t>ზაზა ტყეშელაშვილი</t>
  </si>
  <si>
    <t>საკრედიტო ოპერაციების დირექტორი</t>
  </si>
  <si>
    <t>ნიკოლოზ ქუთათელაძე</t>
  </si>
  <si>
    <t>კომერციული დირექტორი</t>
  </si>
  <si>
    <t>ალექსანდრე ქუმსიაშვილი</t>
  </si>
  <si>
    <t>საინფორმაციო ტექნოლოგიების დირექტორი</t>
  </si>
  <si>
    <t>გიორგი ნადარეიშვილი</t>
  </si>
  <si>
    <t>რისკების დირექტორი</t>
  </si>
  <si>
    <t xml:space="preserve">Access Credo GmbH (Germany) </t>
  </si>
  <si>
    <t>Gojo &amp; C0mpant Inc.</t>
  </si>
  <si>
    <t>Societe de Promotion et de Participation pour la Cooperation Economique (Proparco)</t>
  </si>
  <si>
    <t>British International Investment PLC (UK)</t>
  </si>
  <si>
    <t xml:space="preserve">European Investment Bank (Luxembourg) </t>
  </si>
  <si>
    <t xml:space="preserve">International Finance Corporation (USA) </t>
  </si>
  <si>
    <t xml:space="preserve">Kreditanstalt für Wiederaufbau (Germany) </t>
  </si>
  <si>
    <t xml:space="preserve">LFS Advisory GmbH (Germany) </t>
  </si>
  <si>
    <t>Omidyar Tufts Active Citizenship Trust (USA)</t>
  </si>
  <si>
    <t>Agence Francaise de developpement</t>
  </si>
  <si>
    <t xml:space="preserve"> ცხრილი 9 (Capital), C10 </t>
  </si>
  <si>
    <t xml:space="preserve"> ცხრილი 9 (Capital), C28 და C38</t>
  </si>
  <si>
    <t xml:space="preserve"> ცხრილი 9 (Capital), C2</t>
  </si>
  <si>
    <t xml:space="preserve"> ცხრილი 9 (Capital), C3</t>
  </si>
  <si>
    <t xml:space="preserve"> ცხრილი 9 (Capital), C6</t>
  </si>
  <si>
    <t>სს "კრედო ბანკი"</t>
  </si>
  <si>
    <t>ტომას ენგელჰარდტი</t>
  </si>
  <si>
    <t>www.credo.ge</t>
  </si>
  <si>
    <t>Satyagraha Inc.</t>
  </si>
  <si>
    <t>Dr. Bernd Zattler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</si>
</sst>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6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b/>
      <sz val="11"/>
      <color theme="1"/>
      <name val="Sylfaen"/>
      <family val="1"/>
    </font>
    <font>
      <sz val="11"/>
      <name val="Sylfaen"/>
      <family val="1"/>
    </font>
    <font>
      <b/>
      <sz val="9"/>
      <name val="Calibri"/>
      <family val="2"/>
      <scheme val="minor"/>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168" fontId="94" fillId="0" borderId="104" applyNumberFormat="0" applyFill="0" applyAlignment="0" applyProtection="0"/>
    <xf numFmtId="169" fontId="94"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9"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68" fontId="94"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0" fontId="47" fillId="0" borderId="104" applyNumberFormat="0" applyFill="0" applyAlignment="0" applyProtection="0"/>
    <xf numFmtId="188" fontId="2" fillId="69" borderId="98" applyFont="0">
      <alignment horizontal="right" vertical="center"/>
    </xf>
    <xf numFmtId="3" fontId="2" fillId="69" borderId="98" applyFont="0">
      <alignment horizontal="right" vertical="center"/>
    </xf>
    <xf numFmtId="0" fontId="83"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168" fontId="85" fillId="63" borderId="103" applyNumberFormat="0" applyAlignment="0" applyProtection="0"/>
    <xf numFmtId="169" fontId="85"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9"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168" fontId="85"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0" fontId="83" fillId="63" borderId="103" applyNumberFormat="0" applyAlignment="0" applyProtection="0"/>
    <xf numFmtId="3" fontId="2" fillId="74" borderId="98" applyFont="0">
      <alignment horizontal="right" vertical="center"/>
      <protection locked="0"/>
    </xf>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0" fontId="27" fillId="73" borderId="102" applyNumberFormat="0" applyFont="0" applyAlignment="0" applyProtection="0"/>
    <xf numFmtId="3" fontId="2" fillId="71" borderId="98" applyFont="0">
      <alignment horizontal="right" vertical="center"/>
      <protection locked="0"/>
    </xf>
    <xf numFmtId="0" fontId="66"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168" fontId="68" fillId="42" borderId="101" applyNumberFormat="0" applyAlignment="0" applyProtection="0"/>
    <xf numFmtId="169" fontId="68"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9"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168" fontId="68"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66" fillId="42" borderId="101" applyNumberFormat="0" applyAlignment="0" applyProtection="0"/>
    <xf numFmtId="0" fontId="2" fillId="70" borderId="99" applyNumberFormat="0" applyFont="0" applyBorder="0" applyProtection="0">
      <alignment horizontal="left" vertical="center"/>
    </xf>
    <xf numFmtId="9" fontId="2" fillId="70" borderId="98" applyFont="0" applyProtection="0">
      <alignment horizontal="right" vertical="center"/>
    </xf>
    <xf numFmtId="3" fontId="2" fillId="70" borderId="98" applyFont="0" applyProtection="0">
      <alignment horizontal="right" vertical="center"/>
    </xf>
    <xf numFmtId="0" fontId="62" fillId="69" borderId="99" applyFont="0" applyBorder="0">
      <alignment horizontal="center" wrapText="1"/>
    </xf>
    <xf numFmtId="168" fontId="54" fillId="0" borderId="96">
      <alignment horizontal="left" vertical="center"/>
    </xf>
    <xf numFmtId="0" fontId="54" fillId="0" borderId="96">
      <alignment horizontal="left" vertical="center"/>
    </xf>
    <xf numFmtId="0" fontId="54" fillId="0" borderId="96">
      <alignment horizontal="left" vertical="center"/>
    </xf>
    <xf numFmtId="0" fontId="2" fillId="68" borderId="98" applyNumberFormat="0" applyFont="0" applyBorder="0" applyProtection="0">
      <alignment horizontal="center" vertical="center"/>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6" fillId="0" borderId="98" applyNumberFormat="0" applyAlignment="0">
      <alignment horizontal="right"/>
      <protection locked="0"/>
    </xf>
    <xf numFmtId="0" fontId="38"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168" fontId="40" fillId="63" borderId="101" applyNumberFormat="0" applyAlignment="0" applyProtection="0"/>
    <xf numFmtId="169" fontId="40"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9"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168" fontId="40"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38" fillId="63" borderId="101"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cellStyleXfs>
  <cellXfs count="961">
    <xf numFmtId="0" fontId="0" fillId="0" borderId="0" xfId="0"/>
    <xf numFmtId="0" fontId="4" fillId="0" borderId="0" xfId="0" applyFont="1"/>
    <xf numFmtId="0" fontId="0" fillId="0" borderId="0" xfId="0" applyAlignment="1">
      <alignment wrapText="1"/>
    </xf>
    <xf numFmtId="167" fontId="3" fillId="0" borderId="0" xfId="0" applyNumberFormat="1" applyFont="1" applyAlignment="1">
      <alignment horizontal="center"/>
    </xf>
    <xf numFmtId="167" fontId="0" fillId="0" borderId="0" xfId="0" applyNumberFormat="1" applyAlignment="1">
      <alignment horizontal="center"/>
    </xf>
    <xf numFmtId="167" fontId="5" fillId="0" borderId="0" xfId="0" applyNumberFormat="1" applyFont="1" applyAlignment="1">
      <alignment horizontal="center"/>
    </xf>
    <xf numFmtId="0" fontId="4" fillId="0" borderId="3" xfId="0" applyFont="1" applyBorder="1"/>
    <xf numFmtId="0" fontId="9" fillId="0" borderId="16" xfId="0" applyFont="1" applyBorder="1"/>
    <xf numFmtId="0" fontId="12" fillId="0" borderId="0" xfId="0" applyFont="1"/>
    <xf numFmtId="0" fontId="9" fillId="0" borderId="0" xfId="0" applyFont="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xf numFmtId="0" fontId="9" fillId="0" borderId="0" xfId="0" applyFont="1"/>
    <xf numFmtId="0" fontId="9" fillId="0" borderId="0" xfId="0" applyFont="1" applyAlignment="1">
      <alignment horizontal="right"/>
    </xf>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xf numFmtId="0" fontId="9" fillId="0" borderId="8" xfId="0" applyFont="1" applyBorder="1" applyAlignment="1">
      <alignment wrapText="1"/>
    </xf>
    <xf numFmtId="0" fontId="9" fillId="0" borderId="21" xfId="0" applyFont="1" applyBorder="1" applyAlignment="1">
      <alignment wrapText="1"/>
    </xf>
    <xf numFmtId="0" fontId="6" fillId="0" borderId="0" xfId="0" applyFont="1" applyAlignment="1">
      <alignment horizontal="center"/>
    </xf>
    <xf numFmtId="0" fontId="10" fillId="0" borderId="0" xfId="0" applyFont="1" applyAlignment="1">
      <alignment horizontal="center" wrapText="1"/>
    </xf>
    <xf numFmtId="0" fontId="13" fillId="0" borderId="8" xfId="0" applyFont="1" applyBorder="1" applyAlignment="1">
      <alignment wrapText="1"/>
    </xf>
    <xf numFmtId="0" fontId="4" fillId="0" borderId="21" xfId="0" applyFont="1" applyBorder="1"/>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Alignment="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Border="1" applyAlignment="1" applyProtection="1">
      <alignment horizontal="center" vertical="center"/>
      <protection locked="0"/>
    </xf>
    <xf numFmtId="0" fontId="7" fillId="0" borderId="0" xfId="13" applyFont="1" applyAlignment="1" applyProtection="1">
      <alignment wrapText="1"/>
      <protection locked="0"/>
    </xf>
    <xf numFmtId="0" fontId="7" fillId="0" borderId="19" xfId="9" applyFont="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7" fillId="3" borderId="19" xfId="5" applyFont="1" applyFill="1" applyBorder="1" applyAlignment="1" applyProtection="1">
      <alignment horizontal="right" vertical="center"/>
      <protection locked="0"/>
    </xf>
    <xf numFmtId="0" fontId="15"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 fillId="0" borderId="0" xfId="0" applyFont="1"/>
    <xf numFmtId="0" fontId="9" fillId="3" borderId="3" xfId="20960" applyFont="1" applyFill="1" applyBorder="1" applyAlignment="1">
      <alignment horizontal="left" wrapText="1" indent="1"/>
    </xf>
    <xf numFmtId="0" fontId="9"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9" fillId="0" borderId="2" xfId="20960" applyFont="1" applyBorder="1" applyAlignment="1">
      <alignment horizontal="left" wrapText="1" indent="1"/>
    </xf>
    <xf numFmtId="0" fontId="15" fillId="0" borderId="17" xfId="11" applyFont="1" applyBorder="1" applyAlignment="1">
      <alignment horizontal="center" vertical="center"/>
    </xf>
    <xf numFmtId="0" fontId="9" fillId="0" borderId="0" xfId="11" applyFont="1" applyAlignment="1">
      <alignment horizontal="left"/>
    </xf>
    <xf numFmtId="0" fontId="18" fillId="0" borderId="0" xfId="11" applyFont="1" applyAlignment="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10" fillId="0" borderId="0" xfId="11" applyFont="1" applyAlignment="1">
      <alignment horizontal="center"/>
    </xf>
    <xf numFmtId="0" fontId="4" fillId="0" borderId="6" xfId="0" applyFont="1" applyBorder="1" applyAlignment="1">
      <alignment horizontal="center" vertical="center" wrapText="1"/>
    </xf>
    <xf numFmtId="0" fontId="18" fillId="0" borderId="0" xfId="0" applyFont="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Border="1" applyAlignment="1">
      <alignment horizontal="center"/>
    </xf>
    <xf numFmtId="0" fontId="4" fillId="0" borderId="22"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76" xfId="0" applyNumberFormat="1" applyFont="1" applyBorder="1" applyAlignment="1">
      <alignment horizontal="right" vertical="center"/>
    </xf>
    <xf numFmtId="49" fontId="106" fillId="0" borderId="79" xfId="0" applyNumberFormat="1" applyFont="1" applyBorder="1" applyAlignment="1">
      <alignment horizontal="right" vertical="center"/>
    </xf>
    <xf numFmtId="49" fontId="106" fillId="0" borderId="84" xfId="0" applyNumberFormat="1" applyFont="1" applyBorder="1" applyAlignment="1">
      <alignment horizontal="right" vertical="center"/>
    </xf>
    <xf numFmtId="0" fontId="106" fillId="0" borderId="0" xfId="0" applyFont="1" applyAlignment="1">
      <alignment horizontal="left"/>
    </xf>
    <xf numFmtId="0" fontId="106" fillId="0" borderId="84" xfId="0" applyFont="1" applyBorder="1" applyAlignment="1">
      <alignment horizontal="right" vertical="center"/>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9" fillId="0" borderId="0" xfId="0" applyFont="1" applyAlignment="1">
      <alignment horizontal="left" wrapText="1"/>
    </xf>
    <xf numFmtId="0" fontId="9" fillId="0" borderId="1" xfId="11" applyFont="1" applyBorder="1"/>
    <xf numFmtId="0" fontId="15" fillId="0" borderId="1" xfId="11" applyFont="1" applyBorder="1" applyAlignment="1">
      <alignment horizontal="left" vertical="center"/>
    </xf>
    <xf numFmtId="0" fontId="7" fillId="3" borderId="3" xfId="20960" applyFont="1" applyFill="1" applyBorder="1" applyAlignment="1">
      <alignment horizontal="right" indent="1"/>
    </xf>
    <xf numFmtId="0" fontId="7" fillId="3" borderId="2" xfId="20960"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5" borderId="23"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193" fontId="0" fillId="35" borderId="18" xfId="0" applyNumberFormat="1" applyFill="1" applyBorder="1" applyAlignment="1">
      <alignment horizontal="center" vertical="center"/>
    </xf>
    <xf numFmtId="193" fontId="0" fillId="0" borderId="20" xfId="0" applyNumberFormat="1" applyBorder="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9" fillId="0" borderId="13" xfId="0" applyNumberFormat="1" applyFont="1" applyBorder="1" applyAlignment="1">
      <alignment vertical="center"/>
    </xf>
    <xf numFmtId="193" fontId="4" fillId="0" borderId="3" xfId="0" applyNumberFormat="1" applyFont="1" applyBorder="1"/>
    <xf numFmtId="193" fontId="4" fillId="35" borderId="23" xfId="0" applyNumberFormat="1" applyFont="1" applyFill="1" applyBorder="1"/>
    <xf numFmtId="193" fontId="4" fillId="0" borderId="19" xfId="0" applyNumberFormat="1" applyFont="1" applyBorder="1"/>
    <xf numFmtId="193" fontId="4" fillId="0" borderId="20" xfId="0" applyNumberFormat="1" applyFont="1" applyBorder="1"/>
    <xf numFmtId="193" fontId="4" fillId="35" borderId="51" xfId="0" applyNumberFormat="1" applyFont="1" applyFill="1" applyBorder="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xf numFmtId="0" fontId="4" fillId="0" borderId="26" xfId="0" applyFont="1" applyBorder="1" applyAlignment="1">
      <alignment wrapText="1"/>
    </xf>
    <xf numFmtId="193" fontId="4" fillId="0" borderId="21" xfId="0" applyNumberFormat="1" applyFont="1" applyBorder="1"/>
    <xf numFmtId="193" fontId="4" fillId="0" borderId="21" xfId="0" applyNumberFormat="1" applyFont="1" applyBorder="1" applyAlignment="1">
      <alignment wrapText="1"/>
    </xf>
    <xf numFmtId="0" fontId="4"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6" fillId="0" borderId="0" xfId="0" applyFont="1" applyAlignment="1">
      <alignment horizontal="center" wrapText="1"/>
    </xf>
    <xf numFmtId="9" fontId="4" fillId="0" borderId="20" xfId="20961" applyFont="1" applyBorder="1"/>
    <xf numFmtId="9" fontId="4" fillId="35" borderId="24" xfId="20961" applyFont="1" applyFill="1" applyBorder="1"/>
    <xf numFmtId="167" fontId="4" fillId="0" borderId="20" xfId="0" applyNumberFormat="1" applyFont="1" applyBorder="1"/>
    <xf numFmtId="167" fontId="6" fillId="35" borderId="23" xfId="0" applyNumberFormat="1" applyFont="1" applyFill="1" applyBorder="1" applyAlignment="1">
      <alignment horizontal="center" vertical="center"/>
    </xf>
    <xf numFmtId="0" fontId="9" fillId="0" borderId="16" xfId="0" applyFont="1" applyBorder="1" applyAlignment="1">
      <alignment horizontal="right" vertical="center" wrapText="1"/>
    </xf>
    <xf numFmtId="0" fontId="7" fillId="0" borderId="17" xfId="0" applyFont="1" applyBorder="1" applyAlignment="1">
      <alignment vertical="center" wrapText="1"/>
    </xf>
    <xf numFmtId="169" fontId="26" fillId="36" borderId="0" xfId="20"/>
    <xf numFmtId="169" fontId="26" fillId="36" borderId="92" xfId="20" applyBorder="1"/>
    <xf numFmtId="0" fontId="4" fillId="0" borderId="7" xfId="0" applyFont="1" applyBorder="1" applyAlignment="1">
      <alignment vertical="center"/>
    </xf>
    <xf numFmtId="0" fontId="4" fillId="0" borderId="53" xfId="0" applyFont="1" applyBorder="1" applyAlignment="1">
      <alignment vertical="center"/>
    </xf>
    <xf numFmtId="0" fontId="4" fillId="0" borderId="98" xfId="0" applyFont="1" applyBorder="1" applyAlignment="1">
      <alignment vertical="center"/>
    </xf>
    <xf numFmtId="0" fontId="6" fillId="0" borderId="98" xfId="0" applyFont="1" applyBorder="1" applyAlignment="1">
      <alignment vertical="center"/>
    </xf>
    <xf numFmtId="0" fontId="4" fillId="0" borderId="17"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16" xfId="0" applyFont="1" applyBorder="1" applyAlignment="1">
      <alignment horizontal="center" vertical="center"/>
    </xf>
    <xf numFmtId="0" fontId="4" fillId="0" borderId="106" xfId="0" applyFont="1" applyBorder="1" applyAlignment="1">
      <alignment horizontal="center" vertical="center"/>
    </xf>
    <xf numFmtId="0" fontId="4" fillId="0" borderId="108" xfId="0" applyFont="1" applyBorder="1" applyAlignment="1">
      <alignment horizontal="center" vertical="center"/>
    </xf>
    <xf numFmtId="169" fontId="26" fillId="36" borderId="29" xfId="20" applyBorder="1"/>
    <xf numFmtId="169" fontId="26" fillId="36" borderId="109" xfId="20" applyBorder="1"/>
    <xf numFmtId="169" fontId="26" fillId="36" borderId="100"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96"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98" xfId="0" applyFont="1" applyBorder="1" applyAlignment="1">
      <alignment horizontal="center" vertical="center" wrapText="1"/>
    </xf>
    <xf numFmtId="0" fontId="106" fillId="0" borderId="86" xfId="0" applyFont="1" applyBorder="1" applyAlignment="1">
      <alignment horizontal="right" vertical="center"/>
    </xf>
    <xf numFmtId="0" fontId="4" fillId="0" borderId="112" xfId="0" applyFont="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Border="1" applyAlignment="1">
      <alignment horizontal="center" vertical="center"/>
    </xf>
    <xf numFmtId="0" fontId="6" fillId="0" borderId="23" xfId="0" applyFont="1" applyBorder="1" applyAlignment="1">
      <alignment vertical="center"/>
    </xf>
    <xf numFmtId="169" fontId="26"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7" fillId="0" borderId="16" xfId="11" applyFont="1" applyBorder="1" applyAlignment="1">
      <alignment vertical="center"/>
    </xf>
    <xf numFmtId="0" fontId="7" fillId="0" borderId="17" xfId="11" applyFont="1" applyBorder="1" applyAlignment="1">
      <alignment vertical="center"/>
    </xf>
    <xf numFmtId="0" fontId="15" fillId="0" borderId="18" xfId="11" applyFont="1" applyBorder="1" applyAlignment="1">
      <alignment horizontal="center" vertical="center"/>
    </xf>
    <xf numFmtId="0" fontId="0" fillId="0" borderId="114" xfId="0" applyBorder="1"/>
    <xf numFmtId="0" fontId="0" fillId="0" borderId="22" xfId="0" applyBorder="1"/>
    <xf numFmtId="0" fontId="6" fillId="35" borderId="115" xfId="0" applyFont="1" applyFill="1" applyBorder="1" applyAlignment="1">
      <alignment vertical="center" wrapText="1"/>
    </xf>
    <xf numFmtId="0" fontId="7" fillId="0" borderId="0" xfId="0" applyFont="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8"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Border="1" applyAlignment="1">
      <alignment horizontal="right" vertical="center" wrapText="1"/>
    </xf>
    <xf numFmtId="0" fontId="4" fillId="0" borderId="98" xfId="0" applyFont="1" applyBorder="1" applyAlignment="1">
      <alignment horizontal="left" vertical="center" wrapText="1"/>
    </xf>
    <xf numFmtId="0" fontId="109" fillId="0" borderId="114" xfId="0" applyFont="1" applyBorder="1" applyAlignment="1">
      <alignment horizontal="right" vertical="center" wrapText="1"/>
    </xf>
    <xf numFmtId="0" fontId="109" fillId="0" borderId="98" xfId="0" applyFont="1" applyBorder="1" applyAlignment="1">
      <alignment horizontal="left" vertical="center" wrapText="1"/>
    </xf>
    <xf numFmtId="0" fontId="6" fillId="0" borderId="114" xfId="0" applyFont="1" applyBorder="1" applyAlignment="1">
      <alignment horizontal="left" vertical="center" wrapText="1"/>
    </xf>
    <xf numFmtId="0" fontId="6" fillId="0" borderId="0" xfId="21410" applyFont="1" applyAlignment="1" applyProtection="1">
      <alignment horizontal="left" vertical="center"/>
      <protection locked="0"/>
    </xf>
    <xf numFmtId="0" fontId="4" fillId="0" borderId="0" xfId="0" applyFont="1" applyAlignment="1">
      <alignment horizontal="left" vertical="center"/>
    </xf>
    <xf numFmtId="0" fontId="109" fillId="0" borderId="0" xfId="0" applyFont="1" applyAlignment="1">
      <alignment horizontal="left" vertical="center"/>
    </xf>
    <xf numFmtId="49" fontId="110" fillId="0" borderId="22" xfId="5" applyNumberFormat="1" applyFont="1" applyBorder="1" applyAlignment="1" applyProtection="1">
      <alignment horizontal="left" vertical="center"/>
      <protection locked="0"/>
    </xf>
    <xf numFmtId="0" fontId="111" fillId="0" borderId="23" xfId="9" applyFont="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8"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8" xfId="8" quotePrefix="1" applyNumberFormat="1" applyFont="1" applyFill="1" applyBorder="1" applyAlignment="1" applyProtection="1">
      <alignment horizontal="left" vertical="center" wrapText="1" indent="2"/>
      <protection locked="0"/>
    </xf>
    <xf numFmtId="3" fontId="21" fillId="0" borderId="98" xfId="0" applyNumberFormat="1" applyFont="1" applyBorder="1" applyAlignment="1">
      <alignment vertical="center" wrapText="1"/>
    </xf>
    <xf numFmtId="14" fontId="7" fillId="3" borderId="98" xfId="8" quotePrefix="1" applyNumberFormat="1" applyFont="1" applyFill="1" applyBorder="1" applyAlignment="1" applyProtection="1">
      <alignment horizontal="left" vertical="center" wrapText="1" indent="3"/>
      <protection locked="0"/>
    </xf>
    <xf numFmtId="0" fontId="11" fillId="0" borderId="98" xfId="17" applyFill="1" applyBorder="1" applyAlignment="1" applyProtection="1"/>
    <xf numFmtId="49" fontId="109" fillId="0" borderId="114" xfId="0" applyNumberFormat="1" applyFont="1" applyBorder="1" applyAlignment="1">
      <alignment horizontal="right" vertical="center" wrapText="1"/>
    </xf>
    <xf numFmtId="0" fontId="7" fillId="3" borderId="98" xfId="20960" applyFont="1" applyFill="1" applyBorder="1"/>
    <xf numFmtId="0" fontId="103" fillId="0" borderId="98" xfId="20960" applyFont="1" applyBorder="1" applyAlignment="1">
      <alignment horizontal="center" vertical="center"/>
    </xf>
    <xf numFmtId="0" fontId="4" fillId="0" borderId="98" xfId="0" applyFont="1" applyBorder="1"/>
    <xf numFmtId="0" fontId="11" fillId="0" borderId="98" xfId="17" applyFill="1" applyBorder="1" applyAlignment="1" applyProtection="1">
      <alignment horizontal="left" vertical="center" wrapText="1"/>
    </xf>
    <xf numFmtId="49" fontId="109" fillId="0" borderId="98" xfId="0" applyNumberFormat="1" applyFont="1" applyBorder="1" applyAlignment="1">
      <alignment horizontal="right" vertical="center" wrapText="1"/>
    </xf>
    <xf numFmtId="0" fontId="11" fillId="0" borderId="98" xfId="17" applyFill="1" applyBorder="1" applyAlignment="1" applyProtection="1">
      <alignment horizontal="left" vertical="center"/>
    </xf>
    <xf numFmtId="10" fontId="7" fillId="0" borderId="98" xfId="20961" applyNumberFormat="1" applyFont="1" applyFill="1" applyBorder="1" applyAlignment="1">
      <alignment horizontal="left" vertical="center" wrapText="1"/>
    </xf>
    <xf numFmtId="10" fontId="4" fillId="0"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left" vertical="center" wrapText="1"/>
    </xf>
    <xf numFmtId="10" fontId="109" fillId="0" borderId="98" xfId="20961" applyNumberFormat="1" applyFont="1" applyFill="1" applyBorder="1" applyAlignment="1">
      <alignment horizontal="left" vertical="center" wrapText="1"/>
    </xf>
    <xf numFmtId="10" fontId="6" fillId="35" borderId="98" xfId="20961" applyNumberFormat="1" applyFont="1" applyFill="1" applyBorder="1" applyAlignment="1">
      <alignment horizontal="left" vertical="center" wrapText="1"/>
    </xf>
    <xf numFmtId="10" fontId="6" fillId="35" borderId="98"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4" xfId="0" applyFont="1" applyBorder="1" applyAlignment="1">
      <alignment horizontal="right" vertical="center" wrapText="1"/>
    </xf>
    <xf numFmtId="0" fontId="7" fillId="0" borderId="98" xfId="0" applyFont="1" applyBorder="1" applyAlignment="1">
      <alignment vertical="center" wrapText="1"/>
    </xf>
    <xf numFmtId="0" fontId="4" fillId="0" borderId="98" xfId="0" applyFont="1" applyBorder="1" applyAlignment="1">
      <alignment vertical="center" wrapText="1"/>
    </xf>
    <xf numFmtId="0" fontId="4" fillId="0" borderId="98" xfId="0" applyFont="1" applyBorder="1" applyAlignment="1">
      <alignment horizontal="left" vertical="center" wrapText="1" indent="2"/>
    </xf>
    <xf numFmtId="3" fontId="21" fillId="35" borderId="99" xfId="0" applyNumberFormat="1" applyFont="1" applyFill="1" applyBorder="1" applyAlignment="1">
      <alignment vertical="center" wrapText="1"/>
    </xf>
    <xf numFmtId="3" fontId="21" fillId="35"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2" xfId="0" applyFont="1" applyBorder="1"/>
    <xf numFmtId="0" fontId="9" fillId="0" borderId="112" xfId="0" applyFont="1" applyBorder="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9" fillId="0" borderId="114" xfId="0" applyFont="1" applyBorder="1" applyAlignment="1">
      <alignment horizontal="center" vertical="center" wrapText="1"/>
    </xf>
    <xf numFmtId="0" fontId="15" fillId="0" borderId="98" xfId="0" applyFont="1" applyBorder="1" applyAlignment="1">
      <alignment horizontal="center" vertical="center" wrapText="1"/>
    </xf>
    <xf numFmtId="0" fontId="16" fillId="0" borderId="98" xfId="0" applyFont="1" applyBorder="1" applyAlignment="1">
      <alignment horizontal="left" vertical="center" wrapText="1"/>
    </xf>
    <xf numFmtId="0" fontId="9" fillId="2" borderId="114" xfId="0" applyFont="1" applyFill="1" applyBorder="1" applyAlignment="1">
      <alignment horizontal="right" vertical="center"/>
    </xf>
    <xf numFmtId="0" fontId="9" fillId="2" borderId="98" xfId="0" applyFont="1" applyFill="1" applyBorder="1" applyAlignment="1">
      <alignment vertical="center"/>
    </xf>
    <xf numFmtId="193" fontId="9" fillId="2" borderId="98" xfId="0" applyNumberFormat="1" applyFont="1" applyFill="1" applyBorder="1" applyAlignment="1" applyProtection="1">
      <alignment vertical="center"/>
      <protection locked="0"/>
    </xf>
    <xf numFmtId="0" fontId="15" fillId="0" borderId="114" xfId="0" applyFont="1" applyBorder="1" applyAlignment="1">
      <alignment horizontal="center" vertical="center" wrapText="1"/>
    </xf>
    <xf numFmtId="14" fontId="4" fillId="0" borderId="0" xfId="0" applyNumberFormat="1" applyFont="1"/>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8" xfId="0" applyFont="1" applyBorder="1" applyAlignment="1">
      <alignment horizontal="center"/>
    </xf>
    <xf numFmtId="0" fontId="4" fillId="3" borderId="63" xfId="0" applyFont="1" applyFill="1" applyBorder="1"/>
    <xf numFmtId="0" fontId="6" fillId="3" borderId="0" xfId="0" applyFont="1" applyFill="1" applyAlignment="1">
      <alignment horizontal="center" wrapText="1"/>
    </xf>
    <xf numFmtId="0" fontId="4" fillId="3" borderId="0" xfId="0" applyFont="1" applyFill="1" applyAlignment="1">
      <alignment horizontal="center"/>
    </xf>
    <xf numFmtId="0" fontId="4" fillId="3" borderId="92" xfId="0" applyFont="1" applyFill="1" applyBorder="1" applyAlignment="1">
      <alignment horizontal="center" vertical="center" wrapText="1"/>
    </xf>
    <xf numFmtId="0" fontId="4" fillId="0" borderId="114" xfId="0" applyFont="1" applyBorder="1"/>
    <xf numFmtId="0" fontId="4" fillId="0" borderId="98" xfId="0" applyFont="1" applyBorder="1" applyAlignment="1">
      <alignment wrapText="1"/>
    </xf>
    <xf numFmtId="164" fontId="4" fillId="0" borderId="98" xfId="7" applyNumberFormat="1" applyFont="1" applyBorder="1"/>
    <xf numFmtId="164" fontId="4" fillId="0" borderId="112" xfId="7" applyNumberFormat="1" applyFont="1" applyBorder="1"/>
    <xf numFmtId="0" fontId="14" fillId="0" borderId="98" xfId="0" applyFont="1" applyBorder="1" applyAlignment="1">
      <alignment horizontal="left" wrapText="1" indent="2"/>
    </xf>
    <xf numFmtId="169" fontId="26" fillId="36" borderId="98" xfId="20" applyBorder="1"/>
    <xf numFmtId="164" fontId="4" fillId="0" borderId="98" xfId="7" applyNumberFormat="1" applyFont="1" applyBorder="1" applyAlignment="1">
      <alignment vertical="center"/>
    </xf>
    <xf numFmtId="0" fontId="6" fillId="0" borderId="114" xfId="0" applyFont="1" applyBorder="1"/>
    <xf numFmtId="0" fontId="6" fillId="0" borderId="98" xfId="0" applyFont="1" applyBorder="1" applyAlignment="1">
      <alignment wrapText="1"/>
    </xf>
    <xf numFmtId="164" fontId="6" fillId="0" borderId="112"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8" xfId="7" applyNumberFormat="1" applyFont="1" applyFill="1" applyBorder="1"/>
    <xf numFmtId="164" fontId="4" fillId="0" borderId="98" xfId="7" applyNumberFormat="1" applyFont="1" applyFill="1" applyBorder="1" applyAlignment="1">
      <alignment vertical="center"/>
    </xf>
    <xf numFmtId="0" fontId="14" fillId="0" borderId="98"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5" xfId="20" applyBorder="1"/>
    <xf numFmtId="10" fontId="6" fillId="0" borderId="24" xfId="20961" applyNumberFormat="1" applyFont="1" applyBorder="1"/>
    <xf numFmtId="0" fontId="9" fillId="2" borderId="106"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0" fontId="9" fillId="0" borderId="98" xfId="0" applyFont="1" applyBorder="1" applyAlignment="1">
      <alignment horizontal="left" vertical="center" wrapText="1"/>
    </xf>
    <xf numFmtId="0" fontId="6" fillId="3" borderId="0" xfId="0" applyFont="1" applyFill="1" applyAlignment="1">
      <alignment horizontal="center"/>
    </xf>
    <xf numFmtId="0" fontId="106" fillId="0" borderId="86" xfId="0" applyFont="1" applyBorder="1" applyAlignment="1">
      <alignment horizontal="left" vertical="center"/>
    </xf>
    <xf numFmtId="0" fontId="106" fillId="0" borderId="84" xfId="0" applyFont="1" applyBorder="1" applyAlignment="1">
      <alignment vertical="center" wrapText="1"/>
    </xf>
    <xf numFmtId="0" fontId="106" fillId="0" borderId="84" xfId="0" applyFont="1" applyBorder="1" applyAlignment="1">
      <alignment horizontal="left" vertical="center" wrapText="1"/>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28" xfId="0" applyFont="1" applyBorder="1" applyAlignment="1">
      <alignment horizontal="left" vertical="center" wrapText="1"/>
    </xf>
    <xf numFmtId="0" fontId="125" fillId="0" borderId="0" xfId="0" applyFont="1"/>
    <xf numFmtId="49" fontId="106" fillId="0" borderId="98" xfId="0" applyNumberFormat="1" applyFont="1" applyBorder="1" applyAlignment="1">
      <alignment horizontal="right" vertical="center"/>
    </xf>
    <xf numFmtId="0" fontId="126" fillId="0" borderId="0" xfId="0" applyFont="1"/>
    <xf numFmtId="0" fontId="117" fillId="0" borderId="0" xfId="0" applyFont="1" applyAlignment="1">
      <alignment horizontal="left" indent="1"/>
    </xf>
    <xf numFmtId="0" fontId="117" fillId="0" borderId="0" xfId="0" applyFont="1" applyAlignment="1">
      <alignment horizontal="left" indent="2"/>
    </xf>
    <xf numFmtId="49" fontId="117" fillId="0" borderId="0" xfId="0" applyNumberFormat="1" applyFont="1" applyAlignment="1">
      <alignment horizontal="left" indent="3"/>
    </xf>
    <xf numFmtId="49" fontId="117" fillId="0" borderId="0" xfId="0" applyNumberFormat="1" applyFont="1" applyAlignment="1">
      <alignment horizontal="left" indent="1"/>
    </xf>
    <xf numFmtId="49" fontId="117" fillId="0" borderId="0" xfId="0" applyNumberFormat="1" applyFont="1" applyAlignment="1">
      <alignment horizontal="left" wrapText="1" indent="2"/>
    </xf>
    <xf numFmtId="49" fontId="117" fillId="0" borderId="0" xfId="0" applyNumberFormat="1" applyFont="1" applyAlignment="1">
      <alignment horizontal="left" wrapText="1" indent="3"/>
    </xf>
    <xf numFmtId="0" fontId="117" fillId="0" borderId="0" xfId="0" applyFont="1" applyAlignment="1">
      <alignment horizontal="left" wrapText="1" indent="1"/>
    </xf>
    <xf numFmtId="0" fontId="117" fillId="0" borderId="0" xfId="0" applyFont="1" applyAlignment="1">
      <alignment horizontal="left" vertical="top" wrapText="1"/>
    </xf>
    <xf numFmtId="193" fontId="7" fillId="3" borderId="112" xfId="2" applyNumberFormat="1" applyFont="1" applyFill="1" applyBorder="1" applyAlignment="1" applyProtection="1">
      <alignment vertical="top" wrapText="1"/>
      <protection locked="0"/>
    </xf>
    <xf numFmtId="0" fontId="9" fillId="0" borderId="98" xfId="0" applyFont="1" applyBorder="1" applyAlignment="1">
      <alignment horizontal="center" vertical="center" wrapText="1"/>
    </xf>
    <xf numFmtId="0" fontId="3" fillId="0" borderId="98" xfId="0" applyFont="1" applyBorder="1" applyAlignment="1">
      <alignment horizontal="center" vertical="center"/>
    </xf>
    <xf numFmtId="0" fontId="130" fillId="3" borderId="98" xfId="21414" applyFont="1" applyFill="1" applyBorder="1" applyAlignment="1">
      <alignment horizontal="left" vertical="center" wrapText="1"/>
    </xf>
    <xf numFmtId="0" fontId="0" fillId="0" borderId="98" xfId="0" applyBorder="1"/>
    <xf numFmtId="0" fontId="131" fillId="0" borderId="98" xfId="21414" applyFont="1" applyBorder="1" applyAlignment="1">
      <alignment horizontal="left" vertical="center" wrapText="1" indent="1"/>
    </xf>
    <xf numFmtId="0" fontId="132" fillId="3" borderId="98" xfId="21414" applyFont="1" applyFill="1" applyBorder="1" applyAlignment="1">
      <alignment horizontal="left" vertical="center" wrapText="1"/>
    </xf>
    <xf numFmtId="0" fontId="131" fillId="3" borderId="98" xfId="21414" applyFont="1" applyFill="1" applyBorder="1" applyAlignment="1">
      <alignment horizontal="left" vertical="center" wrapText="1" indent="1"/>
    </xf>
    <xf numFmtId="0" fontId="130" fillId="0" borderId="135" xfId="0" applyFont="1" applyBorder="1" applyAlignment="1">
      <alignment horizontal="left" vertical="center" wrapText="1"/>
    </xf>
    <xf numFmtId="0" fontId="132" fillId="0" borderId="135" xfId="0" applyFont="1" applyBorder="1" applyAlignment="1">
      <alignment horizontal="left" vertical="center" wrapText="1"/>
    </xf>
    <xf numFmtId="0" fontId="133" fillId="3" borderId="135" xfId="0" applyFont="1" applyFill="1" applyBorder="1" applyAlignment="1">
      <alignment horizontal="left" vertical="center" wrapText="1" indent="1"/>
    </xf>
    <xf numFmtId="0" fontId="132" fillId="3" borderId="135" xfId="0" applyFont="1" applyFill="1" applyBorder="1" applyAlignment="1">
      <alignment horizontal="left" vertical="center" wrapText="1"/>
    </xf>
    <xf numFmtId="0" fontId="132" fillId="3" borderId="136" xfId="0" applyFont="1" applyFill="1" applyBorder="1" applyAlignment="1">
      <alignment horizontal="left" vertical="center" wrapText="1"/>
    </xf>
    <xf numFmtId="0" fontId="133" fillId="0" borderId="135" xfId="0" applyFont="1" applyBorder="1" applyAlignment="1">
      <alignment horizontal="left" vertical="center" wrapText="1" indent="1"/>
    </xf>
    <xf numFmtId="0" fontId="133" fillId="0" borderId="98" xfId="21414" applyFont="1" applyBorder="1" applyAlignment="1">
      <alignment horizontal="left" vertical="center" wrapText="1" indent="1"/>
    </xf>
    <xf numFmtId="0" fontId="132" fillId="0" borderId="98" xfId="21414" applyFont="1" applyBorder="1" applyAlignment="1">
      <alignment horizontal="left" vertical="center" wrapText="1"/>
    </xf>
    <xf numFmtId="0" fontId="134" fillId="0" borderId="98" xfId="21414" applyFont="1" applyBorder="1" applyAlignment="1">
      <alignment horizontal="center" vertical="center" wrapText="1"/>
    </xf>
    <xf numFmtId="0" fontId="132" fillId="3" borderId="137" xfId="0" applyFont="1" applyFill="1" applyBorder="1" applyAlignment="1">
      <alignment horizontal="left" vertical="center" wrapText="1"/>
    </xf>
    <xf numFmtId="0" fontId="0" fillId="0" borderId="138" xfId="0" applyBorder="1"/>
    <xf numFmtId="0" fontId="131" fillId="3" borderId="138" xfId="21414" applyFont="1" applyFill="1" applyBorder="1" applyAlignment="1">
      <alignment horizontal="left" vertical="center" wrapText="1" indent="1"/>
    </xf>
    <xf numFmtId="0" fontId="131" fillId="3" borderId="135" xfId="0" applyFont="1" applyFill="1" applyBorder="1" applyAlignment="1">
      <alignment horizontal="left" vertical="center" wrapText="1" indent="1"/>
    </xf>
    <xf numFmtId="0" fontId="131" fillId="0" borderId="138" xfId="21414" applyFont="1" applyBorder="1" applyAlignment="1">
      <alignment horizontal="left" vertical="center" wrapText="1" indent="1"/>
    </xf>
    <xf numFmtId="0" fontId="131" fillId="0" borderId="135" xfId="0" applyFont="1" applyBorder="1" applyAlignment="1">
      <alignment horizontal="left" vertical="center" wrapText="1" indent="1"/>
    </xf>
    <xf numFmtId="0" fontId="131" fillId="0" borderId="136" xfId="0" applyFont="1" applyBorder="1" applyAlignment="1">
      <alignment horizontal="left" vertical="center" wrapText="1" indent="1"/>
    </xf>
    <xf numFmtId="0" fontId="132" fillId="0" borderId="138" xfId="21414" applyFont="1" applyBorder="1" applyAlignment="1">
      <alignment horizontal="left" vertical="center" wrapText="1"/>
    </xf>
    <xf numFmtId="0" fontId="132" fillId="3" borderId="138" xfId="21414" applyFont="1" applyFill="1" applyBorder="1" applyAlignment="1">
      <alignment horizontal="left" vertical="center" wrapText="1"/>
    </xf>
    <xf numFmtId="0" fontId="134" fillId="0" borderId="138" xfId="21414" applyFont="1" applyBorder="1" applyAlignment="1">
      <alignment horizontal="center" vertical="center" wrapText="1"/>
    </xf>
    <xf numFmtId="0" fontId="135" fillId="0" borderId="138" xfId="0" applyFont="1" applyBorder="1" applyAlignment="1">
      <alignment horizontal="left"/>
    </xf>
    <xf numFmtId="0" fontId="132" fillId="0" borderId="138" xfId="0" applyFont="1" applyBorder="1" applyAlignment="1">
      <alignment horizontal="left" vertical="center" wrapText="1"/>
    </xf>
    <xf numFmtId="0" fontId="0" fillId="0" borderId="0" xfId="0" applyAlignment="1">
      <alignment horizontal="left" vertical="center"/>
    </xf>
    <xf numFmtId="0" fontId="9" fillId="0" borderId="138" xfId="0" applyFont="1" applyBorder="1" applyAlignment="1">
      <alignment horizontal="center" vertical="center" wrapText="1"/>
    </xf>
    <xf numFmtId="0" fontId="132" fillId="0" borderId="143" xfId="0" applyFont="1" applyBorder="1" applyAlignment="1">
      <alignment horizontal="justify" vertical="center" wrapText="1"/>
    </xf>
    <xf numFmtId="0" fontId="131" fillId="0" borderId="137" xfId="0" applyFont="1" applyBorder="1" applyAlignment="1">
      <alignment horizontal="left" vertical="center" wrapText="1" indent="1"/>
    </xf>
    <xf numFmtId="0" fontId="132" fillId="0" borderId="135" xfId="0" applyFont="1" applyBorder="1" applyAlignment="1">
      <alignment horizontal="justify" vertical="center" wrapText="1"/>
    </xf>
    <xf numFmtId="0" fontId="130" fillId="0" borderId="135" xfId="0" applyFont="1" applyBorder="1" applyAlignment="1">
      <alignment horizontal="justify" vertical="center" wrapText="1"/>
    </xf>
    <xf numFmtId="0" fontId="132" fillId="3" borderId="135" xfId="0" applyFont="1" applyFill="1" applyBorder="1" applyAlignment="1">
      <alignment horizontal="justify" vertical="center" wrapText="1"/>
    </xf>
    <xf numFmtId="0" fontId="132" fillId="0" borderId="136" xfId="0" applyFont="1" applyBorder="1" applyAlignment="1">
      <alignment horizontal="justify" vertical="center" wrapText="1"/>
    </xf>
    <xf numFmtId="0" fontId="132" fillId="0" borderId="137" xfId="0" applyFont="1" applyBorder="1" applyAlignment="1">
      <alignment horizontal="justify" vertical="center" wrapText="1"/>
    </xf>
    <xf numFmtId="0" fontId="132" fillId="0" borderId="138" xfId="21414" applyFont="1" applyBorder="1" applyAlignment="1">
      <alignment horizontal="justify" vertical="center" wrapText="1"/>
    </xf>
    <xf numFmtId="0" fontId="133" fillId="0" borderId="129" xfId="0" applyFont="1" applyBorder="1" applyAlignment="1">
      <alignment horizontal="left" vertical="center" wrapText="1" indent="1"/>
    </xf>
    <xf numFmtId="0" fontId="130" fillId="0" borderId="135" xfId="0" applyFont="1" applyBorder="1" applyAlignment="1">
      <alignment vertical="center" wrapText="1"/>
    </xf>
    <xf numFmtId="0" fontId="132" fillId="0" borderId="135" xfId="0" applyFont="1" applyBorder="1" applyAlignment="1">
      <alignment vertical="center" wrapText="1"/>
    </xf>
    <xf numFmtId="0" fontId="132" fillId="0" borderId="138" xfId="21414" applyFont="1" applyBorder="1" applyAlignment="1">
      <alignment vertical="center" wrapText="1"/>
    </xf>
    <xf numFmtId="0" fontId="9" fillId="0" borderId="112" xfId="0" applyFont="1" applyBorder="1" applyAlignment="1">
      <alignment horizontal="center" vertical="center" wrapText="1"/>
    </xf>
    <xf numFmtId="0" fontId="0" fillId="0" borderId="138" xfId="0" applyBorder="1" applyAlignment="1">
      <alignment horizontal="center"/>
    </xf>
    <xf numFmtId="193" fontId="9" fillId="0" borderId="138" xfId="0" applyNumberFormat="1" applyFont="1" applyBorder="1" applyAlignment="1">
      <alignment horizontal="right"/>
    </xf>
    <xf numFmtId="193" fontId="9" fillId="35" borderId="138" xfId="0" applyNumberFormat="1" applyFont="1" applyFill="1" applyBorder="1" applyAlignment="1">
      <alignment horizontal="right"/>
    </xf>
    <xf numFmtId="193" fontId="9" fillId="35" borderId="112" xfId="0" applyNumberFormat="1" applyFont="1" applyFill="1" applyBorder="1" applyAlignment="1">
      <alignment horizontal="right"/>
    </xf>
    <xf numFmtId="0" fontId="15" fillId="0" borderId="138" xfId="0" applyFont="1" applyBorder="1" applyAlignment="1">
      <alignment vertical="center" wrapText="1"/>
    </xf>
    <xf numFmtId="0" fontId="7" fillId="0" borderId="138" xfId="0" applyFont="1" applyBorder="1" applyAlignment="1">
      <alignment horizontal="left" vertical="center" wrapText="1" indent="1"/>
    </xf>
    <xf numFmtId="0" fontId="3" fillId="0" borderId="138" xfId="0" applyFont="1" applyBorder="1" applyAlignment="1">
      <alignment vertical="center"/>
    </xf>
    <xf numFmtId="0" fontId="136" fillId="0" borderId="138" xfId="0" applyFont="1" applyBorder="1" applyAlignment="1" applyProtection="1">
      <alignment horizontal="left" vertical="center" indent="1"/>
      <protection locked="0"/>
    </xf>
    <xf numFmtId="0" fontId="137" fillId="0" borderId="138" xfId="0" applyFont="1" applyBorder="1" applyAlignment="1" applyProtection="1">
      <alignment horizontal="left" vertical="center" indent="3"/>
      <protection locked="0"/>
    </xf>
    <xf numFmtId="0" fontId="138" fillId="0" borderId="138" xfId="0" applyFont="1" applyBorder="1" applyAlignment="1" applyProtection="1">
      <alignment horizontal="left" vertical="center" indent="3"/>
      <protection locked="0"/>
    </xf>
    <xf numFmtId="0" fontId="3" fillId="0" borderId="138" xfId="0" applyFont="1" applyBorder="1"/>
    <xf numFmtId="0" fontId="0" fillId="0" borderId="0" xfId="0" applyAlignment="1">
      <alignment horizontal="center"/>
    </xf>
    <xf numFmtId="193" fontId="9" fillId="0" borderId="0" xfId="0" applyNumberFormat="1" applyFont="1" applyAlignment="1">
      <alignment horizontal="right"/>
    </xf>
    <xf numFmtId="49" fontId="106" fillId="0" borderId="138" xfId="0" applyNumberFormat="1" applyFont="1" applyBorder="1" applyAlignment="1">
      <alignment horizontal="right" vertical="center"/>
    </xf>
    <xf numFmtId="0" fontId="0" fillId="0" borderId="138" xfId="0" applyBorder="1" applyAlignment="1">
      <alignment horizontal="center" vertical="center"/>
    </xf>
    <xf numFmtId="43" fontId="4" fillId="0" borderId="98" xfId="7" applyFont="1" applyBorder="1" applyAlignment="1">
      <alignment vertical="center"/>
    </xf>
    <xf numFmtId="0" fontId="0" fillId="0" borderId="142" xfId="0" applyBorder="1" applyAlignment="1">
      <alignment horizontal="center"/>
    </xf>
    <xf numFmtId="0" fontId="131" fillId="0" borderId="142" xfId="21414" applyFont="1" applyBorder="1" applyAlignment="1">
      <alignment horizontal="left" vertical="center" wrapText="1" indent="1"/>
    </xf>
    <xf numFmtId="0" fontId="131" fillId="3" borderId="138" xfId="0" applyFont="1" applyFill="1" applyBorder="1" applyAlignment="1">
      <alignment horizontal="left" vertical="center" wrapText="1" indent="1"/>
    </xf>
    <xf numFmtId="167" fontId="23" fillId="0" borderId="138" xfId="0" applyNumberFormat="1" applyFont="1" applyBorder="1" applyAlignment="1">
      <alignment horizontal="center"/>
    </xf>
    <xf numFmtId="0" fontId="23" fillId="0" borderId="138" xfId="0" applyFont="1" applyBorder="1"/>
    <xf numFmtId="0" fontId="131" fillId="0" borderId="138" xfId="0" applyFont="1" applyBorder="1" applyAlignment="1">
      <alignment horizontal="left" vertical="center" wrapText="1" indent="1"/>
    </xf>
    <xf numFmtId="0" fontId="133" fillId="3" borderId="138" xfId="0" applyFont="1" applyFill="1" applyBorder="1" applyAlignment="1">
      <alignment horizontal="left" vertical="center" wrapText="1" indent="1"/>
    </xf>
    <xf numFmtId="0" fontId="133" fillId="0" borderId="138" xfId="0" applyFont="1" applyBorder="1" applyAlignment="1">
      <alignment horizontal="left" vertical="center" wrapText="1" indent="1"/>
    </xf>
    <xf numFmtId="167" fontId="22" fillId="0" borderId="56" xfId="0" applyNumberFormat="1" applyFont="1" applyBorder="1" applyAlignment="1">
      <alignment horizontal="center"/>
    </xf>
    <xf numFmtId="167" fontId="18" fillId="0" borderId="58" xfId="0" applyNumberFormat="1" applyFont="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Border="1" applyAlignment="1">
      <alignment horizontal="center" vertical="center"/>
    </xf>
    <xf numFmtId="193" fontId="23" fillId="0" borderId="138" xfId="0" applyNumberFormat="1" applyFont="1" applyBorder="1" applyAlignment="1">
      <alignment horizontal="center" vertical="center"/>
    </xf>
    <xf numFmtId="0" fontId="23" fillId="0" borderId="138" xfId="0" applyFont="1" applyBorder="1" applyAlignment="1">
      <alignment horizontal="center"/>
    </xf>
    <xf numFmtId="0" fontId="23" fillId="0" borderId="138"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38" xfId="0" applyNumberFormat="1" applyFont="1" applyBorder="1" applyAlignment="1">
      <alignment horizontal="center" vertical="center"/>
    </xf>
    <xf numFmtId="0" fontId="22" fillId="0" borderId="138" xfId="0" applyFont="1" applyBorder="1" applyAlignment="1">
      <alignment horizontal="center" vertical="center"/>
    </xf>
    <xf numFmtId="0" fontId="120" fillId="0" borderId="138" xfId="0" applyFont="1" applyBorder="1"/>
    <xf numFmtId="49" fontId="122" fillId="0" borderId="138" xfId="5" applyNumberFormat="1" applyFont="1" applyBorder="1" applyAlignment="1" applyProtection="1">
      <alignment horizontal="right" vertical="center"/>
      <protection locked="0"/>
    </xf>
    <xf numFmtId="0" fontId="121" fillId="3" borderId="138" xfId="13" applyFont="1" applyFill="1" applyBorder="1" applyAlignment="1" applyProtection="1">
      <alignment horizontal="left" vertical="center" wrapText="1"/>
      <protection locked="0"/>
    </xf>
    <xf numFmtId="49" fontId="121" fillId="3" borderId="138" xfId="5" applyNumberFormat="1" applyFont="1" applyFill="1" applyBorder="1" applyAlignment="1" applyProtection="1">
      <alignment horizontal="right" vertical="center"/>
      <protection locked="0"/>
    </xf>
    <xf numFmtId="0" fontId="121" fillId="0" borderId="138" xfId="13" applyFont="1" applyBorder="1" applyAlignment="1" applyProtection="1">
      <alignment horizontal="left" vertical="center" wrapText="1"/>
      <protection locked="0"/>
    </xf>
    <xf numFmtId="49" fontId="121" fillId="0" borderId="138" xfId="5" applyNumberFormat="1" applyFont="1" applyBorder="1" applyAlignment="1" applyProtection="1">
      <alignment horizontal="right" vertical="center"/>
      <protection locked="0"/>
    </xf>
    <xf numFmtId="0" fontId="123" fillId="0" borderId="138" xfId="13" applyFont="1" applyBorder="1" applyAlignment="1" applyProtection="1">
      <alignment horizontal="left" vertical="center" wrapText="1"/>
      <protection locked="0"/>
    </xf>
    <xf numFmtId="0" fontId="120" fillId="0" borderId="138" xfId="0" applyFont="1" applyBorder="1" applyAlignment="1">
      <alignment horizontal="center" vertical="center" wrapText="1"/>
    </xf>
    <xf numFmtId="166" fontId="116" fillId="35" borderId="146" xfId="21413" applyFont="1" applyFill="1" applyBorder="1"/>
    <xf numFmtId="0" fontId="116" fillId="0" borderId="146" xfId="0" applyFont="1" applyBorder="1"/>
    <xf numFmtId="0" fontId="116" fillId="0" borderId="146" xfId="0" applyFont="1" applyBorder="1" applyAlignment="1">
      <alignment horizontal="left" indent="8"/>
    </xf>
    <xf numFmtId="0" fontId="116" fillId="0" borderId="146" xfId="0" applyFont="1" applyBorder="1" applyAlignment="1">
      <alignment wrapText="1"/>
    </xf>
    <xf numFmtId="0" fontId="119" fillId="0" borderId="146" xfId="0" applyFont="1" applyBorder="1"/>
    <xf numFmtId="49" fontId="122" fillId="0" borderId="146" xfId="5" applyNumberFormat="1" applyFont="1" applyBorder="1" applyAlignment="1" applyProtection="1">
      <alignment horizontal="right" vertical="center" wrapText="1"/>
      <protection locked="0"/>
    </xf>
    <xf numFmtId="49" fontId="121" fillId="3" borderId="146" xfId="5" applyNumberFormat="1" applyFont="1" applyFill="1" applyBorder="1" applyAlignment="1" applyProtection="1">
      <alignment horizontal="right" vertical="center" wrapText="1"/>
      <protection locked="0"/>
    </xf>
    <xf numFmtId="49" fontId="121" fillId="0" borderId="146" xfId="5" applyNumberFormat="1" applyFont="1" applyBorder="1" applyAlignment="1" applyProtection="1">
      <alignment horizontal="right" vertical="center" wrapText="1"/>
      <protection locked="0"/>
    </xf>
    <xf numFmtId="0" fontId="116" fillId="0" borderId="146"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4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46" xfId="0" applyFont="1" applyBorder="1" applyAlignment="1">
      <alignment horizontal="left" vertical="center" wrapText="1"/>
    </xf>
    <xf numFmtId="0" fontId="119" fillId="0" borderId="146" xfId="0" applyFont="1" applyBorder="1" applyAlignment="1">
      <alignment horizontal="left" wrapText="1" indent="1"/>
    </xf>
    <xf numFmtId="0" fontId="119" fillId="0" borderId="146" xfId="0" applyFont="1" applyBorder="1" applyAlignment="1">
      <alignment horizontal="left" vertical="center" indent="1"/>
    </xf>
    <xf numFmtId="0" fontId="116" fillId="0" borderId="146" xfId="0" applyFont="1" applyBorder="1" applyAlignment="1">
      <alignment horizontal="left" wrapText="1" indent="1"/>
    </xf>
    <xf numFmtId="0" fontId="116" fillId="0" borderId="146" xfId="0" applyFont="1" applyBorder="1" applyAlignment="1">
      <alignment horizontal="left" indent="1"/>
    </xf>
    <xf numFmtId="0" fontId="116" fillId="0" borderId="146" xfId="0" applyFont="1" applyBorder="1" applyAlignment="1">
      <alignment horizontal="left" wrapText="1" indent="4"/>
    </xf>
    <xf numFmtId="0" fontId="116" fillId="0" borderId="146" xfId="0" applyFont="1" applyBorder="1" applyAlignment="1">
      <alignment horizontal="left" indent="3"/>
    </xf>
    <xf numFmtId="0" fontId="119" fillId="0" borderId="146" xfId="0" applyFont="1" applyBorder="1" applyAlignment="1">
      <alignment horizontal="left" indent="1"/>
    </xf>
    <xf numFmtId="0" fontId="120" fillId="0" borderId="146" xfId="0" applyFont="1" applyBorder="1" applyAlignment="1">
      <alignment horizontal="center" vertical="center" wrapText="1"/>
    </xf>
    <xf numFmtId="0" fontId="116" fillId="78" borderId="146" xfId="0" applyFont="1" applyFill="1" applyBorder="1"/>
    <xf numFmtId="0" fontId="119" fillId="0" borderId="7" xfId="0" applyFont="1" applyBorder="1"/>
    <xf numFmtId="0" fontId="116" fillId="0" borderId="146" xfId="0" applyFont="1" applyBorder="1" applyAlignment="1">
      <alignment horizontal="left" wrapText="1" indent="2"/>
    </xf>
    <xf numFmtId="0" fontId="116" fillId="0" borderId="146" xfId="0" applyFont="1" applyBorder="1" applyAlignment="1">
      <alignment horizontal="left" wrapText="1"/>
    </xf>
    <xf numFmtId="0" fontId="119" fillId="80" borderId="146" xfId="0" applyFont="1" applyFill="1" applyBorder="1"/>
    <xf numFmtId="0" fontId="116" fillId="0" borderId="14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45"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44" xfId="0" applyFont="1" applyBorder="1" applyAlignment="1">
      <alignment horizontal="center" vertical="center" wrapText="1"/>
    </xf>
    <xf numFmtId="49" fontId="116" fillId="0" borderId="152" xfId="0" applyNumberFormat="1" applyFont="1" applyBorder="1" applyAlignment="1">
      <alignment horizontal="left" wrapText="1" indent="1"/>
    </xf>
    <xf numFmtId="0" fontId="116" fillId="0" borderId="154" xfId="0" applyFont="1" applyBorder="1" applyAlignment="1">
      <alignment horizontal="left" wrapText="1" indent="1"/>
    </xf>
    <xf numFmtId="49" fontId="116" fillId="0" borderId="155" xfId="0" applyNumberFormat="1" applyFont="1" applyBorder="1" applyAlignment="1">
      <alignment horizontal="left" wrapText="1" indent="1"/>
    </xf>
    <xf numFmtId="0" fontId="116" fillId="0" borderId="156" xfId="0" applyFont="1" applyBorder="1" applyAlignment="1">
      <alignment horizontal="left" wrapText="1" indent="1"/>
    </xf>
    <xf numFmtId="49" fontId="116" fillId="0" borderId="156" xfId="0" applyNumberFormat="1" applyFont="1" applyBorder="1" applyAlignment="1">
      <alignment horizontal="left" wrapText="1" indent="3"/>
    </xf>
    <xf numFmtId="49" fontId="116" fillId="0" borderId="155" xfId="0" applyNumberFormat="1" applyFont="1" applyBorder="1" applyAlignment="1">
      <alignment horizontal="left" wrapText="1" indent="3"/>
    </xf>
    <xf numFmtId="49" fontId="116" fillId="0" borderId="156" xfId="0" applyNumberFormat="1" applyFont="1" applyBorder="1" applyAlignment="1">
      <alignment horizontal="left" wrapText="1" indent="2"/>
    </xf>
    <xf numFmtId="49" fontId="116" fillId="0" borderId="155" xfId="0" applyNumberFormat="1" applyFont="1" applyBorder="1" applyAlignment="1">
      <alignment horizontal="left" wrapText="1" indent="2"/>
    </xf>
    <xf numFmtId="49" fontId="116" fillId="0" borderId="155" xfId="0" applyNumberFormat="1" applyFont="1" applyBorder="1" applyAlignment="1">
      <alignment horizontal="left" vertical="top" wrapText="1" indent="2"/>
    </xf>
    <xf numFmtId="49" fontId="116" fillId="0" borderId="155" xfId="0" applyNumberFormat="1" applyFont="1" applyBorder="1" applyAlignment="1">
      <alignment horizontal="left" indent="1"/>
    </xf>
    <xf numFmtId="0" fontId="116" fillId="0" borderId="156" xfId="0" applyFont="1" applyBorder="1" applyAlignment="1">
      <alignment horizontal="left" indent="1"/>
    </xf>
    <xf numFmtId="49" fontId="116" fillId="0" borderId="156" xfId="0" applyNumberFormat="1" applyFont="1" applyBorder="1" applyAlignment="1">
      <alignment horizontal="left" indent="1"/>
    </xf>
    <xf numFmtId="49" fontId="116" fillId="0" borderId="156" xfId="0" applyNumberFormat="1" applyFont="1" applyBorder="1" applyAlignment="1">
      <alignment horizontal="left" indent="3"/>
    </xf>
    <xf numFmtId="49" fontId="116" fillId="0" borderId="155" xfId="0" applyNumberFormat="1" applyFont="1" applyBorder="1" applyAlignment="1">
      <alignment horizontal="left" indent="3"/>
    </xf>
    <xf numFmtId="0" fontId="116" fillId="0" borderId="156" xfId="0" applyFont="1" applyBorder="1" applyAlignment="1">
      <alignment horizontal="left" indent="2"/>
    </xf>
    <xf numFmtId="0" fontId="116" fillId="0" borderId="155" xfId="0" applyFont="1" applyBorder="1" applyAlignment="1">
      <alignment horizontal="left" indent="2"/>
    </xf>
    <xf numFmtId="0" fontId="116" fillId="0" borderId="155"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Alignment="1">
      <alignment horizontal="left"/>
    </xf>
    <xf numFmtId="0" fontId="119" fillId="0" borderId="146" xfId="0" applyFont="1" applyBorder="1" applyAlignment="1">
      <alignment horizontal="left" vertical="center" wrapText="1"/>
    </xf>
    <xf numFmtId="0" fontId="9" fillId="0" borderId="0" xfId="0" applyFont="1" applyAlignment="1">
      <alignment wrapText="1"/>
    </xf>
    <xf numFmtId="0" fontId="119" fillId="0" borderId="14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3" xfId="0" applyFont="1" applyBorder="1" applyAlignment="1">
      <alignment horizontal="left" vertical="center" wrapText="1" indent="1" readingOrder="1"/>
    </xf>
    <xf numFmtId="0" fontId="121" fillId="0" borderId="146" xfId="0" applyFont="1" applyBorder="1" applyAlignment="1">
      <alignment horizontal="left" indent="3"/>
    </xf>
    <xf numFmtId="0" fontId="119" fillId="0" borderId="146" xfId="0" applyFont="1" applyBorder="1" applyAlignment="1">
      <alignment vertical="center" wrapText="1" readingOrder="1"/>
    </xf>
    <xf numFmtId="0" fontId="121" fillId="0" borderId="146" xfId="0" applyFont="1" applyBorder="1" applyAlignment="1">
      <alignment horizontal="left" indent="2"/>
    </xf>
    <xf numFmtId="0" fontId="116" fillId="0" borderId="134" xfId="0" applyFont="1" applyBorder="1" applyAlignment="1">
      <alignment vertical="center" wrapText="1" readingOrder="1"/>
    </xf>
    <xf numFmtId="0" fontId="121" fillId="0" borderId="147" xfId="0" applyFont="1" applyBorder="1" applyAlignment="1">
      <alignment horizontal="left" indent="2"/>
    </xf>
    <xf numFmtId="0" fontId="116" fillId="0" borderId="133" xfId="0" applyFont="1" applyBorder="1" applyAlignment="1">
      <alignment vertical="center" wrapText="1" readingOrder="1"/>
    </xf>
    <xf numFmtId="0" fontId="116" fillId="0" borderId="132" xfId="0" applyFont="1" applyBorder="1" applyAlignment="1">
      <alignment vertical="center" wrapText="1" readingOrder="1"/>
    </xf>
    <xf numFmtId="0" fontId="139" fillId="0" borderId="7" xfId="0" applyFont="1" applyBorder="1"/>
    <xf numFmtId="0" fontId="106" fillId="0" borderId="146" xfId="0" applyFont="1" applyBorder="1" applyAlignment="1">
      <alignment vertical="center" wrapText="1"/>
    </xf>
    <xf numFmtId="0" fontId="106" fillId="0" borderId="146" xfId="0" applyFont="1" applyBorder="1" applyAlignment="1">
      <alignment horizontal="left" vertical="center" wrapText="1"/>
    </xf>
    <xf numFmtId="0" fontId="106" fillId="0" borderId="146" xfId="0" applyFont="1" applyBorder="1" applyAlignment="1">
      <alignment horizontal="left" indent="2"/>
    </xf>
    <xf numFmtId="0" fontId="106" fillId="0" borderId="146" xfId="0" applyFont="1" applyBorder="1" applyAlignment="1">
      <alignment horizontal="left" vertical="center" indent="1"/>
    </xf>
    <xf numFmtId="0" fontId="106" fillId="0" borderId="146" xfId="0" applyFont="1" applyBorder="1" applyAlignment="1">
      <alignment horizontal="left" vertical="center" wrapText="1" indent="1"/>
    </xf>
    <xf numFmtId="0" fontId="106" fillId="0" borderId="146" xfId="0" applyFont="1" applyBorder="1" applyAlignment="1">
      <alignment horizontal="right" vertical="center"/>
    </xf>
    <xf numFmtId="49" fontId="106" fillId="0" borderId="146" xfId="0" applyNumberFormat="1" applyFont="1" applyBorder="1" applyAlignment="1">
      <alignment horizontal="right" vertical="center"/>
    </xf>
    <xf numFmtId="49" fontId="106" fillId="0" borderId="146" xfId="0" applyNumberFormat="1" applyFont="1" applyBorder="1" applyAlignment="1">
      <alignment vertical="top" wrapText="1"/>
    </xf>
    <xf numFmtId="49" fontId="106" fillId="0" borderId="146" xfId="0" applyNumberFormat="1" applyFont="1" applyBorder="1" applyAlignment="1">
      <alignment horizontal="left" vertical="top" wrapText="1" indent="2"/>
    </xf>
    <xf numFmtId="49" fontId="106" fillId="0" borderId="146" xfId="0" applyNumberFormat="1" applyFont="1" applyBorder="1" applyAlignment="1">
      <alignment horizontal="left" vertical="center" wrapText="1" indent="3"/>
    </xf>
    <xf numFmtId="49" fontId="106" fillId="0" borderId="146" xfId="0" applyNumberFormat="1" applyFont="1" applyBorder="1" applyAlignment="1">
      <alignment horizontal="left" wrapText="1" indent="2"/>
    </xf>
    <xf numFmtId="49" fontId="106" fillId="0" borderId="146" xfId="0" applyNumberFormat="1" applyFont="1" applyBorder="1" applyAlignment="1">
      <alignment horizontal="left" vertical="top" wrapText="1"/>
    </xf>
    <xf numFmtId="49" fontId="106" fillId="0" borderId="146" xfId="0" applyNumberFormat="1" applyFont="1" applyBorder="1" applyAlignment="1">
      <alignment horizontal="left" wrapText="1" indent="3"/>
    </xf>
    <xf numFmtId="49" fontId="106" fillId="0" borderId="146" xfId="0" applyNumberFormat="1" applyFont="1" applyBorder="1" applyAlignment="1">
      <alignment vertical="center"/>
    </xf>
    <xf numFmtId="49" fontId="106" fillId="0" borderId="146" xfId="0" applyNumberFormat="1" applyFont="1" applyBorder="1" applyAlignment="1">
      <alignment horizontal="left" indent="3"/>
    </xf>
    <xf numFmtId="0" fontId="106" fillId="0" borderId="146" xfId="0" applyFont="1" applyBorder="1" applyAlignment="1">
      <alignment horizontal="left" indent="1"/>
    </xf>
    <xf numFmtId="0" fontId="106" fillId="0" borderId="146" xfId="0" applyFont="1" applyBorder="1" applyAlignment="1">
      <alignment horizontal="left" wrapText="1" indent="2"/>
    </xf>
    <xf numFmtId="0" fontId="106" fillId="0" borderId="146" xfId="0" applyFont="1" applyBorder="1" applyAlignment="1">
      <alignment horizontal="left" vertical="top" wrapText="1"/>
    </xf>
    <xf numFmtId="0" fontId="105" fillId="0" borderId="7" xfId="0" applyFont="1" applyBorder="1" applyAlignment="1">
      <alignment wrapText="1"/>
    </xf>
    <xf numFmtId="0" fontId="106" fillId="0" borderId="146" xfId="0" applyFont="1" applyBorder="1" applyAlignment="1">
      <alignment horizontal="left" vertical="top" wrapText="1" indent="2"/>
    </xf>
    <xf numFmtId="0" fontId="106" fillId="0" borderId="146" xfId="0" applyFont="1" applyBorder="1" applyAlignment="1">
      <alignment horizontal="left" wrapText="1"/>
    </xf>
    <xf numFmtId="0" fontId="106" fillId="0" borderId="146" xfId="12672" applyFont="1" applyBorder="1" applyAlignment="1">
      <alignment horizontal="left" vertical="center" wrapText="1" indent="2"/>
    </xf>
    <xf numFmtId="0" fontId="106" fillId="0" borderId="146" xfId="0" applyFont="1" applyBorder="1" applyAlignment="1">
      <alignment wrapText="1"/>
    </xf>
    <xf numFmtId="0" fontId="106" fillId="0" borderId="146" xfId="0" applyFont="1" applyBorder="1"/>
    <xf numFmtId="0" fontId="106" fillId="0" borderId="146" xfId="12672" applyFont="1" applyBorder="1" applyAlignment="1">
      <alignment horizontal="left" vertical="center" wrapText="1"/>
    </xf>
    <xf numFmtId="0" fontId="105" fillId="0" borderId="146" xfId="0" applyFont="1" applyBorder="1" applyAlignment="1">
      <alignment wrapText="1"/>
    </xf>
    <xf numFmtId="0" fontId="106" fillId="0" borderId="148" xfId="0" applyFont="1" applyBorder="1" applyAlignment="1">
      <alignment horizontal="left" vertical="center" wrapText="1"/>
    </xf>
    <xf numFmtId="0" fontId="106" fillId="3" borderId="146" xfId="5" applyFont="1" applyFill="1" applyBorder="1" applyAlignment="1" applyProtection="1">
      <alignment horizontal="right" vertical="center"/>
      <protection locked="0"/>
    </xf>
    <xf numFmtId="2" fontId="106" fillId="3" borderId="146" xfId="5" applyNumberFormat="1" applyFont="1" applyFill="1" applyBorder="1" applyAlignment="1" applyProtection="1">
      <alignment horizontal="right" vertical="center"/>
      <protection locked="0"/>
    </xf>
    <xf numFmtId="0" fontId="106" fillId="0" borderId="146" xfId="0" applyFont="1" applyBorder="1" applyAlignment="1">
      <alignment vertical="center"/>
    </xf>
    <xf numFmtId="0" fontId="106" fillId="0" borderId="148" xfId="13" applyFont="1" applyBorder="1" applyAlignment="1" applyProtection="1">
      <alignment horizontal="left" vertical="top" wrapText="1"/>
      <protection locked="0"/>
    </xf>
    <xf numFmtId="0" fontId="106" fillId="0" borderId="149" xfId="13" applyFont="1" applyBorder="1" applyAlignment="1" applyProtection="1">
      <alignment horizontal="left" vertical="top" wrapText="1"/>
      <protection locked="0"/>
    </xf>
    <xf numFmtId="0" fontId="106" fillId="0" borderId="147" xfId="0" applyFont="1" applyBorder="1" applyAlignment="1">
      <alignment vertical="center" wrapText="1"/>
    </xf>
    <xf numFmtId="0" fontId="125" fillId="0" borderId="0" xfId="0" applyFont="1" applyAlignment="1">
      <alignment horizontal="left" indent="2"/>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25" fillId="0" borderId="0" xfId="0" applyFont="1" applyAlignment="1">
      <alignment horizontal="left" vertical="center" wrapText="1"/>
    </xf>
    <xf numFmtId="0" fontId="116" fillId="0" borderId="0" xfId="0" applyFont="1" applyAlignment="1">
      <alignment horizontal="left" vertical="center" wrapText="1"/>
    </xf>
    <xf numFmtId="0" fontId="106" fillId="0" borderId="147" xfId="0" applyFont="1" applyBorder="1" applyAlignment="1">
      <alignment horizontal="left" indent="2"/>
    </xf>
    <xf numFmtId="0" fontId="106" fillId="0" borderId="134" xfId="0" applyFont="1" applyBorder="1" applyAlignment="1">
      <alignment horizontal="left" vertical="center" wrapText="1" readingOrder="1"/>
    </xf>
    <xf numFmtId="0" fontId="106" fillId="0" borderId="146" xfId="0" applyFont="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8" xfId="17" applyFill="1" applyBorder="1" applyAlignment="1" applyProtection="1">
      <alignment horizontal="left" vertical="top" wrapText="1"/>
    </xf>
    <xf numFmtId="0" fontId="106" fillId="0" borderId="0" xfId="0" applyFont="1" applyAlignment="1">
      <alignment wrapText="1"/>
    </xf>
    <xf numFmtId="0" fontId="142" fillId="0" borderId="0" xfId="0" applyFont="1"/>
    <xf numFmtId="0" fontId="143" fillId="0" borderId="0" xfId="0" applyFont="1" applyAlignment="1">
      <alignment vertical="top"/>
    </xf>
    <xf numFmtId="0" fontId="143" fillId="0" borderId="0" xfId="0" applyFont="1" applyAlignment="1">
      <alignment vertical="top" wrapText="1"/>
    </xf>
    <xf numFmtId="0" fontId="150" fillId="0" borderId="0" xfId="0" applyFont="1" applyAlignment="1">
      <alignment vertical="top" wrapText="1"/>
    </xf>
    <xf numFmtId="0" fontId="7" fillId="0" borderId="0" xfId="11" applyFont="1"/>
    <xf numFmtId="0" fontId="149" fillId="0" borderId="0" xfId="11" applyFont="1"/>
    <xf numFmtId="0" fontId="144" fillId="82" borderId="146" xfId="0" applyFont="1" applyFill="1" applyBorder="1" applyAlignment="1">
      <alignment horizontal="left" vertical="center"/>
    </xf>
    <xf numFmtId="49" fontId="145" fillId="0" borderId="146" xfId="0" applyNumberFormat="1" applyFont="1" applyBorder="1" applyAlignment="1">
      <alignment horizontal="left" vertical="center"/>
    </xf>
    <xf numFmtId="0" fontId="145" fillId="0" borderId="146" xfId="0" applyFont="1" applyBorder="1" applyAlignment="1">
      <alignment horizontal="left" vertical="center"/>
    </xf>
    <xf numFmtId="0" fontId="144" fillId="0" borderId="146" xfId="0" applyFont="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5" xfId="7" applyNumberFormat="1" applyFont="1" applyFill="1" applyBorder="1" applyAlignment="1">
      <alignment horizontal="left" vertical="center"/>
    </xf>
    <xf numFmtId="194" fontId="145" fillId="0" borderId="155" xfId="7" applyNumberFormat="1" applyFont="1" applyFill="1" applyBorder="1" applyAlignment="1">
      <alignment horizontal="left" vertical="center"/>
    </xf>
    <xf numFmtId="10" fontId="7" fillId="0" borderId="155" xfId="0" applyNumberFormat="1" applyFont="1" applyBorder="1" applyAlignment="1">
      <alignment horizontal="right" vertical="center" wrapText="1"/>
    </xf>
    <xf numFmtId="0" fontId="148" fillId="84" borderId="153" xfId="0" applyFont="1" applyFill="1" applyBorder="1" applyAlignment="1">
      <alignment horizontal="left" vertical="center"/>
    </xf>
    <xf numFmtId="10" fontId="149"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lignment horizontal="center" vertical="center" wrapText="1"/>
    </xf>
    <xf numFmtId="0" fontId="6" fillId="86" borderId="146" xfId="0" applyFont="1" applyFill="1" applyBorder="1" applyAlignment="1">
      <alignment vertical="center" wrapText="1"/>
    </xf>
    <xf numFmtId="194" fontId="6" fillId="86" borderId="146" xfId="7" applyNumberFormat="1" applyFont="1" applyFill="1" applyBorder="1" applyAlignment="1">
      <alignment vertical="center"/>
    </xf>
    <xf numFmtId="194" fontId="6" fillId="86" borderId="155" xfId="7" applyNumberFormat="1" applyFont="1" applyFill="1" applyBorder="1" applyAlignment="1">
      <alignment vertical="center"/>
    </xf>
    <xf numFmtId="0" fontId="145" fillId="82" borderId="146" xfId="0" applyFont="1" applyFill="1" applyBorder="1" applyAlignment="1">
      <alignment horizontal="left" vertical="center" wrapText="1" indent="3"/>
    </xf>
    <xf numFmtId="194" fontId="6" fillId="35" borderId="146" xfId="7" applyNumberFormat="1" applyFont="1" applyFill="1" applyBorder="1" applyAlignment="1">
      <alignment vertical="center"/>
    </xf>
    <xf numFmtId="0" fontId="152" fillId="82" borderId="146" xfId="0" applyFont="1" applyFill="1" applyBorder="1" applyAlignment="1">
      <alignment horizontal="left" vertical="center" wrapText="1" indent="5"/>
    </xf>
    <xf numFmtId="0" fontId="153" fillId="83" borderId="146" xfId="0" applyFont="1" applyFill="1" applyBorder="1" applyAlignment="1">
      <alignment horizontal="left" vertical="center" wrapText="1" indent="1"/>
    </xf>
    <xf numFmtId="194" fontId="153" fillId="83" borderId="146" xfId="7" applyNumberFormat="1" applyFont="1" applyFill="1" applyBorder="1" applyAlignment="1">
      <alignment vertical="center"/>
    </xf>
    <xf numFmtId="194" fontId="153" fillId="84" borderId="155" xfId="7" applyNumberFormat="1" applyFont="1" applyFill="1" applyBorder="1" applyAlignment="1">
      <alignment vertical="center"/>
    </xf>
    <xf numFmtId="194" fontId="154" fillId="82" borderId="146" xfId="7" applyNumberFormat="1" applyFont="1" applyFill="1" applyBorder="1" applyAlignment="1">
      <alignment vertical="center"/>
    </xf>
    <xf numFmtId="194" fontId="154" fillId="84" borderId="155" xfId="7" applyNumberFormat="1" applyFont="1" applyFill="1" applyBorder="1" applyAlignment="1">
      <alignment vertical="center"/>
    </xf>
    <xf numFmtId="0" fontId="152" fillId="82" borderId="153" xfId="0" applyFont="1" applyFill="1" applyBorder="1" applyAlignment="1">
      <alignment horizontal="left" vertical="center" wrapText="1" indent="5"/>
    </xf>
    <xf numFmtId="194" fontId="154" fillId="82" borderId="153" xfId="7" applyNumberFormat="1" applyFont="1" applyFill="1" applyBorder="1" applyAlignment="1">
      <alignment vertical="center"/>
    </xf>
    <xf numFmtId="194" fontId="154" fillId="84" borderId="152" xfId="7" applyNumberFormat="1" applyFont="1" applyFill="1" applyBorder="1" applyAlignment="1">
      <alignment vertical="center"/>
    </xf>
    <xf numFmtId="0" fontId="7" fillId="0" borderId="146" xfId="13" applyFont="1" applyBorder="1" applyAlignment="1" applyProtection="1">
      <alignment wrapText="1"/>
      <protection locked="0"/>
    </xf>
    <xf numFmtId="0" fontId="7" fillId="0" borderId="3" xfId="13" applyFont="1" applyBorder="1" applyAlignment="1" applyProtection="1">
      <alignment vertical="center" wrapText="1"/>
      <protection locked="0"/>
    </xf>
    <xf numFmtId="49" fontId="155" fillId="0" borderId="98" xfId="0" applyNumberFormat="1" applyFont="1" applyBorder="1" applyAlignment="1">
      <alignment horizontal="right" vertical="center"/>
    </xf>
    <xf numFmtId="0" fontId="155" fillId="0" borderId="146" xfId="12672" applyFont="1" applyBorder="1" applyAlignment="1">
      <alignment horizontal="left" vertical="center" wrapText="1"/>
    </xf>
    <xf numFmtId="0" fontId="155" fillId="0" borderId="147" xfId="0" applyFont="1" applyBorder="1" applyAlignment="1">
      <alignment horizontal="left" vertical="top" wrapText="1"/>
    </xf>
    <xf numFmtId="0" fontId="155" fillId="0" borderId="146" xfId="0" applyFont="1" applyBorder="1" applyAlignment="1">
      <alignment vertical="center" wrapText="1"/>
    </xf>
    <xf numFmtId="0" fontId="132" fillId="0" borderId="146" xfId="21414" applyFont="1" applyBorder="1" applyAlignment="1">
      <alignment horizontal="left" vertical="center" wrapText="1"/>
    </xf>
    <xf numFmtId="0" fontId="0" fillId="0" borderId="146" xfId="0" applyBorder="1"/>
    <xf numFmtId="193" fontId="9" fillId="0" borderId="146" xfId="0" applyNumberFormat="1" applyFont="1" applyBorder="1" applyAlignment="1">
      <alignment horizontal="right"/>
    </xf>
    <xf numFmtId="0" fontId="4" fillId="0" borderId="146" xfId="0" applyFont="1" applyBorder="1"/>
    <xf numFmtId="0" fontId="11" fillId="0" borderId="146" xfId="17" applyFill="1" applyBorder="1" applyAlignment="1" applyProtection="1"/>
    <xf numFmtId="0" fontId="139" fillId="3" borderId="146" xfId="5" applyFont="1" applyFill="1" applyBorder="1" applyProtection="1">
      <protection locked="0"/>
    </xf>
    <xf numFmtId="0" fontId="139" fillId="0" borderId="146" xfId="21416" applyFont="1" applyBorder="1" applyAlignment="1" applyProtection="1">
      <alignment horizontal="center" vertical="top" wrapText="1"/>
      <protection locked="0"/>
    </xf>
    <xf numFmtId="0" fontId="156" fillId="3" borderId="146" xfId="21416" applyFont="1" applyFill="1" applyBorder="1" applyAlignment="1" applyProtection="1">
      <alignment wrapText="1"/>
      <protection locked="0"/>
    </xf>
    <xf numFmtId="3" fontId="139" fillId="80" borderId="146" xfId="5" applyNumberFormat="1" applyFont="1" applyFill="1" applyBorder="1"/>
    <xf numFmtId="0" fontId="137" fillId="3" borderId="146" xfId="21416" applyFont="1" applyFill="1" applyBorder="1" applyAlignment="1" applyProtection="1">
      <alignment horizontal="right" wrapText="1"/>
      <protection locked="0"/>
    </xf>
    <xf numFmtId="3" fontId="139" fillId="0" borderId="146" xfId="5" applyNumberFormat="1" applyFont="1" applyBorder="1"/>
    <xf numFmtId="0" fontId="157" fillId="0" borderId="0" xfId="21415" applyFont="1" applyAlignment="1" applyProtection="1">
      <alignment vertical="center"/>
      <protection locked="0"/>
    </xf>
    <xf numFmtId="0" fontId="112" fillId="76" borderId="149" xfId="21412" applyFont="1" applyFill="1" applyBorder="1" applyAlignment="1" applyProtection="1">
      <alignment vertical="center" wrapText="1"/>
      <protection locked="0"/>
    </xf>
    <xf numFmtId="0" fontId="62" fillId="76" borderId="148" xfId="21412" applyFont="1" applyFill="1" applyBorder="1" applyProtection="1">
      <alignment vertical="center"/>
      <protection locked="0"/>
    </xf>
    <xf numFmtId="0" fontId="113" fillId="69" borderId="147" xfId="21412" applyFont="1" applyFill="1" applyBorder="1" applyAlignment="1" applyProtection="1">
      <alignment horizontal="center" vertical="center"/>
      <protection locked="0"/>
    </xf>
    <xf numFmtId="0" fontId="113" fillId="0" borderId="148" xfId="21412" applyFont="1" applyBorder="1" applyAlignment="1" applyProtection="1">
      <alignment horizontal="left" vertical="center" wrapText="1"/>
      <protection locked="0"/>
    </xf>
    <xf numFmtId="164" fontId="113" fillId="0" borderId="146" xfId="948" applyNumberFormat="1" applyFont="1" applyFill="1" applyBorder="1" applyAlignment="1" applyProtection="1">
      <alignment horizontal="right" vertical="center"/>
      <protection locked="0"/>
    </xf>
    <xf numFmtId="0" fontId="112"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top" wrapText="1"/>
      <protection locked="0"/>
    </xf>
    <xf numFmtId="164" fontId="113" fillId="77" borderId="146" xfId="948" applyNumberFormat="1" applyFont="1" applyFill="1" applyBorder="1" applyAlignment="1" applyProtection="1">
      <alignment horizontal="right" vertical="center"/>
    </xf>
    <xf numFmtId="0" fontId="112" fillId="76" borderId="149" xfId="21412" applyFont="1" applyFill="1" applyBorder="1" applyProtection="1">
      <alignment vertical="center"/>
      <protection locked="0"/>
    </xf>
    <xf numFmtId="164" fontId="62" fillId="76" borderId="148" xfId="948" applyNumberFormat="1" applyFont="1" applyFill="1" applyBorder="1" applyAlignment="1" applyProtection="1">
      <alignment horizontal="right" vertical="center"/>
      <protection locked="0"/>
    </xf>
    <xf numFmtId="0" fontId="114" fillId="69" borderId="147" xfId="21412" applyFont="1" applyFill="1" applyBorder="1" applyAlignment="1" applyProtection="1">
      <alignment horizontal="center" vertical="center"/>
      <protection locked="0"/>
    </xf>
    <xf numFmtId="0" fontId="113" fillId="69" borderId="146" xfId="21412" applyFont="1" applyFill="1" applyBorder="1" applyAlignment="1" applyProtection="1">
      <alignment vertical="center" wrapText="1"/>
      <protection locked="0"/>
    </xf>
    <xf numFmtId="0" fontId="113" fillId="69" borderId="146" xfId="21412" applyFont="1" applyFill="1" applyBorder="1" applyAlignment="1" applyProtection="1">
      <alignment horizontal="left" vertical="center" wrapText="1"/>
      <protection locked="0"/>
    </xf>
    <xf numFmtId="0" fontId="113" fillId="0" borderId="146" xfId="21412" applyFont="1" applyBorder="1" applyAlignment="1" applyProtection="1">
      <alignment horizontal="left" vertical="center" wrapText="1"/>
      <protection locked="0"/>
    </xf>
    <xf numFmtId="0" fontId="114" fillId="3" borderId="147" xfId="21412" applyFont="1" applyFill="1" applyBorder="1" applyAlignment="1" applyProtection="1">
      <alignment horizontal="center" vertical="center"/>
      <protection locked="0"/>
    </xf>
    <xf numFmtId="0" fontId="113" fillId="0" borderId="146" xfId="21412" applyFont="1" applyBorder="1" applyAlignment="1" applyProtection="1">
      <alignment vertical="center" wrapText="1"/>
      <protection locked="0"/>
    </xf>
    <xf numFmtId="0" fontId="115" fillId="77" borderId="146" xfId="21412" applyFont="1" applyFill="1" applyBorder="1" applyAlignment="1" applyProtection="1">
      <alignment horizontal="center" vertical="center"/>
      <protection locked="0"/>
    </xf>
    <xf numFmtId="0" fontId="112" fillId="77" borderId="148" xfId="21412" applyFont="1" applyFill="1" applyBorder="1" applyAlignment="1" applyProtection="1">
      <alignment vertical="center" wrapText="1"/>
      <protection locked="0"/>
    </xf>
    <xf numFmtId="164" fontId="112" fillId="76" borderId="148" xfId="948" applyNumberFormat="1" applyFont="1" applyFill="1" applyBorder="1" applyAlignment="1" applyProtection="1">
      <alignment horizontal="right" vertical="center"/>
      <protection locked="0"/>
    </xf>
    <xf numFmtId="0" fontId="113" fillId="69" borderId="148" xfId="21412" applyFont="1" applyFill="1" applyBorder="1" applyAlignment="1" applyProtection="1">
      <alignment vertical="center" wrapText="1"/>
      <protection locked="0"/>
    </xf>
    <xf numFmtId="0" fontId="62" fillId="76" borderId="149" xfId="21412" applyFont="1" applyFill="1" applyBorder="1" applyProtection="1">
      <alignment vertical="center"/>
      <protection locked="0"/>
    </xf>
    <xf numFmtId="164" fontId="113" fillId="3" borderId="146" xfId="948" applyNumberFormat="1" applyFont="1" applyFill="1" applyBorder="1" applyAlignment="1" applyProtection="1">
      <alignment horizontal="right" vertical="center"/>
      <protection locked="0"/>
    </xf>
    <xf numFmtId="0" fontId="114" fillId="3" borderId="146" xfId="21412" applyFont="1" applyFill="1" applyBorder="1" applyAlignment="1" applyProtection="1">
      <alignment horizontal="center" vertical="center"/>
      <protection locked="0"/>
    </xf>
    <xf numFmtId="0" fontId="113" fillId="69" borderId="148" xfId="21412" applyFont="1" applyFill="1" applyBorder="1" applyAlignment="1" applyProtection="1">
      <alignment horizontal="left" vertical="center" wrapText="1"/>
      <protection locked="0"/>
    </xf>
    <xf numFmtId="0" fontId="156" fillId="3" borderId="0" xfId="21415" applyFont="1" applyFill="1" applyAlignment="1" applyProtection="1">
      <alignment vertical="center"/>
      <protection locked="0"/>
    </xf>
    <xf numFmtId="0" fontId="139" fillId="3" borderId="146" xfId="5" applyFont="1" applyFill="1" applyBorder="1" applyAlignment="1" applyProtection="1">
      <alignment vertical="center" wrapText="1"/>
      <protection locked="0"/>
    </xf>
    <xf numFmtId="0" fontId="139" fillId="0" borderId="146" xfId="21416" applyFont="1" applyBorder="1" applyAlignment="1" applyProtection="1">
      <alignment horizontal="center" vertical="center" wrapText="1"/>
      <protection locked="0"/>
    </xf>
    <xf numFmtId="3" fontId="139" fillId="3" borderId="146" xfId="1" applyNumberFormat="1" applyFont="1" applyFill="1" applyBorder="1" applyAlignment="1" applyProtection="1">
      <alignment horizontal="center" vertical="center" wrapText="1"/>
      <protection locked="0"/>
    </xf>
    <xf numFmtId="9" fontId="139" fillId="3" borderId="146" xfId="15" applyNumberFormat="1" applyFont="1" applyFill="1" applyBorder="1" applyAlignment="1" applyProtection="1">
      <alignment horizontal="center" vertical="center" wrapText="1"/>
      <protection locked="0"/>
    </xf>
    <xf numFmtId="0" fontId="139" fillId="3" borderId="146" xfId="21416" applyFont="1" applyFill="1" applyBorder="1" applyAlignment="1" applyProtection="1">
      <alignment horizontal="center" vertical="center" wrapText="1"/>
      <protection locked="0"/>
    </xf>
    <xf numFmtId="0" fontId="156" fillId="3" borderId="146" xfId="21416" applyFont="1" applyFill="1" applyBorder="1" applyProtection="1">
      <protection locked="0"/>
    </xf>
    <xf numFmtId="0" fontId="159" fillId="3" borderId="146" xfId="21416" applyFont="1" applyFill="1" applyBorder="1" applyAlignment="1" applyProtection="1">
      <alignment horizontal="right"/>
      <protection locked="0"/>
    </xf>
    <xf numFmtId="195" fontId="139" fillId="80" borderId="146" xfId="5" applyNumberFormat="1" applyFont="1" applyFill="1" applyBorder="1" applyProtection="1">
      <protection locked="0"/>
    </xf>
    <xf numFmtId="164" fontId="139" fillId="80" borderId="146" xfId="1" applyNumberFormat="1" applyFont="1" applyFill="1" applyBorder="1" applyAlignment="1" applyProtection="1"/>
    <xf numFmtId="0" fontId="139" fillId="3" borderId="146" xfId="21416" applyFont="1" applyFill="1" applyBorder="1" applyAlignment="1" applyProtection="1">
      <alignment horizontal="left" vertical="center"/>
      <protection locked="0"/>
    </xf>
    <xf numFmtId="3" fontId="139" fillId="3" borderId="146" xfId="5" applyNumberFormat="1" applyFont="1" applyFill="1" applyBorder="1" applyProtection="1">
      <protection locked="0"/>
    </xf>
    <xf numFmtId="0" fontId="137" fillId="3" borderId="146" xfId="21416" applyFont="1" applyFill="1" applyBorder="1" applyAlignment="1" applyProtection="1">
      <alignment horizontal="right"/>
      <protection locked="0"/>
    </xf>
    <xf numFmtId="0" fontId="139" fillId="0" borderId="146" xfId="21416" applyFont="1" applyBorder="1" applyAlignment="1" applyProtection="1">
      <alignment horizontal="left" vertical="center"/>
      <protection locked="0"/>
    </xf>
    <xf numFmtId="0" fontId="156" fillId="3" borderId="146" xfId="16" applyFont="1" applyFill="1" applyBorder="1" applyProtection="1">
      <protection locked="0"/>
    </xf>
    <xf numFmtId="3" fontId="156" fillId="76" borderId="146" xfId="16" applyNumberFormat="1" applyFont="1" applyFill="1" applyBorder="1"/>
    <xf numFmtId="0" fontId="163" fillId="0" borderId="0" xfId="0" applyFont="1" applyAlignment="1">
      <alignment horizontal="left" vertical="center" wrapText="1"/>
    </xf>
    <xf numFmtId="193" fontId="7" fillId="0" borderId="146" xfId="0" applyNumberFormat="1" applyFont="1" applyBorder="1" applyAlignment="1" applyProtection="1">
      <alignment vertical="center" wrapText="1"/>
      <protection locked="0"/>
    </xf>
    <xf numFmtId="193" fontId="4" fillId="0" borderId="146" xfId="0" applyNumberFormat="1" applyFont="1" applyBorder="1" applyAlignment="1" applyProtection="1">
      <alignment vertical="center" wrapText="1"/>
      <protection locked="0"/>
    </xf>
    <xf numFmtId="193" fontId="7" fillId="0" borderId="146" xfId="0" applyNumberFormat="1" applyFont="1" applyBorder="1" applyAlignment="1" applyProtection="1">
      <alignment horizontal="righ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87" borderId="146" xfId="20961" applyNumberFormat="1" applyFont="1" applyFill="1" applyBorder="1" applyAlignment="1" applyProtection="1">
      <alignment horizontal="right" vertical="center" wrapText="1"/>
      <protection locked="0"/>
    </xf>
    <xf numFmtId="10" fontId="4" fillId="87" borderId="146" xfId="20961" applyNumberFormat="1" applyFont="1" applyFill="1" applyBorder="1" applyAlignment="1" applyProtection="1">
      <alignment vertical="center" wrapText="1"/>
      <protection locked="0"/>
    </xf>
    <xf numFmtId="10" fontId="9" fillId="2" borderId="146" xfId="20961" applyNumberFormat="1" applyFont="1" applyFill="1" applyBorder="1" applyAlignment="1" applyProtection="1">
      <alignment vertical="center"/>
      <protection locked="0"/>
    </xf>
    <xf numFmtId="10" fontId="17" fillId="2" borderId="146" xfId="20961" applyNumberFormat="1" applyFont="1" applyFill="1" applyBorder="1" applyAlignment="1" applyProtection="1">
      <alignment vertical="center"/>
      <protection locked="0"/>
    </xf>
    <xf numFmtId="193" fontId="9" fillId="0" borderId="146" xfId="0" applyNumberFormat="1" applyFont="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17" fillId="2" borderId="146" xfId="0" applyNumberFormat="1" applyFont="1" applyFill="1" applyBorder="1" applyAlignment="1" applyProtection="1">
      <alignment vertical="center"/>
      <protection locked="0"/>
    </xf>
    <xf numFmtId="10" fontId="9" fillId="0" borderId="146" xfId="20961" applyNumberFormat="1" applyFont="1" applyFill="1" applyBorder="1" applyAlignment="1" applyProtection="1">
      <alignment vertical="center"/>
      <protection locked="0"/>
    </xf>
    <xf numFmtId="193" fontId="9" fillId="2" borderId="147"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10" fontId="9" fillId="2" borderId="153" xfId="20961" applyNumberFormat="1" applyFont="1" applyFill="1" applyBorder="1" applyAlignment="1" applyProtection="1">
      <alignment vertical="center"/>
      <protection locked="0"/>
    </xf>
    <xf numFmtId="10" fontId="17" fillId="2" borderId="153" xfId="20961" applyNumberFormat="1" applyFont="1" applyFill="1" applyBorder="1" applyAlignment="1" applyProtection="1">
      <alignment vertical="center"/>
      <protection locked="0"/>
    </xf>
    <xf numFmtId="164" fontId="0" fillId="0" borderId="146" xfId="7" applyNumberFormat="1" applyFont="1" applyBorder="1"/>
    <xf numFmtId="43" fontId="3" fillId="0" borderId="98" xfId="7" applyFont="1" applyBorder="1"/>
    <xf numFmtId="164" fontId="3" fillId="0" borderId="98" xfId="7" applyNumberFormat="1" applyFont="1" applyBorder="1"/>
    <xf numFmtId="164" fontId="0" fillId="35" borderId="98" xfId="7" applyNumberFormat="1" applyFont="1" applyFill="1" applyBorder="1"/>
    <xf numFmtId="164" fontId="0" fillId="35" borderId="98" xfId="7" applyNumberFormat="1" applyFont="1" applyFill="1" applyBorder="1" applyAlignment="1">
      <alignment vertical="center"/>
    </xf>
    <xf numFmtId="164" fontId="0" fillId="35" borderId="138" xfId="7" applyNumberFormat="1" applyFont="1" applyFill="1" applyBorder="1"/>
    <xf numFmtId="164" fontId="0" fillId="0" borderId="98" xfId="7" applyNumberFormat="1" applyFont="1" applyBorder="1"/>
    <xf numFmtId="164" fontId="0" fillId="0" borderId="138" xfId="7" applyNumberFormat="1" applyFont="1" applyBorder="1"/>
    <xf numFmtId="164" fontId="3" fillId="0" borderId="146" xfId="7" applyNumberFormat="1" applyFont="1" applyBorder="1"/>
    <xf numFmtId="164" fontId="3" fillId="0" borderId="138" xfId="7" applyNumberFormat="1" applyFont="1" applyBorder="1"/>
    <xf numFmtId="164" fontId="3" fillId="0" borderId="98" xfId="7" applyNumberFormat="1" applyFont="1" applyBorder="1" applyAlignment="1">
      <alignment vertical="center"/>
    </xf>
    <xf numFmtId="193" fontId="10" fillId="0" borderId="146" xfId="0" applyNumberFormat="1" applyFont="1" applyBorder="1" applyAlignment="1">
      <alignment horizontal="right"/>
    </xf>
    <xf numFmtId="164" fontId="9" fillId="35" borderId="112" xfId="7" applyNumberFormat="1" applyFont="1" applyFill="1" applyBorder="1" applyAlignment="1">
      <alignment horizontal="right"/>
    </xf>
    <xf numFmtId="3" fontId="21" fillId="0" borderId="146" xfId="0" applyNumberFormat="1" applyFont="1" applyBorder="1" applyAlignment="1">
      <alignment vertical="center" wrapText="1"/>
    </xf>
    <xf numFmtId="3" fontId="21" fillId="0" borderId="149" xfId="0" applyNumberFormat="1" applyFont="1" applyBorder="1" applyAlignment="1">
      <alignment vertical="center" wrapText="1"/>
    </xf>
    <xf numFmtId="0" fontId="9" fillId="0" borderId="156" xfId="0" applyFont="1" applyBorder="1" applyAlignment="1">
      <alignment vertical="center"/>
    </xf>
    <xf numFmtId="0" fontId="13" fillId="0" borderId="149" xfId="0" applyFont="1" applyBorder="1" applyAlignment="1">
      <alignment wrapText="1"/>
    </xf>
    <xf numFmtId="10" fontId="4" fillId="0" borderId="155" xfId="20961" applyNumberFormat="1" applyFont="1" applyBorder="1"/>
    <xf numFmtId="10" fontId="0" fillId="0" borderId="0" xfId="20961" applyNumberFormat="1" applyFont="1"/>
    <xf numFmtId="10" fontId="4" fillId="87" borderId="98" xfId="20961" applyNumberFormat="1" applyFont="1" applyFill="1" applyBorder="1" applyAlignment="1" applyProtection="1">
      <alignment horizontal="right" vertical="center" wrapText="1"/>
      <protection locked="0"/>
    </xf>
    <xf numFmtId="10" fontId="9" fillId="2" borderId="98"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64" fontId="4" fillId="0" borderId="138" xfId="7" applyNumberFormat="1" applyFont="1" applyFill="1" applyBorder="1" applyAlignment="1">
      <alignment vertical="center" wrapText="1"/>
    </xf>
    <xf numFmtId="164" fontId="4" fillId="0" borderId="138" xfId="7" applyNumberFormat="1" applyFont="1" applyBorder="1" applyAlignment="1">
      <alignment vertical="center"/>
    </xf>
    <xf numFmtId="164" fontId="6" fillId="0" borderId="138" xfId="7" applyNumberFormat="1" applyFont="1" applyFill="1" applyBorder="1" applyAlignment="1">
      <alignment vertical="center" wrapText="1"/>
    </xf>
    <xf numFmtId="164" fontId="6" fillId="0" borderId="138" xfId="7" applyNumberFormat="1" applyFont="1" applyBorder="1" applyAlignment="1">
      <alignment vertical="center"/>
    </xf>
    <xf numFmtId="164" fontId="6" fillId="0" borderId="98" xfId="7" applyNumberFormat="1" applyFont="1" applyBorder="1" applyAlignment="1">
      <alignment vertical="center"/>
    </xf>
    <xf numFmtId="193" fontId="0" fillId="0" borderId="0" xfId="0" applyNumberFormat="1"/>
    <xf numFmtId="164" fontId="4"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9" fillId="0" borderId="112" xfId="7" applyNumberFormat="1" applyFont="1" applyBorder="1" applyAlignment="1">
      <alignment horizontal="right" vertical="center" wrapText="1"/>
    </xf>
    <xf numFmtId="164" fontId="6" fillId="35" borderId="112" xfId="7" applyNumberFormat="1" applyFont="1" applyFill="1" applyBorder="1" applyAlignment="1">
      <alignment horizontal="center" vertical="center" wrapText="1"/>
    </xf>
    <xf numFmtId="0" fontId="23" fillId="0" borderId="146" xfId="0" applyFont="1" applyBorder="1"/>
    <xf numFmtId="164" fontId="4" fillId="0" borderId="3" xfId="7" applyNumberFormat="1" applyFont="1" applyBorder="1"/>
    <xf numFmtId="164" fontId="4" fillId="35" borderId="24" xfId="7" applyNumberFormat="1" applyFont="1" applyFill="1" applyBorder="1"/>
    <xf numFmtId="193" fontId="4" fillId="0" borderId="0" xfId="0" applyNumberFormat="1" applyFont="1"/>
    <xf numFmtId="164" fontId="4" fillId="0" borderId="99" xfId="7" applyNumberFormat="1" applyFont="1" applyBorder="1" applyAlignment="1">
      <alignment vertical="center"/>
    </xf>
    <xf numFmtId="164" fontId="4" fillId="0" borderId="112" xfId="7" applyNumberFormat="1" applyFont="1" applyBorder="1" applyAlignment="1">
      <alignment vertical="center"/>
    </xf>
    <xf numFmtId="164" fontId="4" fillId="3" borderId="96" xfId="7" applyNumberFormat="1" applyFont="1" applyFill="1" applyBorder="1" applyAlignment="1">
      <alignment vertical="center"/>
    </xf>
    <xf numFmtId="164" fontId="4" fillId="3" borderId="21" xfId="7" applyNumberFormat="1" applyFont="1" applyFill="1" applyBorder="1" applyAlignment="1">
      <alignment vertical="center"/>
    </xf>
    <xf numFmtId="164" fontId="4" fillId="0" borderId="23" xfId="7" applyNumberFormat="1" applyFont="1" applyBorder="1" applyAlignment="1">
      <alignment vertical="center"/>
    </xf>
    <xf numFmtId="164" fontId="4" fillId="0" borderId="25" xfId="7" applyNumberFormat="1" applyFont="1" applyBorder="1" applyAlignment="1">
      <alignment vertical="center"/>
    </xf>
    <xf numFmtId="164" fontId="6" fillId="0" borderId="99" xfId="7" applyNumberFormat="1" applyFont="1" applyBorder="1" applyAlignment="1">
      <alignment vertical="center"/>
    </xf>
    <xf numFmtId="164" fontId="6" fillId="0" borderId="23" xfId="7" applyNumberFormat="1" applyFont="1" applyBorder="1" applyAlignment="1">
      <alignment vertical="center"/>
    </xf>
    <xf numFmtId="164" fontId="6" fillId="0" borderId="25" xfId="7" applyNumberFormat="1" applyFont="1" applyBorder="1" applyAlignment="1">
      <alignment vertical="center"/>
    </xf>
    <xf numFmtId="164" fontId="4" fillId="0" borderId="53" xfId="7" applyNumberFormat="1" applyFont="1" applyBorder="1" applyAlignment="1">
      <alignment vertical="center"/>
    </xf>
    <xf numFmtId="164" fontId="6" fillId="0" borderId="64" xfId="7" applyNumberFormat="1" applyFont="1" applyBorder="1" applyAlignment="1">
      <alignment vertical="center"/>
    </xf>
    <xf numFmtId="164" fontId="6" fillId="0" borderId="112" xfId="7" applyNumberFormat="1" applyFont="1" applyBorder="1" applyAlignment="1">
      <alignment vertical="center"/>
    </xf>
    <xf numFmtId="164" fontId="4" fillId="3" borderId="26" xfId="7" applyNumberFormat="1" applyFont="1" applyFill="1" applyBorder="1" applyAlignment="1">
      <alignment vertical="center"/>
    </xf>
    <xf numFmtId="164" fontId="6" fillId="3" borderId="26" xfId="0" applyNumberFormat="1" applyFont="1" applyFill="1" applyBorder="1" applyAlignment="1">
      <alignment vertical="center"/>
    </xf>
    <xf numFmtId="164" fontId="4" fillId="3" borderId="145" xfId="7" applyNumberFormat="1" applyFont="1" applyFill="1" applyBorder="1" applyAlignment="1">
      <alignment vertical="center"/>
    </xf>
    <xf numFmtId="10" fontId="4" fillId="3" borderId="93" xfId="20961" applyNumberFormat="1" applyFont="1" applyFill="1" applyBorder="1" applyAlignment="1">
      <alignment vertical="center"/>
    </xf>
    <xf numFmtId="164" fontId="9" fillId="0" borderId="98" xfId="7" applyNumberFormat="1" applyFont="1" applyFill="1" applyBorder="1" applyAlignment="1" applyProtection="1">
      <alignment vertical="center"/>
      <protection locked="0"/>
    </xf>
    <xf numFmtId="10" fontId="9" fillId="0" borderId="98" xfId="20961" applyNumberFormat="1" applyFont="1" applyFill="1" applyBorder="1" applyAlignment="1" applyProtection="1">
      <alignment vertical="center"/>
      <protection locked="0"/>
    </xf>
    <xf numFmtId="0" fontId="102" fillId="0" borderId="146" xfId="0" applyFont="1" applyBorder="1"/>
    <xf numFmtId="0" fontId="11" fillId="0" borderId="146" xfId="17" applyBorder="1" applyAlignment="1" applyProtection="1"/>
    <xf numFmtId="164" fontId="6" fillId="3" borderId="50" xfId="0" applyNumberFormat="1" applyFont="1" applyFill="1" applyBorder="1" applyAlignment="1">
      <alignment vertical="center"/>
    </xf>
    <xf numFmtId="164" fontId="4" fillId="3" borderId="162" xfId="7" applyNumberFormat="1" applyFont="1" applyFill="1" applyBorder="1" applyAlignment="1">
      <alignment vertical="center"/>
    </xf>
    <xf numFmtId="10" fontId="4" fillId="3" borderId="161" xfId="20961" applyNumberFormat="1" applyFont="1" applyFill="1" applyBorder="1" applyAlignment="1">
      <alignment vertical="center"/>
    </xf>
    <xf numFmtId="164" fontId="139" fillId="3" borderId="146" xfId="7" applyNumberFormat="1" applyFont="1" applyFill="1" applyBorder="1" applyProtection="1">
      <protection locked="0"/>
    </xf>
    <xf numFmtId="10" fontId="113" fillId="77" borderId="146" xfId="20961" applyNumberFormat="1" applyFont="1" applyFill="1" applyBorder="1" applyAlignment="1" applyProtection="1">
      <alignment horizontal="right" vertical="center"/>
    </xf>
    <xf numFmtId="3" fontId="139" fillId="0" borderId="0" xfId="5" applyNumberFormat="1" applyFont="1"/>
    <xf numFmtId="164" fontId="4" fillId="0" borderId="98" xfId="7" applyNumberFormat="1" applyFont="1" applyBorder="1" applyAlignment="1"/>
    <xf numFmtId="164" fontId="4" fillId="0" borderId="98" xfId="7" applyNumberFormat="1" applyFont="1" applyBorder="1" applyAlignment="1">
      <alignment horizontal="center"/>
    </xf>
    <xf numFmtId="164" fontId="6" fillId="0" borderId="98" xfId="7" applyNumberFormat="1" applyFont="1" applyBorder="1"/>
    <xf numFmtId="164" fontId="120" fillId="0" borderId="138" xfId="7" applyNumberFormat="1" applyFont="1" applyBorder="1"/>
    <xf numFmtId="164" fontId="117" fillId="0" borderId="138" xfId="7" applyNumberFormat="1" applyFont="1" applyBorder="1"/>
    <xf numFmtId="164" fontId="116" fillId="0" borderId="146" xfId="7" applyNumberFormat="1" applyFont="1" applyBorder="1"/>
    <xf numFmtId="164" fontId="119" fillId="0" borderId="146" xfId="7" applyNumberFormat="1" applyFont="1" applyBorder="1"/>
    <xf numFmtId="164" fontId="102" fillId="0" borderId="146" xfId="7" applyNumberFormat="1" applyFont="1" applyBorder="1"/>
    <xf numFmtId="164" fontId="164" fillId="0" borderId="146" xfId="7" applyNumberFormat="1" applyFont="1" applyBorder="1"/>
    <xf numFmtId="164" fontId="103" fillId="0" borderId="146" xfId="7" applyNumberFormat="1" applyFont="1" applyBorder="1"/>
    <xf numFmtId="164" fontId="165" fillId="0" borderId="146" xfId="7" applyNumberFormat="1" applyFont="1" applyBorder="1"/>
    <xf numFmtId="164" fontId="119" fillId="0" borderId="146" xfId="0" applyNumberFormat="1" applyFont="1" applyBorder="1" applyAlignment="1">
      <alignment horizontal="left" indent="1"/>
    </xf>
    <xf numFmtId="164" fontId="119" fillId="0" borderId="146" xfId="0" applyNumberFormat="1" applyFont="1" applyBorder="1"/>
    <xf numFmtId="164" fontId="116" fillId="0" borderId="146" xfId="7" applyNumberFormat="1" applyFont="1" applyBorder="1" applyAlignment="1">
      <alignment horizontal="left" indent="1"/>
    </xf>
    <xf numFmtId="164" fontId="116" fillId="0" borderId="146" xfId="7" applyNumberFormat="1" applyFont="1" applyBorder="1" applyAlignment="1">
      <alignment horizontal="center" vertical="center" wrapText="1"/>
    </xf>
    <xf numFmtId="164" fontId="116" fillId="0" borderId="146" xfId="7" applyNumberFormat="1" applyFont="1" applyBorder="1" applyAlignment="1">
      <alignment horizontal="center" vertical="center"/>
    </xf>
    <xf numFmtId="164" fontId="119" fillId="0" borderId="146" xfId="0" applyNumberFormat="1" applyFont="1" applyBorder="1" applyAlignment="1">
      <alignment horizontal="left" vertical="center" wrapText="1"/>
    </xf>
    <xf numFmtId="164" fontId="121" fillId="0" borderId="146" xfId="7" applyNumberFormat="1" applyFont="1" applyBorder="1"/>
    <xf numFmtId="164" fontId="6" fillId="0" borderId="98" xfId="7" applyNumberFormat="1" applyFont="1" applyFill="1" applyBorder="1"/>
    <xf numFmtId="164" fontId="6" fillId="0" borderId="98" xfId="7" applyNumberFormat="1" applyFont="1" applyFill="1" applyBorder="1" applyAlignment="1">
      <alignment vertical="center"/>
    </xf>
    <xf numFmtId="164" fontId="0" fillId="0" borderId="0" xfId="0" applyNumberFormat="1"/>
    <xf numFmtId="164" fontId="4" fillId="0" borderId="112" xfId="7" applyNumberFormat="1" applyFont="1" applyFill="1" applyBorder="1"/>
    <xf numFmtId="164" fontId="4" fillId="0" borderId="0" xfId="7" applyNumberFormat="1" applyFont="1" applyFill="1" applyBorder="1"/>
    <xf numFmtId="164" fontId="0" fillId="0" borderId="0" xfId="7" applyNumberFormat="1" applyFont="1"/>
    <xf numFmtId="164" fontId="119" fillId="0" borderId="69" xfId="7" applyNumberFormat="1" applyFont="1" applyBorder="1"/>
    <xf numFmtId="164" fontId="116" fillId="0" borderId="155" xfId="7" applyNumberFormat="1" applyFont="1" applyBorder="1"/>
    <xf numFmtId="164" fontId="116" fillId="0" borderId="69" xfId="7" applyNumberFormat="1" applyFont="1" applyBorder="1"/>
    <xf numFmtId="164" fontId="119" fillId="0" borderId="156" xfId="7" applyNumberFormat="1" applyFont="1" applyBorder="1" applyAlignment="1">
      <alignment horizontal="left" indent="2"/>
    </xf>
    <xf numFmtId="164" fontId="116" fillId="79" borderId="156" xfId="7" applyNumberFormat="1" applyFont="1" applyFill="1" applyBorder="1"/>
    <xf numFmtId="164" fontId="116" fillId="79" borderId="146" xfId="7" applyNumberFormat="1" applyFont="1" applyFill="1" applyBorder="1"/>
    <xf numFmtId="164" fontId="116" fillId="79" borderId="155" xfId="7" applyNumberFormat="1" applyFont="1" applyFill="1" applyBorder="1"/>
    <xf numFmtId="164" fontId="116" fillId="0" borderId="153" xfId="7" applyNumberFormat="1" applyFont="1" applyBorder="1"/>
    <xf numFmtId="164" fontId="116" fillId="0" borderId="152" xfId="7" applyNumberFormat="1" applyFont="1" applyBorder="1"/>
    <xf numFmtId="164" fontId="166" fillId="0" borderId="146" xfId="7" applyNumberFormat="1" applyFont="1" applyBorder="1"/>
    <xf numFmtId="43" fontId="121" fillId="0" borderId="146" xfId="7" applyFont="1" applyBorder="1"/>
    <xf numFmtId="43" fontId="121" fillId="0" borderId="147" xfId="7" applyFont="1" applyBorder="1"/>
    <xf numFmtId="164" fontId="121" fillId="0" borderId="147" xfId="7" applyNumberFormat="1" applyFont="1" applyBorder="1"/>
    <xf numFmtId="164" fontId="139" fillId="0" borderId="0" xfId="7" applyNumberFormat="1" applyFont="1"/>
    <xf numFmtId="10" fontId="121" fillId="0" borderId="146" xfId="20961" applyNumberFormat="1" applyFont="1" applyBorder="1"/>
    <xf numFmtId="0" fontId="13" fillId="0" borderId="145" xfId="0" applyFont="1" applyBorder="1" applyAlignment="1">
      <alignment wrapText="1"/>
    </xf>
    <xf numFmtId="0" fontId="13" fillId="0" borderId="25" xfId="0" applyFont="1" applyBorder="1" applyAlignment="1">
      <alignment wrapText="1"/>
    </xf>
    <xf numFmtId="0" fontId="9" fillId="0" borderId="106" xfId="0" applyFont="1" applyBorder="1"/>
    <xf numFmtId="0" fontId="4" fillId="0" borderId="0" xfId="0" applyFont="1" applyAlignment="1">
      <alignment horizontal="center"/>
    </xf>
    <xf numFmtId="164" fontId="9" fillId="0" borderId="146" xfId="7" applyNumberFormat="1" applyFont="1" applyBorder="1" applyAlignment="1">
      <alignment horizontal="right"/>
    </xf>
    <xf numFmtId="10" fontId="4" fillId="0" borderId="155" xfId="20961" applyNumberFormat="1" applyFont="1" applyFill="1" applyBorder="1"/>
    <xf numFmtId="10" fontId="4" fillId="0" borderId="107" xfId="20961" applyNumberFormat="1" applyFont="1" applyFill="1" applyBorder="1"/>
    <xf numFmtId="10" fontId="4" fillId="0" borderId="152" xfId="20961" applyNumberFormat="1" applyFont="1" applyFill="1" applyBorder="1"/>
    <xf numFmtId="193" fontId="7" fillId="0" borderId="20" xfId="2" applyNumberFormat="1" applyFont="1" applyFill="1" applyBorder="1" applyAlignment="1" applyProtection="1">
      <alignment vertical="top"/>
      <protection locked="0"/>
    </xf>
    <xf numFmtId="193" fontId="24" fillId="0" borderId="20" xfId="2" applyNumberFormat="1" applyFont="1" applyFill="1" applyBorder="1" applyAlignment="1" applyProtection="1">
      <alignment vertical="top" wrapText="1"/>
      <protection locked="0"/>
    </xf>
    <xf numFmtId="38" fontId="113" fillId="0" borderId="146" xfId="948" applyNumberFormat="1" applyFont="1" applyFill="1" applyBorder="1" applyAlignment="1" applyProtection="1">
      <alignment horizontal="right" vertical="center"/>
      <protection locked="0"/>
    </xf>
    <xf numFmtId="193" fontId="7" fillId="0" borderId="98" xfId="0" applyNumberFormat="1" applyFont="1" applyBorder="1" applyAlignment="1" applyProtection="1">
      <alignment vertical="center" wrapText="1"/>
      <protection locked="0"/>
    </xf>
    <xf numFmtId="193" fontId="7" fillId="0" borderId="98" xfId="0" applyNumberFormat="1" applyFont="1" applyBorder="1" applyAlignment="1" applyProtection="1">
      <alignment horizontal="right" vertical="center" wrapText="1"/>
      <protection locked="0"/>
    </xf>
    <xf numFmtId="10" fontId="4" fillId="0" borderId="98" xfId="20961" applyNumberFormat="1" applyFont="1" applyFill="1" applyBorder="1" applyAlignment="1" applyProtection="1">
      <alignment horizontal="right" vertical="center" wrapText="1"/>
      <protection locked="0"/>
    </xf>
    <xf numFmtId="193" fontId="12" fillId="0" borderId="0" xfId="0" applyNumberFormat="1" applyFont="1"/>
    <xf numFmtId="9" fontId="0" fillId="0" borderId="0" xfId="20961" applyFont="1"/>
    <xf numFmtId="164" fontId="4" fillId="0" borderId="0" xfId="7" applyNumberFormat="1" applyFont="1"/>
    <xf numFmtId="164" fontId="12" fillId="0" borderId="0" xfId="7" applyNumberFormat="1" applyFont="1"/>
    <xf numFmtId="43" fontId="4" fillId="0" borderId="0" xfId="0" applyNumberFormat="1" applyFont="1"/>
    <xf numFmtId="43" fontId="12" fillId="0" borderId="0" xfId="0" applyNumberFormat="1" applyFont="1"/>
    <xf numFmtId="10" fontId="109" fillId="0" borderId="0" xfId="20961" applyNumberFormat="1" applyFont="1" applyFill="1" applyBorder="1" applyAlignment="1">
      <alignment horizontal="left" vertical="center" wrapText="1"/>
    </xf>
    <xf numFmtId="196" fontId="0" fillId="0" borderId="0" xfId="20961" applyNumberFormat="1" applyFont="1"/>
    <xf numFmtId="164" fontId="4" fillId="0" borderId="0" xfId="0" applyNumberFormat="1" applyFont="1" applyAlignment="1">
      <alignment horizontal="left" vertical="center"/>
    </xf>
    <xf numFmtId="164" fontId="4" fillId="0" borderId="112" xfId="7" applyNumberFormat="1" applyFont="1" applyFill="1" applyBorder="1" applyAlignment="1">
      <alignment horizontal="right" vertical="center" wrapText="1"/>
    </xf>
    <xf numFmtId="164" fontId="7" fillId="0" borderId="24" xfId="7" applyNumberFormat="1" applyFont="1" applyFill="1" applyBorder="1" applyAlignment="1" applyProtection="1">
      <alignment horizontal="right" vertical="center"/>
    </xf>
    <xf numFmtId="0" fontId="141" fillId="0" borderId="159" xfId="0" applyFont="1" applyBorder="1" applyAlignment="1">
      <alignment horizontal="center" vertical="center"/>
    </xf>
    <xf numFmtId="0" fontId="141" fillId="0" borderId="29" xfId="0" applyFont="1" applyBorder="1" applyAlignment="1">
      <alignment horizontal="center" vertical="center"/>
    </xf>
    <xf numFmtId="0" fontId="141" fillId="0" borderId="160" xfId="0" applyFont="1" applyBorder="1" applyAlignment="1">
      <alignment horizontal="center" vertical="center"/>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0" fillId="0" borderId="99" xfId="0" applyBorder="1" applyAlignment="1">
      <alignment horizontal="center"/>
    </xf>
    <xf numFmtId="0" fontId="0" fillId="0" borderId="96" xfId="0" applyBorder="1" applyAlignment="1">
      <alignment horizontal="center"/>
    </xf>
    <xf numFmtId="0" fontId="0" fillId="0" borderId="97"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28" fillId="0" borderId="14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7" xfId="0" applyFont="1" applyBorder="1" applyAlignment="1">
      <alignment horizontal="center"/>
    </xf>
    <xf numFmtId="0" fontId="10" fillId="0" borderId="18" xfId="0" applyFont="1" applyBorder="1" applyAlignment="1">
      <alignment horizontal="center"/>
    </xf>
    <xf numFmtId="0" fontId="13" fillId="0" borderId="3" xfId="0" applyFont="1" applyBorder="1" applyAlignment="1">
      <alignment wrapText="1"/>
    </xf>
    <xf numFmtId="0" fontId="4" fillId="0" borderId="20" xfId="0" applyFont="1" applyBorder="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9" xfId="0" applyFont="1" applyBorder="1" applyAlignment="1">
      <alignment horizontal="center"/>
    </xf>
    <xf numFmtId="0" fontId="4" fillId="0" borderId="21" xfId="0" applyFont="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7"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6" xfId="0" applyFont="1" applyFill="1" applyBorder="1" applyAlignment="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lignment horizontal="center" vertical="center" wrapText="1"/>
    </xf>
    <xf numFmtId="0" fontId="6" fillId="86" borderId="155" xfId="0" applyFont="1" applyFill="1" applyBorder="1" applyAlignment="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05" xfId="0" applyFont="1" applyBorder="1" applyAlignment="1">
      <alignment horizontal="center" vertical="center" wrapText="1"/>
    </xf>
    <xf numFmtId="0" fontId="14" fillId="0" borderId="54" xfId="0" applyFont="1" applyBorder="1" applyAlignment="1">
      <alignment horizontal="left" vertical="center"/>
    </xf>
    <xf numFmtId="0" fontId="14"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9" fillId="0" borderId="119" xfId="0" applyFont="1" applyBorder="1" applyAlignment="1">
      <alignment horizontal="left" vertical="center" wrapText="1"/>
    </xf>
    <xf numFmtId="0" fontId="119" fillId="0" borderId="120" xfId="0" applyFont="1" applyBorder="1" applyAlignment="1">
      <alignment horizontal="left" vertical="center" wrapText="1"/>
    </xf>
    <xf numFmtId="0" fontId="119" fillId="0" borderId="122" xfId="0" applyFont="1" applyBorder="1" applyAlignment="1">
      <alignment horizontal="left" vertical="center" wrapText="1"/>
    </xf>
    <xf numFmtId="0" fontId="119" fillId="0" borderId="123" xfId="0" applyFont="1" applyBorder="1" applyAlignment="1">
      <alignment horizontal="left" vertical="center" wrapText="1"/>
    </xf>
    <xf numFmtId="0" fontId="119" fillId="0" borderId="125" xfId="0" applyFont="1" applyBorder="1" applyAlignment="1">
      <alignment horizontal="left" vertical="center" wrapText="1"/>
    </xf>
    <xf numFmtId="0" fontId="119" fillId="0" borderId="126" xfId="0" applyFont="1" applyBorder="1" applyAlignment="1">
      <alignment horizontal="left" vertical="center" wrapText="1"/>
    </xf>
    <xf numFmtId="0" fontId="120" fillId="0" borderId="145" xfId="0" applyFont="1" applyBorder="1" applyAlignment="1">
      <alignment horizontal="center" vertical="center" wrapText="1"/>
    </xf>
    <xf numFmtId="0" fontId="120" fillId="0" borderId="144" xfId="0" applyFont="1" applyBorder="1" applyAlignment="1">
      <alignment horizontal="center" vertical="center" wrapText="1"/>
    </xf>
    <xf numFmtId="0" fontId="120" fillId="0" borderId="121"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6" xfId="0" applyFont="1" applyBorder="1" applyAlignment="1">
      <alignment horizontal="center" vertical="center" wrapText="1"/>
    </xf>
    <xf numFmtId="0" fontId="116" fillId="0" borderId="149" xfId="0" applyFont="1" applyBorder="1" applyAlignment="1">
      <alignment horizontal="center" vertical="center" wrapText="1"/>
    </xf>
    <xf numFmtId="0" fontId="116" fillId="0" borderId="148" xfId="0" applyFont="1" applyBorder="1" applyAlignment="1">
      <alignment horizontal="center" vertical="center" wrapText="1"/>
    </xf>
    <xf numFmtId="0" fontId="124" fillId="0" borderId="146" xfId="0" applyFont="1" applyBorder="1" applyAlignment="1">
      <alignment horizontal="center" vertical="center"/>
    </xf>
    <xf numFmtId="0" fontId="118" fillId="0" borderId="145" xfId="0" applyFont="1" applyBorder="1" applyAlignment="1">
      <alignment horizontal="center" vertical="center"/>
    </xf>
    <xf numFmtId="0" fontId="118" fillId="0" borderId="150" xfId="0" applyFont="1" applyBorder="1" applyAlignment="1">
      <alignment horizontal="center" vertical="center"/>
    </xf>
    <xf numFmtId="0" fontId="118" fillId="0" borderId="53" xfId="0" applyFont="1" applyBorder="1" applyAlignment="1">
      <alignment horizontal="center" vertical="center"/>
    </xf>
    <xf numFmtId="0" fontId="118" fillId="0" borderId="11" xfId="0" applyFont="1" applyBorder="1" applyAlignment="1">
      <alignment horizontal="center" vertical="center"/>
    </xf>
    <xf numFmtId="0" fontId="119" fillId="0" borderId="146" xfId="0" applyFont="1" applyBorder="1" applyAlignment="1">
      <alignment horizontal="center" vertical="center" wrapText="1"/>
    </xf>
    <xf numFmtId="0" fontId="119" fillId="0" borderId="145" xfId="0" applyFont="1" applyBorder="1" applyAlignment="1">
      <alignment horizontal="center" vertical="center" wrapText="1"/>
    </xf>
    <xf numFmtId="0" fontId="119" fillId="0" borderId="150" xfId="0" applyFont="1" applyBorder="1" applyAlignment="1">
      <alignment horizontal="center" vertical="center" wrapText="1"/>
    </xf>
    <xf numFmtId="0" fontId="119" fillId="0" borderId="127" xfId="0" applyFont="1" applyBorder="1" applyAlignment="1">
      <alignment horizontal="center" vertical="center" wrapText="1"/>
    </xf>
    <xf numFmtId="0" fontId="119" fillId="0" borderId="128" xfId="0" applyFont="1" applyBorder="1" applyAlignment="1">
      <alignment horizontal="center" vertical="center" wrapText="1"/>
    </xf>
    <xf numFmtId="0" fontId="119" fillId="0" borderId="53"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51" xfId="0" applyFont="1" applyBorder="1" applyAlignment="1">
      <alignment horizontal="center" vertical="center" wrapText="1"/>
    </xf>
    <xf numFmtId="0" fontId="119" fillId="0" borderId="12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45" xfId="0" applyFont="1" applyBorder="1" applyAlignment="1">
      <alignment horizontal="center" vertical="center" wrapText="1"/>
    </xf>
    <xf numFmtId="0" fontId="116" fillId="0" borderId="144"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55" xfId="0" applyFont="1" applyBorder="1" applyAlignment="1">
      <alignment horizontal="center" vertical="center" wrapText="1"/>
    </xf>
    <xf numFmtId="0" fontId="116" fillId="0" borderId="54" xfId="0" applyFont="1" applyBorder="1" applyAlignment="1">
      <alignment horizontal="center" vertical="center" wrapText="1"/>
    </xf>
    <xf numFmtId="0" fontId="116" fillId="0" borderId="55" xfId="0" applyFont="1" applyBorder="1" applyAlignment="1">
      <alignment horizontal="center" vertical="center" wrapText="1"/>
    </xf>
    <xf numFmtId="0" fontId="116" fillId="0" borderId="105" xfId="0" applyFont="1" applyBorder="1" applyAlignment="1">
      <alignment horizontal="center" vertical="center" wrapText="1"/>
    </xf>
    <xf numFmtId="0" fontId="119" fillId="0" borderId="54" xfId="0" applyFont="1" applyBorder="1" applyAlignment="1">
      <alignment horizontal="left" vertical="top" wrapText="1"/>
    </xf>
    <xf numFmtId="0" fontId="119" fillId="0" borderId="105" xfId="0" applyFont="1" applyBorder="1" applyAlignment="1">
      <alignment horizontal="left" vertical="top" wrapText="1"/>
    </xf>
    <xf numFmtId="0" fontId="119" fillId="0" borderId="63" xfId="0" applyFont="1" applyBorder="1" applyAlignment="1">
      <alignment horizontal="left" vertical="top" wrapText="1"/>
    </xf>
    <xf numFmtId="0" fontId="119" fillId="0" borderId="92" xfId="0" applyFont="1" applyBorder="1" applyAlignment="1">
      <alignment horizontal="left" vertical="top" wrapText="1"/>
    </xf>
    <xf numFmtId="0" fontId="119" fillId="0" borderId="118" xfId="0" applyFont="1" applyBorder="1" applyAlignment="1">
      <alignment horizontal="left" vertical="top" wrapText="1"/>
    </xf>
    <xf numFmtId="0" fontId="119" fillId="0" borderId="157" xfId="0" applyFont="1" applyBorder="1" applyAlignment="1">
      <alignment horizontal="left" vertical="top" wrapText="1"/>
    </xf>
    <xf numFmtId="0" fontId="119" fillId="0" borderId="158" xfId="0" applyFont="1" applyBorder="1" applyAlignment="1">
      <alignment horizontal="center" vertical="center" wrapText="1"/>
    </xf>
    <xf numFmtId="0" fontId="119" fillId="0" borderId="69" xfId="0" applyFont="1" applyBorder="1" applyAlignment="1">
      <alignment horizontal="center" vertical="center" wrapText="1"/>
    </xf>
    <xf numFmtId="0" fontId="116" fillId="0" borderId="145" xfId="0" applyFont="1" applyBorder="1" applyAlignment="1">
      <alignment horizontal="center" vertical="top" wrapText="1"/>
    </xf>
    <xf numFmtId="0" fontId="116" fillId="0" borderId="144" xfId="0" applyFont="1" applyBorder="1" applyAlignment="1">
      <alignment horizontal="center" vertical="top" wrapText="1"/>
    </xf>
    <xf numFmtId="0" fontId="116" fillId="0" borderId="151" xfId="0" applyFont="1" applyBorder="1" applyAlignment="1">
      <alignment horizontal="center" vertical="top" wrapText="1"/>
    </xf>
    <xf numFmtId="0" fontId="116" fillId="0" borderId="148" xfId="0" applyFont="1" applyBorder="1" applyAlignment="1">
      <alignment horizontal="center" vertical="top" wrapText="1"/>
    </xf>
    <xf numFmtId="0" fontId="105" fillId="0" borderId="130" xfId="0" applyFont="1" applyBorder="1" applyAlignment="1">
      <alignment horizontal="left" vertical="top" wrapText="1"/>
    </xf>
    <xf numFmtId="0" fontId="105" fillId="0" borderId="131" xfId="0" applyFont="1" applyBorder="1" applyAlignment="1">
      <alignment horizontal="left" vertical="top" wrapText="1"/>
    </xf>
    <xf numFmtId="0" fontId="122" fillId="0" borderId="146" xfId="0" applyFont="1" applyBorder="1" applyAlignment="1">
      <alignment horizontal="center" vertical="center"/>
    </xf>
    <xf numFmtId="0" fontId="121" fillId="0" borderId="146" xfId="0" applyFont="1" applyBorder="1" applyAlignment="1">
      <alignment horizontal="center" vertical="center" wrapText="1"/>
    </xf>
    <xf numFmtId="0" fontId="121" fillId="0" borderId="147" xfId="0" applyFont="1" applyBorder="1" applyAlignment="1">
      <alignment horizontal="center" vertical="center" wrapText="1"/>
    </xf>
    <xf numFmtId="0" fontId="105" fillId="75" borderId="149" xfId="0" applyFont="1" applyFill="1" applyBorder="1" applyAlignment="1">
      <alignment horizontal="center" vertical="center" wrapText="1"/>
    </xf>
    <xf numFmtId="0" fontId="105" fillId="75" borderId="148" xfId="0" applyFont="1" applyFill="1" applyBorder="1" applyAlignment="1">
      <alignment horizontal="center" vertical="center" wrapText="1"/>
    </xf>
    <xf numFmtId="0" fontId="106" fillId="0" borderId="149" xfId="0" applyFont="1" applyBorder="1" applyAlignment="1">
      <alignment horizontal="left" vertical="center" wrapText="1"/>
    </xf>
    <xf numFmtId="0" fontId="106" fillId="0" borderId="148" xfId="0" applyFont="1" applyBorder="1" applyAlignment="1">
      <alignment horizontal="left" vertical="center" wrapText="1"/>
    </xf>
    <xf numFmtId="0" fontId="106" fillId="0" borderId="149" xfId="13" applyFont="1" applyBorder="1" applyAlignment="1" applyProtection="1">
      <alignment horizontal="left" vertical="top" wrapText="1"/>
      <protection locked="0"/>
    </xf>
    <xf numFmtId="0" fontId="106" fillId="0" borderId="148" xfId="13" applyFont="1" applyBorder="1" applyAlignment="1" applyProtection="1">
      <alignment horizontal="left" vertical="top" wrapText="1"/>
      <protection locked="0"/>
    </xf>
    <xf numFmtId="0" fontId="155" fillId="0" borderId="149" xfId="13" applyFont="1" applyBorder="1" applyAlignment="1" applyProtection="1">
      <alignment horizontal="left" vertical="top" wrapText="1"/>
      <protection locked="0"/>
    </xf>
    <xf numFmtId="0" fontId="155" fillId="0" borderId="148" xfId="13" applyFont="1" applyBorder="1" applyAlignment="1" applyProtection="1">
      <alignment horizontal="left" vertical="top" wrapText="1"/>
      <protection locked="0"/>
    </xf>
    <xf numFmtId="0" fontId="106" fillId="0" borderId="149" xfId="0" applyFont="1" applyBorder="1" applyAlignment="1">
      <alignment horizontal="left" vertical="top" wrapText="1"/>
    </xf>
    <xf numFmtId="0" fontId="106" fillId="0" borderId="148" xfId="0" applyFont="1" applyBorder="1" applyAlignment="1">
      <alignment horizontal="left" vertical="top" wrapText="1"/>
    </xf>
    <xf numFmtId="49" fontId="106" fillId="0" borderId="0" xfId="0" applyNumberFormat="1" applyFont="1" applyAlignment="1">
      <alignment horizontal="center" vertical="center"/>
    </xf>
    <xf numFmtId="0" fontId="106" fillId="0" borderId="146" xfId="0" applyFont="1" applyBorder="1" applyAlignment="1">
      <alignment horizontal="left" vertical="top" wrapText="1"/>
    </xf>
    <xf numFmtId="0" fontId="106" fillId="0" borderId="146" xfId="0" applyFont="1" applyBorder="1" applyAlignment="1">
      <alignment horizontal="left" vertical="center" wrapText="1"/>
    </xf>
    <xf numFmtId="0" fontId="105" fillId="75" borderId="146" xfId="0" applyFont="1" applyFill="1" applyBorder="1" applyAlignment="1">
      <alignment horizontal="center" vertical="center" wrapText="1"/>
    </xf>
    <xf numFmtId="0" fontId="106" fillId="0" borderId="146" xfId="0" applyFont="1" applyBorder="1" applyAlignment="1">
      <alignment horizontal="center"/>
    </xf>
    <xf numFmtId="0" fontId="106" fillId="0" borderId="99" xfId="0" applyFont="1" applyBorder="1" applyAlignment="1">
      <alignment horizontal="left" vertical="center" wrapText="1"/>
    </xf>
    <xf numFmtId="0" fontId="106" fillId="0" borderId="97" xfId="0" applyFont="1" applyBorder="1" applyAlignment="1">
      <alignment horizontal="left" vertical="center" wrapText="1"/>
    </xf>
    <xf numFmtId="0" fontId="105" fillId="0" borderId="146" xfId="0" applyFont="1" applyBorder="1" applyAlignment="1">
      <alignment horizontal="center" vertical="center"/>
    </xf>
    <xf numFmtId="0" fontId="106" fillId="3" borderId="149" xfId="13" applyFont="1" applyFill="1" applyBorder="1" applyAlignment="1" applyProtection="1">
      <alignment horizontal="left" vertical="top" wrapText="1"/>
      <protection locked="0"/>
    </xf>
    <xf numFmtId="0" fontId="106" fillId="3" borderId="148" xfId="13" applyFont="1" applyFill="1" applyBorder="1" applyAlignment="1" applyProtection="1">
      <alignment horizontal="left" vertical="top" wrapText="1"/>
      <protection locked="0"/>
    </xf>
    <xf numFmtId="0" fontId="105" fillId="0" borderId="85" xfId="0" applyFont="1" applyBorder="1" applyAlignment="1">
      <alignment horizontal="center" vertical="center"/>
    </xf>
    <xf numFmtId="0" fontId="105" fillId="75" borderId="82" xfId="0" applyFont="1" applyFill="1" applyBorder="1" applyAlignment="1">
      <alignment horizontal="center" vertical="center" wrapText="1"/>
    </xf>
    <xf numFmtId="0" fontId="105" fillId="75" borderId="0" xfId="0" applyFont="1" applyFill="1" applyAlignment="1">
      <alignment horizontal="center" vertical="center" wrapText="1"/>
    </xf>
    <xf numFmtId="0" fontId="105" fillId="75" borderId="83" xfId="0" applyFont="1" applyFill="1" applyBorder="1" applyAlignment="1">
      <alignment horizontal="center" vertical="center" wrapText="1"/>
    </xf>
    <xf numFmtId="0" fontId="106" fillId="0" borderId="99" xfId="0" applyFont="1" applyBorder="1" applyAlignment="1">
      <alignment vertical="center" wrapText="1"/>
    </xf>
    <xf numFmtId="0" fontId="106" fillId="0" borderId="97" xfId="0" applyFont="1" applyBorder="1" applyAlignment="1">
      <alignment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6" fillId="3" borderId="99" xfId="0" applyFont="1" applyFill="1" applyBorder="1" applyAlignment="1">
      <alignment horizontal="left" vertical="center" wrapText="1"/>
    </xf>
    <xf numFmtId="0" fontId="106" fillId="3" borderId="97" xfId="0" applyFont="1" applyFill="1" applyBorder="1" applyAlignment="1">
      <alignment horizontal="left" vertical="center" wrapText="1"/>
    </xf>
    <xf numFmtId="0" fontId="106" fillId="0" borderId="77" xfId="0" applyFont="1" applyBorder="1" applyAlignment="1">
      <alignment horizontal="left" vertical="center" wrapText="1"/>
    </xf>
    <xf numFmtId="0" fontId="106" fillId="0" borderId="78" xfId="0" applyFont="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Border="1" applyAlignment="1">
      <alignment horizontal="left" vertical="center" wrapText="1"/>
    </xf>
    <xf numFmtId="0" fontId="106" fillId="0" borderId="11" xfId="0" applyFont="1" applyBorder="1" applyAlignment="1">
      <alignment horizontal="left" vertical="center" wrapText="1"/>
    </xf>
    <xf numFmtId="0" fontId="155" fillId="3" borderId="99" xfId="0" applyFont="1" applyFill="1" applyBorder="1" applyAlignment="1">
      <alignment horizontal="left" vertical="center" wrapText="1"/>
    </xf>
    <xf numFmtId="0" fontId="155" fillId="3" borderId="97" xfId="0" applyFont="1" applyFill="1" applyBorder="1" applyAlignment="1">
      <alignment horizontal="left" vertical="center" wrapText="1"/>
    </xf>
    <xf numFmtId="0" fontId="106" fillId="0" borderId="139" xfId="0" applyFont="1" applyBorder="1" applyAlignment="1">
      <alignment horizontal="left" vertical="center" wrapText="1"/>
    </xf>
    <xf numFmtId="0" fontId="106" fillId="0" borderId="140" xfId="0" applyFont="1" applyBorder="1" applyAlignment="1">
      <alignment horizontal="left" vertical="center" wrapText="1"/>
    </xf>
    <xf numFmtId="0" fontId="106" fillId="0" borderId="141" xfId="0" applyFont="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Border="1" applyAlignment="1">
      <alignment horizontal="left" vertical="center" wrapText="1"/>
    </xf>
    <xf numFmtId="0" fontId="106" fillId="0" borderId="81" xfId="0" applyFont="1" applyBorder="1" applyAlignment="1">
      <alignment horizontal="left" vertical="center" wrapText="1"/>
    </xf>
    <xf numFmtId="0" fontId="106" fillId="0" borderId="53" xfId="0" applyFont="1" applyBorder="1" applyAlignment="1">
      <alignment vertical="center" wrapText="1"/>
    </xf>
    <xf numFmtId="0" fontId="106" fillId="0" borderId="11" xfId="0" applyFont="1" applyBorder="1" applyAlignment="1">
      <alignment vertical="center" wrapText="1"/>
    </xf>
    <xf numFmtId="0" fontId="106" fillId="3" borderId="99" xfId="0" applyFont="1" applyFill="1" applyBorder="1" applyAlignment="1">
      <alignment vertical="center" wrapText="1"/>
    </xf>
    <xf numFmtId="0" fontId="106" fillId="3" borderId="97" xfId="0" applyFont="1" applyFill="1" applyBorder="1" applyAlignment="1">
      <alignment vertical="center" wrapText="1"/>
    </xf>
    <xf numFmtId="0" fontId="105" fillId="0" borderId="70" xfId="0" applyFont="1" applyBorder="1" applyAlignment="1">
      <alignment horizontal="center" vertical="center"/>
    </xf>
    <xf numFmtId="0" fontId="105" fillId="0" borderId="71" xfId="0" applyFont="1" applyBorder="1" applyAlignment="1">
      <alignment horizontal="center" vertical="center"/>
    </xf>
    <xf numFmtId="0" fontId="105" fillId="0" borderId="72" xfId="0" applyFont="1" applyBorder="1" applyAlignment="1">
      <alignment horizontal="center" vertical="center"/>
    </xf>
    <xf numFmtId="0" fontId="106" fillId="0" borderId="98" xfId="0" applyFont="1" applyBorder="1" applyAlignment="1">
      <alignment horizontal="left" vertical="center" wrapText="1"/>
    </xf>
    <xf numFmtId="0" fontId="155" fillId="3" borderId="99" xfId="0" applyFont="1" applyFill="1" applyBorder="1" applyAlignment="1">
      <alignment vertical="center" wrapText="1"/>
    </xf>
    <xf numFmtId="0" fontId="155" fillId="3" borderId="97" xfId="0" applyFont="1" applyFill="1" applyBorder="1" applyAlignment="1">
      <alignment vertical="center" wrapText="1"/>
    </xf>
    <xf numFmtId="0" fontId="106" fillId="0" borderId="99" xfId="0" applyFont="1" applyBorder="1" applyAlignment="1">
      <alignment horizontal="left"/>
    </xf>
    <xf numFmtId="0" fontId="106" fillId="0" borderId="97" xfId="0" applyFont="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PG1_I-BBB-QQ-YYYYMMDD-From2025-Q1%20&#4315;&#4312;&#4313;&#4320;&#4317;&#4305;&#4304;&#4316;&#4313;&#4308;&#4305;&#4312;%20-%20&#4313;&#4309;&#4304;&#4320;&#4322;&#4304;&#4314;&#4323;&#4320;&#4312;%20&#4318;&#4312;&#4314;&#4304;&#4320;%203%20(&#4325;&#4304;&#4320;&#4311;&#4323;&#4314;&#4308;&#4316;&#4317;&#4309;&#4304;&#4316;&#4312;).xlsx?4FD4DC4C" TargetMode="External"/><Relationship Id="rId1" Type="http://schemas.openxmlformats.org/officeDocument/2006/relationships/externalLinkPath" Target="file:///\\4FD4DC4C\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Copy%20of%20PG1_I-BBB-QQ-YYYYMMDD-From2025-Q1%20&#4315;&#4312;&#4313;&#4320;&#4317;&#4305;&#4304;&#4316;&#4313;&#4308;&#4305;&#4312;%20-%20&#4313;&#4309;&#4304;&#4320;&#4322;&#4304;&#4314;&#4323;&#4320;&#4312;%20&#4318;&#4312;&#4314;&#4304;&#4320;%203%20(&#4325;&#4304;&#4320;&#4311;&#4323;&#4314;&#4308;&#4316;&#4317;&#4309;&#4304;&#4316;&#4312;).xlsx?4FD4DC4C" TargetMode="External"/><Relationship Id="rId1" Type="http://schemas.openxmlformats.org/officeDocument/2006/relationships/externalLinkPath" Target="file:///\\4FD4DC4C\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redo.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2" sqref="C2:C5"/>
    </sheetView>
  </sheetViews>
  <sheetFormatPr defaultRowHeight="14.4"/>
  <cols>
    <col min="1" max="1" width="10.21875" style="1" customWidth="1"/>
    <col min="2" max="2" width="153" bestFit="1" customWidth="1"/>
    <col min="3" max="3" width="39.44140625" customWidth="1"/>
    <col min="7" max="7" width="25" customWidth="1"/>
  </cols>
  <sheetData>
    <row r="1" spans="1:3">
      <c r="A1" s="6"/>
      <c r="B1" s="93" t="s">
        <v>148</v>
      </c>
      <c r="C1" s="45"/>
    </row>
    <row r="2" spans="1:3" s="90" customFormat="1">
      <c r="A2" s="134">
        <v>1</v>
      </c>
      <c r="B2" s="91" t="s">
        <v>149</v>
      </c>
      <c r="C2" s="708" t="s">
        <v>1036</v>
      </c>
    </row>
    <row r="3" spans="1:3" s="90" customFormat="1">
      <c r="A3" s="134">
        <v>2</v>
      </c>
      <c r="B3" s="92" t="s">
        <v>150</v>
      </c>
      <c r="C3" s="708" t="s">
        <v>1037</v>
      </c>
    </row>
    <row r="4" spans="1:3" s="90" customFormat="1">
      <c r="A4" s="134">
        <v>3</v>
      </c>
      <c r="B4" s="92" t="s">
        <v>151</v>
      </c>
      <c r="C4" s="708" t="s">
        <v>1009</v>
      </c>
    </row>
    <row r="5" spans="1:3" s="90" customFormat="1">
      <c r="A5" s="135">
        <v>4</v>
      </c>
      <c r="B5" s="95" t="s">
        <v>152</v>
      </c>
      <c r="C5" s="709" t="s">
        <v>1038</v>
      </c>
    </row>
    <row r="6" spans="1:3" s="94" customFormat="1" ht="65.25" customHeight="1">
      <c r="A6" s="783" t="s">
        <v>309</v>
      </c>
      <c r="B6" s="784"/>
      <c r="C6" s="784"/>
    </row>
    <row r="7" spans="1:3">
      <c r="A7" s="235" t="s">
        <v>240</v>
      </c>
      <c r="B7" s="236" t="s">
        <v>153</v>
      </c>
    </row>
    <row r="8" spans="1:3">
      <c r="A8" s="237">
        <v>1</v>
      </c>
      <c r="B8" s="233" t="s">
        <v>128</v>
      </c>
    </row>
    <row r="9" spans="1:3">
      <c r="A9" s="237">
        <v>2</v>
      </c>
      <c r="B9" s="233" t="s">
        <v>154</v>
      </c>
    </row>
    <row r="10" spans="1:3">
      <c r="A10" s="237">
        <v>3</v>
      </c>
      <c r="B10" s="233" t="s">
        <v>155</v>
      </c>
    </row>
    <row r="11" spans="1:3">
      <c r="A11" s="237">
        <v>4</v>
      </c>
      <c r="B11" s="233" t="s">
        <v>156</v>
      </c>
    </row>
    <row r="12" spans="1:3">
      <c r="A12" s="237">
        <v>5</v>
      </c>
      <c r="B12" s="233" t="s">
        <v>96</v>
      </c>
    </row>
    <row r="13" spans="1:3">
      <c r="A13" s="237">
        <v>6</v>
      </c>
      <c r="B13" s="238" t="s">
        <v>80</v>
      </c>
    </row>
    <row r="14" spans="1:3">
      <c r="A14" s="237">
        <v>7</v>
      </c>
      <c r="B14" s="233" t="s">
        <v>157</v>
      </c>
    </row>
    <row r="15" spans="1:3">
      <c r="A15" s="237">
        <v>8</v>
      </c>
      <c r="B15" s="233" t="s">
        <v>160</v>
      </c>
    </row>
    <row r="16" spans="1:3">
      <c r="A16" s="237">
        <v>9</v>
      </c>
      <c r="B16" s="233" t="s">
        <v>74</v>
      </c>
    </row>
    <row r="17" spans="1:2">
      <c r="A17" s="239" t="s">
        <v>366</v>
      </c>
      <c r="B17" s="233" t="s">
        <v>346</v>
      </c>
    </row>
    <row r="18" spans="1:2">
      <c r="A18" s="237">
        <v>9.1999999999999993</v>
      </c>
      <c r="B18" s="588" t="s">
        <v>945</v>
      </c>
    </row>
    <row r="19" spans="1:2">
      <c r="A19" s="237">
        <v>9.3000000000000007</v>
      </c>
      <c r="B19" s="588" t="s">
        <v>946</v>
      </c>
    </row>
    <row r="20" spans="1:2">
      <c r="A20" s="237">
        <v>10</v>
      </c>
      <c r="B20" s="233" t="s">
        <v>161</v>
      </c>
    </row>
    <row r="21" spans="1:2">
      <c r="A21" s="237">
        <v>11</v>
      </c>
      <c r="B21" s="238" t="s">
        <v>144</v>
      </c>
    </row>
    <row r="22" spans="1:2">
      <c r="A22" s="237">
        <v>12</v>
      </c>
      <c r="B22" s="238" t="s">
        <v>141</v>
      </c>
    </row>
    <row r="23" spans="1:2">
      <c r="A23" s="237">
        <v>13</v>
      </c>
      <c r="B23" s="240" t="s">
        <v>285</v>
      </c>
    </row>
    <row r="24" spans="1:2">
      <c r="A24" s="237">
        <v>14</v>
      </c>
      <c r="B24" s="233" t="s">
        <v>339</v>
      </c>
    </row>
    <row r="25" spans="1:2">
      <c r="A25" s="237">
        <v>15</v>
      </c>
      <c r="B25" s="233" t="s">
        <v>73</v>
      </c>
    </row>
    <row r="26" spans="1:2">
      <c r="A26" s="237">
        <v>15.1</v>
      </c>
      <c r="B26" s="233" t="s">
        <v>375</v>
      </c>
    </row>
    <row r="27" spans="1:2">
      <c r="A27" s="587">
        <v>15.2</v>
      </c>
      <c r="B27" s="588" t="s">
        <v>969</v>
      </c>
    </row>
    <row r="28" spans="1:2">
      <c r="A28" s="237">
        <v>16</v>
      </c>
      <c r="B28" s="233" t="s">
        <v>422</v>
      </c>
    </row>
    <row r="29" spans="1:2">
      <c r="A29" s="237">
        <v>17</v>
      </c>
      <c r="B29" s="233" t="s">
        <v>646</v>
      </c>
    </row>
    <row r="30" spans="1:2">
      <c r="A30" s="237">
        <v>18</v>
      </c>
      <c r="B30" s="233" t="s">
        <v>905</v>
      </c>
    </row>
    <row r="31" spans="1:2">
      <c r="A31" s="237">
        <v>19</v>
      </c>
      <c r="B31" s="233" t="s">
        <v>906</v>
      </c>
    </row>
    <row r="32" spans="1:2">
      <c r="A32" s="237">
        <v>20</v>
      </c>
      <c r="B32" s="233" t="s">
        <v>907</v>
      </c>
    </row>
    <row r="33" spans="1:2">
      <c r="A33" s="237">
        <v>21</v>
      </c>
      <c r="B33" s="233" t="s">
        <v>515</v>
      </c>
    </row>
    <row r="34" spans="1:2">
      <c r="A34" s="237">
        <v>22</v>
      </c>
      <c r="B34" s="233" t="s">
        <v>908</v>
      </c>
    </row>
    <row r="35" spans="1:2" ht="26.4">
      <c r="A35" s="237">
        <v>23</v>
      </c>
      <c r="B35" s="543" t="s">
        <v>904</v>
      </c>
    </row>
    <row r="36" spans="1:2">
      <c r="A36" s="237">
        <v>24</v>
      </c>
      <c r="B36" s="233" t="s">
        <v>909</v>
      </c>
    </row>
    <row r="37" spans="1:2">
      <c r="A37" s="237">
        <v>25</v>
      </c>
      <c r="B37" s="233" t="s">
        <v>910</v>
      </c>
    </row>
    <row r="38" spans="1:2">
      <c r="A38" s="237">
        <v>26</v>
      </c>
      <c r="B38" s="233"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DF52D7CD-071C-4577-A85F-84040003AB4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40" activePane="bottomRight" state="frozen"/>
      <selection pane="topRight" activeCell="B1" sqref="B1"/>
      <selection pane="bottomLeft" activeCell="A5" sqref="A5"/>
      <selection pane="bottomRight" activeCell="C15" sqref="C15"/>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"კრედო ბანკი"</v>
      </c>
      <c r="D1" s="1"/>
      <c r="E1" s="1"/>
      <c r="F1" s="1"/>
    </row>
    <row r="2" spans="1:6" s="13" customFormat="1" ht="15.75" customHeight="1">
      <c r="A2" s="13" t="s">
        <v>98</v>
      </c>
      <c r="B2" s="274">
        <f>'1. key ratios'!B2</f>
        <v>46022</v>
      </c>
    </row>
    <row r="3" spans="1:6" s="13" customFormat="1" ht="15.75" customHeight="1"/>
    <row r="4" spans="1:6" ht="15" thickBot="1">
      <c r="A4" s="1" t="s">
        <v>246</v>
      </c>
      <c r="B4" s="22" t="s">
        <v>74</v>
      </c>
    </row>
    <row r="5" spans="1:6">
      <c r="A5" s="64" t="s">
        <v>25</v>
      </c>
      <c r="B5" s="65"/>
      <c r="C5" s="66" t="s">
        <v>26</v>
      </c>
    </row>
    <row r="6" spans="1:6">
      <c r="A6" s="67">
        <v>1</v>
      </c>
      <c r="B6" s="41" t="s">
        <v>27</v>
      </c>
      <c r="C6" s="144">
        <f>SUM(C7:C11)</f>
        <v>472694857.915205</v>
      </c>
    </row>
    <row r="7" spans="1:6">
      <c r="A7" s="67">
        <v>2</v>
      </c>
      <c r="B7" s="38" t="s">
        <v>28</v>
      </c>
      <c r="C7" s="145">
        <v>5270620</v>
      </c>
    </row>
    <row r="8" spans="1:6">
      <c r="A8" s="67">
        <v>3</v>
      </c>
      <c r="B8" s="33" t="s">
        <v>29</v>
      </c>
      <c r="C8" s="145">
        <v>41797125.479999997</v>
      </c>
    </row>
    <row r="9" spans="1:6">
      <c r="A9" s="67">
        <v>4</v>
      </c>
      <c r="B9" s="33" t="s">
        <v>30</v>
      </c>
      <c r="C9" s="145"/>
    </row>
    <row r="10" spans="1:6">
      <c r="A10" s="67">
        <v>5</v>
      </c>
      <c r="B10" s="33" t="s">
        <v>31</v>
      </c>
      <c r="C10" s="145"/>
    </row>
    <row r="11" spans="1:6">
      <c r="A11" s="67">
        <v>6</v>
      </c>
      <c r="B11" s="39" t="s">
        <v>32</v>
      </c>
      <c r="C11" s="763">
        <v>425627112.43520498</v>
      </c>
    </row>
    <row r="12" spans="1:6" s="2" customFormat="1">
      <c r="A12" s="67">
        <v>7</v>
      </c>
      <c r="B12" s="41" t="s">
        <v>33</v>
      </c>
      <c r="C12" s="146">
        <f>SUM(C13:C28)</f>
        <v>40661044.859999985</v>
      </c>
    </row>
    <row r="13" spans="1:6" s="2" customFormat="1">
      <c r="A13" s="67">
        <v>8</v>
      </c>
      <c r="B13" s="40" t="s">
        <v>34</v>
      </c>
      <c r="C13" s="147"/>
    </row>
    <row r="14" spans="1:6" s="2" customFormat="1" ht="27.6">
      <c r="A14" s="67">
        <v>9</v>
      </c>
      <c r="B14" s="34" t="s">
        <v>35</v>
      </c>
      <c r="C14" s="147"/>
    </row>
    <row r="15" spans="1:6" s="2" customFormat="1">
      <c r="A15" s="67">
        <v>10</v>
      </c>
      <c r="B15" s="35" t="s">
        <v>36</v>
      </c>
      <c r="C15" s="764">
        <v>40661044.859999985</v>
      </c>
    </row>
    <row r="16" spans="1:6" s="2" customFormat="1">
      <c r="A16" s="67">
        <v>11</v>
      </c>
      <c r="B16" s="36" t="s">
        <v>37</v>
      </c>
      <c r="C16" s="147"/>
    </row>
    <row r="17" spans="1:3" s="2" customFormat="1">
      <c r="A17" s="67">
        <v>12</v>
      </c>
      <c r="B17" s="35" t="s">
        <v>38</v>
      </c>
      <c r="C17" s="147"/>
    </row>
    <row r="18" spans="1:3" s="2" customFormat="1">
      <c r="A18" s="67">
        <v>13</v>
      </c>
      <c r="B18" s="35" t="s">
        <v>39</v>
      </c>
      <c r="C18" s="147"/>
    </row>
    <row r="19" spans="1:3" s="2" customFormat="1">
      <c r="A19" s="67">
        <v>14</v>
      </c>
      <c r="B19" s="35" t="s">
        <v>40</v>
      </c>
      <c r="C19" s="147"/>
    </row>
    <row r="20" spans="1:3" s="2" customFormat="1" ht="27.6">
      <c r="A20" s="67">
        <v>15</v>
      </c>
      <c r="B20" s="35" t="s">
        <v>41</v>
      </c>
      <c r="C20" s="147"/>
    </row>
    <row r="21" spans="1:3" s="2" customFormat="1" ht="27.6">
      <c r="A21" s="67">
        <v>16</v>
      </c>
      <c r="B21" s="34" t="s">
        <v>42</v>
      </c>
      <c r="C21" s="147"/>
    </row>
    <row r="22" spans="1:3" s="2" customFormat="1">
      <c r="A22" s="67">
        <v>17</v>
      </c>
      <c r="B22" s="68" t="s">
        <v>43</v>
      </c>
      <c r="C22" s="147"/>
    </row>
    <row r="23" spans="1:3" s="2" customFormat="1">
      <c r="A23" s="67">
        <v>18</v>
      </c>
      <c r="B23" s="578" t="s">
        <v>694</v>
      </c>
      <c r="C23" s="335"/>
    </row>
    <row r="24" spans="1:3" s="2" customFormat="1" ht="27.6">
      <c r="A24" s="67">
        <v>19</v>
      </c>
      <c r="B24" s="34" t="s">
        <v>44</v>
      </c>
      <c r="C24" s="147"/>
    </row>
    <row r="25" spans="1:3" s="2" customFormat="1" ht="27.6">
      <c r="A25" s="67">
        <v>20</v>
      </c>
      <c r="B25" s="34" t="s">
        <v>45</v>
      </c>
      <c r="C25" s="147"/>
    </row>
    <row r="26" spans="1:3" s="2" customFormat="1" ht="27.6">
      <c r="A26" s="67">
        <v>21</v>
      </c>
      <c r="B26" s="36" t="s">
        <v>46</v>
      </c>
      <c r="C26" s="147"/>
    </row>
    <row r="27" spans="1:3" s="2" customFormat="1">
      <c r="A27" s="67">
        <v>22</v>
      </c>
      <c r="B27" s="36" t="s">
        <v>47</v>
      </c>
      <c r="C27" s="147"/>
    </row>
    <row r="28" spans="1:3" s="2" customFormat="1" ht="27.6">
      <c r="A28" s="67">
        <v>23</v>
      </c>
      <c r="B28" s="36" t="s">
        <v>48</v>
      </c>
      <c r="C28" s="147"/>
    </row>
    <row r="29" spans="1:3" s="2" customFormat="1">
      <c r="A29" s="67">
        <v>24</v>
      </c>
      <c r="B29" s="42" t="s">
        <v>22</v>
      </c>
      <c r="C29" s="146">
        <f>C6-C12</f>
        <v>432033813.05520499</v>
      </c>
    </row>
    <row r="30" spans="1:3" s="2" customFormat="1">
      <c r="A30" s="69"/>
      <c r="B30" s="37"/>
      <c r="C30" s="147"/>
    </row>
    <row r="31" spans="1:3" s="2" customFormat="1">
      <c r="A31" s="69">
        <v>25</v>
      </c>
      <c r="B31" s="42" t="s">
        <v>49</v>
      </c>
      <c r="C31" s="146">
        <f>C32+C35</f>
        <v>26951000</v>
      </c>
    </row>
    <row r="32" spans="1:3" s="2" customFormat="1">
      <c r="A32" s="69">
        <v>26</v>
      </c>
      <c r="B32" s="33" t="s">
        <v>50</v>
      </c>
      <c r="C32" s="148">
        <f>C33+C34</f>
        <v>26951000</v>
      </c>
    </row>
    <row r="33" spans="1:3" s="2" customFormat="1">
      <c r="A33" s="69">
        <v>27</v>
      </c>
      <c r="B33" s="88" t="s">
        <v>51</v>
      </c>
      <c r="C33" s="147"/>
    </row>
    <row r="34" spans="1:3" s="2" customFormat="1">
      <c r="A34" s="69">
        <v>28</v>
      </c>
      <c r="B34" s="88" t="s">
        <v>52</v>
      </c>
      <c r="C34" s="147">
        <v>26951000</v>
      </c>
    </row>
    <row r="35" spans="1:3" s="2" customFormat="1">
      <c r="A35" s="69">
        <v>29</v>
      </c>
      <c r="B35" s="33" t="s">
        <v>53</v>
      </c>
      <c r="C35" s="147"/>
    </row>
    <row r="36" spans="1:3" s="2" customFormat="1">
      <c r="A36" s="69">
        <v>30</v>
      </c>
      <c r="B36" s="42" t="s">
        <v>54</v>
      </c>
      <c r="C36" s="146">
        <f>SUM(C37:C41)</f>
        <v>0</v>
      </c>
    </row>
    <row r="37" spans="1:3" s="2" customFormat="1">
      <c r="A37" s="69">
        <v>31</v>
      </c>
      <c r="B37" s="34" t="s">
        <v>55</v>
      </c>
      <c r="C37" s="147"/>
    </row>
    <row r="38" spans="1:3" s="2" customFormat="1">
      <c r="A38" s="69">
        <v>32</v>
      </c>
      <c r="B38" s="35" t="s">
        <v>56</v>
      </c>
      <c r="C38" s="147"/>
    </row>
    <row r="39" spans="1:3" s="2" customFormat="1" ht="27.6">
      <c r="A39" s="69">
        <v>33</v>
      </c>
      <c r="B39" s="34" t="s">
        <v>57</v>
      </c>
      <c r="C39" s="147"/>
    </row>
    <row r="40" spans="1:3" s="2" customFormat="1" ht="27.6">
      <c r="A40" s="69">
        <v>34</v>
      </c>
      <c r="B40" s="34" t="s">
        <v>45</v>
      </c>
      <c r="C40" s="147"/>
    </row>
    <row r="41" spans="1:3" s="2" customFormat="1" ht="27.6">
      <c r="A41" s="69">
        <v>35</v>
      </c>
      <c r="B41" s="36" t="s">
        <v>58</v>
      </c>
      <c r="C41" s="147"/>
    </row>
    <row r="42" spans="1:3" s="2" customFormat="1">
      <c r="A42" s="69">
        <v>36</v>
      </c>
      <c r="B42" s="42" t="s">
        <v>23</v>
      </c>
      <c r="C42" s="146">
        <f>C31-C36</f>
        <v>26951000</v>
      </c>
    </row>
    <row r="43" spans="1:3" s="2" customFormat="1">
      <c r="A43" s="69"/>
      <c r="B43" s="37"/>
      <c r="C43" s="147"/>
    </row>
    <row r="44" spans="1:3" s="2" customFormat="1">
      <c r="A44" s="69">
        <v>37</v>
      </c>
      <c r="B44" s="43" t="s">
        <v>59</v>
      </c>
      <c r="C44" s="146">
        <f>SUM(C45:C47)</f>
        <v>135772440.96000001</v>
      </c>
    </row>
    <row r="45" spans="1:3" s="2" customFormat="1">
      <c r="A45" s="69">
        <v>38</v>
      </c>
      <c r="B45" s="33" t="s">
        <v>60</v>
      </c>
      <c r="C45" s="147">
        <v>135772440.96000001</v>
      </c>
    </row>
    <row r="46" spans="1:3" s="2" customFormat="1">
      <c r="A46" s="69">
        <v>39</v>
      </c>
      <c r="B46" s="33" t="s">
        <v>61</v>
      </c>
      <c r="C46" s="147"/>
    </row>
    <row r="47" spans="1:3" s="2" customFormat="1">
      <c r="A47" s="69">
        <v>40</v>
      </c>
      <c r="B47" s="579" t="s">
        <v>693</v>
      </c>
      <c r="C47" s="147"/>
    </row>
    <row r="48" spans="1:3" s="2" customFormat="1">
      <c r="A48" s="69">
        <v>41</v>
      </c>
      <c r="B48" s="43" t="s">
        <v>62</v>
      </c>
      <c r="C48" s="146">
        <f>SUM(C49:C52)</f>
        <v>0</v>
      </c>
    </row>
    <row r="49" spans="1:3" s="2" customFormat="1">
      <c r="A49" s="69">
        <v>42</v>
      </c>
      <c r="B49" s="34" t="s">
        <v>63</v>
      </c>
      <c r="C49" s="147"/>
    </row>
    <row r="50" spans="1:3" s="2" customFormat="1">
      <c r="A50" s="69">
        <v>43</v>
      </c>
      <c r="B50" s="35" t="s">
        <v>64</v>
      </c>
      <c r="C50" s="147"/>
    </row>
    <row r="51" spans="1:3" s="2" customFormat="1" ht="27.6">
      <c r="A51" s="69">
        <v>44</v>
      </c>
      <c r="B51" s="34" t="s">
        <v>65</v>
      </c>
      <c r="C51" s="147"/>
    </row>
    <row r="52" spans="1:3" s="2" customFormat="1" ht="27.6">
      <c r="A52" s="69">
        <v>45</v>
      </c>
      <c r="B52" s="34" t="s">
        <v>45</v>
      </c>
      <c r="C52" s="147"/>
    </row>
    <row r="53" spans="1:3" s="2" customFormat="1" ht="15" thickBot="1">
      <c r="A53" s="69">
        <v>46</v>
      </c>
      <c r="B53" s="70" t="s">
        <v>24</v>
      </c>
      <c r="C53" s="149">
        <f>C44-C48</f>
        <v>135772440.96000001</v>
      </c>
    </row>
    <row r="56" spans="1:3">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C15" sqref="C15:C17"/>
    </sheetView>
  </sheetViews>
  <sheetFormatPr defaultColWidth="9.21875" defaultRowHeight="13.8"/>
  <cols>
    <col min="1" max="1" width="10.77734375" style="1" bestFit="1" customWidth="1"/>
    <col min="2" max="2" width="59" style="1" customWidth="1"/>
    <col min="3" max="3" width="16.77734375" style="1" bestFit="1" customWidth="1"/>
    <col min="4" max="4" width="22.21875" style="1" customWidth="1"/>
    <col min="5" max="16384" width="9.21875" style="1"/>
  </cols>
  <sheetData>
    <row r="1" spans="1:6">
      <c r="A1" s="13" t="s">
        <v>97</v>
      </c>
      <c r="B1" s="12" t="str">
        <f>Info!C2</f>
        <v>სს "კრედო ბანკი"</v>
      </c>
    </row>
    <row r="2" spans="1:6" s="13" customFormat="1" ht="15.75" customHeight="1">
      <c r="A2" s="13" t="s">
        <v>98</v>
      </c>
      <c r="B2" s="274">
        <f>'1. key ratios'!B2</f>
        <v>46022</v>
      </c>
    </row>
    <row r="3" spans="1:6" s="13" customFormat="1" ht="15.75" customHeight="1"/>
    <row r="4" spans="1:6" ht="14.4" thickBot="1">
      <c r="A4" s="1" t="s">
        <v>345</v>
      </c>
      <c r="B4" s="222" t="s">
        <v>346</v>
      </c>
    </row>
    <row r="5" spans="1:6" s="29" customFormat="1">
      <c r="A5" s="810" t="s">
        <v>347</v>
      </c>
      <c r="B5" s="811"/>
      <c r="C5" s="212" t="s">
        <v>348</v>
      </c>
      <c r="D5" s="213" t="s">
        <v>349</v>
      </c>
    </row>
    <row r="6" spans="1:6" s="223" customFormat="1">
      <c r="A6" s="214">
        <v>1</v>
      </c>
      <c r="B6" s="215" t="s">
        <v>350</v>
      </c>
      <c r="C6" s="215"/>
      <c r="D6" s="216"/>
    </row>
    <row r="7" spans="1:6" s="223" customFormat="1">
      <c r="A7" s="217" t="s">
        <v>351</v>
      </c>
      <c r="B7" s="218" t="s">
        <v>352</v>
      </c>
      <c r="C7" s="241">
        <v>4.4999999999999998E-2</v>
      </c>
      <c r="D7" s="682">
        <f>C7*'5. RWA'!$C$13</f>
        <v>146677060.90506542</v>
      </c>
    </row>
    <row r="8" spans="1:6" s="223" customFormat="1">
      <c r="A8" s="217" t="s">
        <v>353</v>
      </c>
      <c r="B8" s="218" t="s">
        <v>354</v>
      </c>
      <c r="C8" s="242">
        <v>0.06</v>
      </c>
      <c r="D8" s="682">
        <f>C8*'5. RWA'!$C$13</f>
        <v>195569414.54008722</v>
      </c>
    </row>
    <row r="9" spans="1:6" s="223" customFormat="1">
      <c r="A9" s="217" t="s">
        <v>355</v>
      </c>
      <c r="B9" s="218" t="s">
        <v>356</v>
      </c>
      <c r="C9" s="242">
        <v>0.08</v>
      </c>
      <c r="D9" s="682">
        <f>C9*'5. RWA'!$C$13</f>
        <v>260759219.386783</v>
      </c>
    </row>
    <row r="10" spans="1:6" s="223" customFormat="1">
      <c r="A10" s="214" t="s">
        <v>357</v>
      </c>
      <c r="B10" s="215" t="s">
        <v>358</v>
      </c>
      <c r="C10" s="243"/>
      <c r="D10" s="683"/>
    </row>
    <row r="11" spans="1:6" s="224" customFormat="1">
      <c r="A11" s="219" t="s">
        <v>359</v>
      </c>
      <c r="B11" s="220" t="s">
        <v>996</v>
      </c>
      <c r="C11" s="244">
        <v>2.5000000000000001E-2</v>
      </c>
      <c r="D11" s="684">
        <f>C11*'5. RWA'!$C$13</f>
        <v>81487256.058369696</v>
      </c>
    </row>
    <row r="12" spans="1:6" s="224" customFormat="1">
      <c r="A12" s="219" t="s">
        <v>360</v>
      </c>
      <c r="B12" s="220" t="s">
        <v>361</v>
      </c>
      <c r="C12" s="244">
        <v>5.0000000000000001E-3</v>
      </c>
      <c r="D12" s="684">
        <f>C12*'5. RWA'!$C$13</f>
        <v>16297451.211673938</v>
      </c>
    </row>
    <row r="13" spans="1:6" s="224" customFormat="1">
      <c r="A13" s="219" t="s">
        <v>362</v>
      </c>
      <c r="B13" s="220" t="s">
        <v>363</v>
      </c>
      <c r="C13" s="244"/>
      <c r="D13" s="684">
        <f>C13*'5. RWA'!$C$13</f>
        <v>0</v>
      </c>
    </row>
    <row r="14" spans="1:6" s="223" customFormat="1">
      <c r="A14" s="214" t="s">
        <v>364</v>
      </c>
      <c r="B14" s="215" t="s">
        <v>409</v>
      </c>
      <c r="C14" s="245"/>
      <c r="D14" s="683"/>
    </row>
    <row r="15" spans="1:6" s="223" customFormat="1">
      <c r="A15" s="234" t="s">
        <v>367</v>
      </c>
      <c r="B15" s="220" t="s">
        <v>410</v>
      </c>
      <c r="C15" s="244">
        <v>4.0673463296418882E-2</v>
      </c>
      <c r="D15" s="684">
        <f>C15*'5. RWA'!$C$13</f>
        <v>132574756.73663947</v>
      </c>
      <c r="F15" s="775"/>
    </row>
    <row r="16" spans="1:6" s="223" customFormat="1">
      <c r="A16" s="234" t="s">
        <v>368</v>
      </c>
      <c r="B16" s="220" t="s">
        <v>370</v>
      </c>
      <c r="C16" s="244">
        <v>4.6616939205967524E-2</v>
      </c>
      <c r="D16" s="684">
        <f>C16*'5. RWA'!$C$13</f>
        <v>151947458.46936512</v>
      </c>
      <c r="F16" s="775"/>
    </row>
    <row r="17" spans="1:6" s="223" customFormat="1">
      <c r="A17" s="234" t="s">
        <v>369</v>
      </c>
      <c r="B17" s="220" t="s">
        <v>407</v>
      </c>
      <c r="C17" s="244">
        <v>5.4437302244847316E-2</v>
      </c>
      <c r="D17" s="684">
        <f>C17*'5. RWA'!$C$13</f>
        <v>177437855.48610944</v>
      </c>
      <c r="F17" s="775"/>
    </row>
    <row r="18" spans="1:6" s="29" customFormat="1">
      <c r="A18" s="812" t="s">
        <v>408</v>
      </c>
      <c r="B18" s="813"/>
      <c r="C18" s="246" t="s">
        <v>348</v>
      </c>
      <c r="D18" s="685" t="s">
        <v>349</v>
      </c>
    </row>
    <row r="19" spans="1:6" s="223" customFormat="1">
      <c r="A19" s="221">
        <v>4</v>
      </c>
      <c r="B19" s="220" t="s">
        <v>22</v>
      </c>
      <c r="C19" s="244">
        <f>C7+C11+C12+C13+C15</f>
        <v>0.11567346329641889</v>
      </c>
      <c r="D19" s="778">
        <f>C19*'5. RWA'!$C$13</f>
        <v>377036524.91174853</v>
      </c>
      <c r="F19" s="777"/>
    </row>
    <row r="20" spans="1:6" s="223" customFormat="1">
      <c r="A20" s="221">
        <v>5</v>
      </c>
      <c r="B20" s="220" t="s">
        <v>75</v>
      </c>
      <c r="C20" s="244">
        <f>C8+C11+C12+C13+C16</f>
        <v>0.13661693920596751</v>
      </c>
      <c r="D20" s="778">
        <f>C20*'5. RWA'!$C$13</f>
        <v>445301580.27949595</v>
      </c>
      <c r="F20" s="777"/>
    </row>
    <row r="21" spans="1:6" s="223" customFormat="1" ht="14.4" thickBot="1">
      <c r="A21" s="225" t="s">
        <v>365</v>
      </c>
      <c r="B21" s="226" t="s">
        <v>74</v>
      </c>
      <c r="C21" s="247">
        <f>C9+C11+C12+C13+C17</f>
        <v>0.16443730224484732</v>
      </c>
      <c r="D21" s="779">
        <f>C21*'5. RWA'!$C$13</f>
        <v>535981782.14293605</v>
      </c>
      <c r="F21" s="777"/>
    </row>
    <row r="23" spans="1:6">
      <c r="B23" s="17"/>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topLeftCell="A4" zoomScaleNormal="100" workbookViewId="0">
      <selection activeCell="B20" sqref="B20"/>
    </sheetView>
  </sheetViews>
  <sheetFormatPr defaultRowHeight="14.4"/>
  <cols>
    <col min="1" max="1" width="107.109375" bestFit="1" customWidth="1"/>
    <col min="2" max="2" width="50.88671875" bestFit="1" customWidth="1"/>
    <col min="3" max="3" width="28.109375" bestFit="1" customWidth="1"/>
    <col min="4" max="4" width="28.21875" customWidth="1"/>
    <col min="5" max="7" width="28.109375" customWidth="1"/>
  </cols>
  <sheetData>
    <row r="1" spans="1:2">
      <c r="A1" s="549" t="s">
        <v>97</v>
      </c>
      <c r="B1" s="12" t="str">
        <f>Info!C2</f>
        <v>სს "კრედო ბანკი"</v>
      </c>
    </row>
    <row r="2" spans="1:2">
      <c r="A2" s="549" t="s">
        <v>98</v>
      </c>
      <c r="B2" s="274">
        <f>'1. key ratios'!B2</f>
        <v>46022</v>
      </c>
    </row>
    <row r="3" spans="1:2">
      <c r="A3" s="550" t="s">
        <v>947</v>
      </c>
      <c r="B3" s="545" t="s">
        <v>918</v>
      </c>
    </row>
    <row r="4" spans="1:2" ht="15" thickBot="1"/>
    <row r="5" spans="1:2">
      <c r="A5" s="555"/>
      <c r="B5" s="556" t="s">
        <v>919</v>
      </c>
    </row>
    <row r="6" spans="1:2">
      <c r="A6" s="551" t="s">
        <v>920</v>
      </c>
      <c r="B6" s="557">
        <f>SUM(B7,B11)</f>
        <v>594757254.01520503</v>
      </c>
    </row>
    <row r="7" spans="1:2" ht="15.6">
      <c r="A7" s="551" t="s">
        <v>953</v>
      </c>
      <c r="B7" s="557">
        <f>SUM(B8:B10)</f>
        <v>594757254.01520503</v>
      </c>
    </row>
    <row r="8" spans="1:2">
      <c r="A8" s="552" t="s">
        <v>921</v>
      </c>
      <c r="B8" s="558">
        <f>'9. Capital'!C29</f>
        <v>432033813.05520499</v>
      </c>
    </row>
    <row r="9" spans="1:2">
      <c r="A9" s="552" t="s">
        <v>922</v>
      </c>
      <c r="B9" s="558">
        <f>'9. Capital'!C42</f>
        <v>26951000</v>
      </c>
    </row>
    <row r="10" spans="1:2">
      <c r="A10" s="552" t="s">
        <v>923</v>
      </c>
      <c r="B10" s="558">
        <f>'9. Capital'!C53</f>
        <v>135772440.96000001</v>
      </c>
    </row>
    <row r="11" spans="1:2">
      <c r="A11" s="551" t="s">
        <v>924</v>
      </c>
      <c r="B11" s="557">
        <f>SUM(B12:B13)</f>
        <v>0</v>
      </c>
    </row>
    <row r="12" spans="1:2" ht="15.6">
      <c r="A12" s="552" t="s">
        <v>954</v>
      </c>
      <c r="B12" s="558"/>
    </row>
    <row r="13" spans="1:2" ht="15.6">
      <c r="A13" s="552" t="s">
        <v>955</v>
      </c>
      <c r="B13" s="558"/>
    </row>
    <row r="14" spans="1:2">
      <c r="A14" s="551" t="s">
        <v>925</v>
      </c>
      <c r="B14" s="557">
        <f>SUM(B15:B16)</f>
        <v>594757254.01520503</v>
      </c>
    </row>
    <row r="15" spans="1:2">
      <c r="A15" s="553" t="s">
        <v>926</v>
      </c>
      <c r="B15" s="558"/>
    </row>
    <row r="16" spans="1:2">
      <c r="A16" s="553" t="s">
        <v>74</v>
      </c>
      <c r="B16" s="558">
        <f>B7</f>
        <v>594757254.01520503</v>
      </c>
    </row>
    <row r="17" spans="1:5">
      <c r="A17" s="551" t="s">
        <v>927</v>
      </c>
      <c r="B17" s="557"/>
    </row>
    <row r="18" spans="1:5">
      <c r="A18" s="553" t="s">
        <v>928</v>
      </c>
      <c r="B18" s="558">
        <f>'5. RWA'!C13</f>
        <v>3259490242.3347874</v>
      </c>
    </row>
    <row r="19" spans="1:5">
      <c r="A19" s="553" t="s">
        <v>929</v>
      </c>
      <c r="B19" s="558">
        <f>'15.1. LR'!C32</f>
        <v>3990560764.1768303</v>
      </c>
    </row>
    <row r="20" spans="1:5">
      <c r="A20" s="551" t="s">
        <v>930</v>
      </c>
      <c r="B20" s="557"/>
    </row>
    <row r="21" spans="1:5">
      <c r="A21" s="554" t="s">
        <v>931</v>
      </c>
      <c r="B21" s="559">
        <f>IFERROR(B6/B18,0)</f>
        <v>0.18246940772836237</v>
      </c>
    </row>
    <row r="22" spans="1:5">
      <c r="A22" s="554" t="s">
        <v>932</v>
      </c>
      <c r="B22" s="559">
        <f>IFERROR(B6/B19,0)</f>
        <v>0.14904102184192428</v>
      </c>
    </row>
    <row r="23" spans="1:5" ht="15" thickBot="1">
      <c r="A23" s="560" t="s">
        <v>933</v>
      </c>
      <c r="B23" s="561">
        <f>IFERROR(B6/B14,0)</f>
        <v>1</v>
      </c>
    </row>
    <row r="24" spans="1:5" ht="16.5" customHeight="1">
      <c r="A24" s="548" t="s">
        <v>956</v>
      </c>
      <c r="B24" s="546"/>
      <c r="C24" s="546"/>
      <c r="D24" s="546"/>
      <c r="E24" s="546"/>
    </row>
    <row r="25" spans="1:5" ht="25.5" customHeight="1">
      <c r="A25" s="548" t="s">
        <v>957</v>
      </c>
    </row>
    <row r="26" spans="1:5" ht="57" customHeight="1">
      <c r="A26" s="548" t="s">
        <v>958</v>
      </c>
    </row>
    <row r="27" spans="1:5">
      <c r="A27" s="547"/>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9" sqref="A9"/>
    </sheetView>
  </sheetViews>
  <sheetFormatPr defaultRowHeight="14.4"/>
  <cols>
    <col min="1" max="1" width="82" customWidth="1"/>
    <col min="2" max="2" width="28.109375" bestFit="1" customWidth="1"/>
    <col min="3" max="3" width="28.21875" customWidth="1"/>
    <col min="4" max="6" width="28.109375" customWidth="1"/>
  </cols>
  <sheetData>
    <row r="1" spans="1:6">
      <c r="A1" s="549" t="s">
        <v>97</v>
      </c>
      <c r="B1" s="12" t="str">
        <f>Info!C2</f>
        <v>სს "კრედო ბანკი"</v>
      </c>
      <c r="C1" s="1"/>
    </row>
    <row r="2" spans="1:6">
      <c r="A2" s="549" t="s">
        <v>98</v>
      </c>
      <c r="B2" s="274">
        <f>'1. key ratios'!B2</f>
        <v>46022</v>
      </c>
      <c r="C2" s="1"/>
    </row>
    <row r="3" spans="1:6">
      <c r="A3" s="550" t="s">
        <v>948</v>
      </c>
      <c r="B3" s="545" t="s">
        <v>918</v>
      </c>
      <c r="C3" s="1"/>
    </row>
    <row r="5" spans="1:6">
      <c r="A5" s="547"/>
    </row>
    <row r="6" spans="1:6" ht="15" thickBot="1">
      <c r="A6" s="562"/>
      <c r="B6" s="562"/>
      <c r="C6" s="562"/>
      <c r="D6" s="562"/>
      <c r="E6" s="562"/>
      <c r="F6" s="562"/>
    </row>
    <row r="7" spans="1:6">
      <c r="A7" s="814"/>
      <c r="B7" s="816" t="s">
        <v>934</v>
      </c>
      <c r="C7" s="816"/>
      <c r="D7" s="816"/>
      <c r="E7" s="816"/>
      <c r="F7" s="817" t="s">
        <v>935</v>
      </c>
    </row>
    <row r="8" spans="1:6" ht="27.6">
      <c r="A8" s="815"/>
      <c r="B8" s="563" t="s">
        <v>936</v>
      </c>
      <c r="C8" s="563" t="s">
        <v>937</v>
      </c>
      <c r="D8" s="563" t="s">
        <v>938</v>
      </c>
      <c r="E8" s="563" t="s">
        <v>939</v>
      </c>
      <c r="F8" s="818"/>
    </row>
    <row r="9" spans="1:6">
      <c r="A9" s="564" t="s">
        <v>940</v>
      </c>
      <c r="B9" s="565">
        <f>B13+B17</f>
        <v>0</v>
      </c>
      <c r="C9" s="565">
        <f t="shared" ref="C9:E9" si="0">C13+C17</f>
        <v>0</v>
      </c>
      <c r="D9" s="565">
        <f t="shared" si="0"/>
        <v>0</v>
      </c>
      <c r="E9" s="565">
        <f t="shared" si="0"/>
        <v>0</v>
      </c>
      <c r="F9" s="566">
        <f>F13+F17</f>
        <v>0</v>
      </c>
    </row>
    <row r="10" spans="1:6">
      <c r="A10" s="567" t="s">
        <v>941</v>
      </c>
      <c r="B10" s="568">
        <f t="shared" ref="B10:E12" si="1">B14+B18</f>
        <v>0</v>
      </c>
      <c r="C10" s="568">
        <f t="shared" si="1"/>
        <v>0</v>
      </c>
      <c r="D10" s="568">
        <f t="shared" si="1"/>
        <v>0</v>
      </c>
      <c r="E10" s="568">
        <f t="shared" si="1"/>
        <v>0</v>
      </c>
      <c r="F10" s="566">
        <f>SUM(B10:E10)</f>
        <v>0</v>
      </c>
    </row>
    <row r="11" spans="1:6">
      <c r="A11" s="567" t="s">
        <v>942</v>
      </c>
      <c r="B11" s="568">
        <f t="shared" si="1"/>
        <v>0</v>
      </c>
      <c r="C11" s="568">
        <f t="shared" si="1"/>
        <v>0</v>
      </c>
      <c r="D11" s="568">
        <f t="shared" si="1"/>
        <v>0</v>
      </c>
      <c r="E11" s="568">
        <f t="shared" si="1"/>
        <v>0</v>
      </c>
      <c r="F11" s="566">
        <f t="shared" ref="F11:F12" si="2">SUM(B11:E11)</f>
        <v>0</v>
      </c>
    </row>
    <row r="12" spans="1:6">
      <c r="A12" s="569" t="s">
        <v>943</v>
      </c>
      <c r="B12" s="568">
        <f t="shared" si="1"/>
        <v>0</v>
      </c>
      <c r="C12" s="568">
        <f t="shared" si="1"/>
        <v>0</v>
      </c>
      <c r="D12" s="568">
        <f t="shared" si="1"/>
        <v>0</v>
      </c>
      <c r="E12" s="568">
        <f t="shared" si="1"/>
        <v>0</v>
      </c>
      <c r="F12" s="566">
        <f t="shared" si="2"/>
        <v>0</v>
      </c>
    </row>
    <row r="13" spans="1:6">
      <c r="A13" s="570" t="s">
        <v>944</v>
      </c>
      <c r="B13" s="571"/>
      <c r="C13" s="571"/>
      <c r="D13" s="571"/>
      <c r="E13" s="571"/>
      <c r="F13" s="572"/>
    </row>
    <row r="14" spans="1:6">
      <c r="A14" s="567" t="s">
        <v>941</v>
      </c>
      <c r="B14" s="573"/>
      <c r="C14" s="573"/>
      <c r="D14" s="573"/>
      <c r="E14" s="573"/>
      <c r="F14" s="574"/>
    </row>
    <row r="15" spans="1:6">
      <c r="A15" s="567" t="s">
        <v>942</v>
      </c>
      <c r="B15" s="573"/>
      <c r="C15" s="573"/>
      <c r="D15" s="573"/>
      <c r="E15" s="573"/>
      <c r="F15" s="574"/>
    </row>
    <row r="16" spans="1:6">
      <c r="A16" s="569" t="s">
        <v>943</v>
      </c>
      <c r="B16" s="573"/>
      <c r="C16" s="573"/>
      <c r="D16" s="573"/>
      <c r="E16" s="573"/>
      <c r="F16" s="574"/>
    </row>
    <row r="17" spans="1:6">
      <c r="A17" s="570" t="s">
        <v>924</v>
      </c>
      <c r="B17" s="571"/>
      <c r="C17" s="571"/>
      <c r="D17" s="571"/>
      <c r="E17" s="571"/>
      <c r="F17" s="574"/>
    </row>
    <row r="18" spans="1:6">
      <c r="A18" s="567" t="s">
        <v>941</v>
      </c>
      <c r="B18" s="573"/>
      <c r="C18" s="573"/>
      <c r="D18" s="573"/>
      <c r="E18" s="573"/>
      <c r="F18" s="574"/>
    </row>
    <row r="19" spans="1:6">
      <c r="A19" s="567" t="s">
        <v>942</v>
      </c>
      <c r="B19" s="573"/>
      <c r="C19" s="573"/>
      <c r="D19" s="573"/>
      <c r="E19" s="573"/>
      <c r="F19" s="574"/>
    </row>
    <row r="20" spans="1:6" ht="15" thickBot="1">
      <c r="A20" s="575" t="s">
        <v>943</v>
      </c>
      <c r="B20" s="576"/>
      <c r="C20" s="576"/>
      <c r="D20" s="576"/>
      <c r="E20" s="576"/>
      <c r="F20" s="577"/>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34" activePane="bottomRight" state="frozen"/>
      <selection pane="topRight" activeCell="B1" sqref="B1"/>
      <selection pane="bottomLeft" activeCell="A5" sqref="A5"/>
      <selection pane="bottomRight" activeCell="C50" sqref="C50"/>
    </sheetView>
  </sheetViews>
  <sheetFormatPr defaultRowHeight="14.4"/>
  <cols>
    <col min="1" max="1" width="10.77734375" style="30" customWidth="1"/>
    <col min="2" max="2" width="91.77734375" style="30" customWidth="1"/>
    <col min="3" max="3" width="53.21875" style="30" customWidth="1"/>
    <col min="4" max="4" width="32.21875" style="30" customWidth="1"/>
    <col min="5" max="5" width="9.44140625" customWidth="1"/>
  </cols>
  <sheetData>
    <row r="1" spans="1:6">
      <c r="A1" s="13" t="s">
        <v>97</v>
      </c>
      <c r="B1" s="14" t="str">
        <f>Info!C2</f>
        <v>სს "კრედო ბანკი"</v>
      </c>
      <c r="E1" s="1"/>
      <c r="F1" s="1"/>
    </row>
    <row r="2" spans="1:6" s="13" customFormat="1" ht="15.75" customHeight="1">
      <c r="A2" s="13" t="s">
        <v>98</v>
      </c>
      <c r="B2" s="274">
        <f>'1. key ratios'!B2</f>
        <v>46022</v>
      </c>
    </row>
    <row r="3" spans="1:6" s="13" customFormat="1" ht="15.75" customHeight="1">
      <c r="A3" s="19"/>
    </row>
    <row r="4" spans="1:6" s="13" customFormat="1" ht="15.75" customHeight="1" thickBot="1">
      <c r="A4" s="13" t="s">
        <v>247</v>
      </c>
      <c r="B4" s="110" t="s">
        <v>161</v>
      </c>
      <c r="D4" s="112" t="s">
        <v>76</v>
      </c>
    </row>
    <row r="5" spans="1:6" ht="27.6">
      <c r="A5" s="76" t="s">
        <v>25</v>
      </c>
      <c r="B5" s="77" t="s">
        <v>133</v>
      </c>
      <c r="C5" s="78" t="s">
        <v>826</v>
      </c>
      <c r="D5" s="111" t="s">
        <v>162</v>
      </c>
    </row>
    <row r="6" spans="1:6">
      <c r="A6" s="379">
        <v>1</v>
      </c>
      <c r="B6" s="338" t="s">
        <v>811</v>
      </c>
      <c r="C6" s="412">
        <f>SUM(C7:C9)</f>
        <v>603778083.73146057</v>
      </c>
      <c r="D6" s="71"/>
      <c r="E6" s="4"/>
    </row>
    <row r="7" spans="1:6">
      <c r="A7" s="379">
        <v>1.1000000000000001</v>
      </c>
      <c r="B7" s="340" t="s">
        <v>85</v>
      </c>
      <c r="C7" s="405">
        <v>98471832.86999999</v>
      </c>
      <c r="D7" s="72"/>
      <c r="E7" s="4"/>
    </row>
    <row r="8" spans="1:6">
      <c r="A8" s="379">
        <v>1.2</v>
      </c>
      <c r="B8" s="340" t="s">
        <v>86</v>
      </c>
      <c r="C8" s="405">
        <v>323170857.97000003</v>
      </c>
      <c r="D8" s="72"/>
      <c r="E8" s="4"/>
    </row>
    <row r="9" spans="1:6">
      <c r="A9" s="379">
        <v>1.3</v>
      </c>
      <c r="B9" s="340" t="s">
        <v>87</v>
      </c>
      <c r="C9" s="405">
        <v>182135392.89146048</v>
      </c>
      <c r="D9" s="72"/>
      <c r="E9" s="4"/>
    </row>
    <row r="10" spans="1:6">
      <c r="A10" s="379">
        <v>2</v>
      </c>
      <c r="B10" s="341" t="s">
        <v>698</v>
      </c>
      <c r="C10" s="414">
        <v>584722.38</v>
      </c>
      <c r="D10" s="72"/>
      <c r="E10" s="4"/>
    </row>
    <row r="11" spans="1:6">
      <c r="A11" s="379">
        <v>2.1</v>
      </c>
      <c r="B11" s="342" t="s">
        <v>699</v>
      </c>
      <c r="C11" s="406">
        <v>584722.38</v>
      </c>
      <c r="D11" s="73"/>
      <c r="E11" s="5"/>
    </row>
    <row r="12" spans="1:6" ht="23.55" customHeight="1">
      <c r="A12" s="379">
        <v>3</v>
      </c>
      <c r="B12" s="343" t="s">
        <v>700</v>
      </c>
      <c r="C12" s="413"/>
      <c r="D12" s="73"/>
      <c r="E12" s="5"/>
    </row>
    <row r="13" spans="1:6" ht="22.95" customHeight="1">
      <c r="A13" s="379">
        <v>4</v>
      </c>
      <c r="B13" s="344" t="s">
        <v>701</v>
      </c>
      <c r="C13" s="413"/>
      <c r="D13" s="73"/>
      <c r="E13" s="5"/>
    </row>
    <row r="14" spans="1:6">
      <c r="A14" s="379">
        <v>5</v>
      </c>
      <c r="B14" s="344" t="s">
        <v>702</v>
      </c>
      <c r="C14" s="413">
        <f>SUM(C15:C17)</f>
        <v>0</v>
      </c>
      <c r="D14" s="73"/>
      <c r="E14" s="5"/>
    </row>
    <row r="15" spans="1:6">
      <c r="A15" s="379">
        <v>5.0999999999999996</v>
      </c>
      <c r="B15" s="345" t="s">
        <v>703</v>
      </c>
      <c r="C15" s="405"/>
      <c r="D15" s="73"/>
      <c r="E15" s="4"/>
    </row>
    <row r="16" spans="1:6">
      <c r="A16" s="379">
        <v>5.2</v>
      </c>
      <c r="B16" s="345" t="s">
        <v>538</v>
      </c>
      <c r="C16" s="405"/>
      <c r="D16" s="72"/>
      <c r="E16" s="4"/>
    </row>
    <row r="17" spans="1:5">
      <c r="A17" s="379">
        <v>5.3</v>
      </c>
      <c r="B17" s="345" t="s">
        <v>704</v>
      </c>
      <c r="C17" s="405"/>
      <c r="D17" s="72"/>
      <c r="E17" s="4"/>
    </row>
    <row r="18" spans="1:5">
      <c r="A18" s="379">
        <v>6</v>
      </c>
      <c r="B18" s="343" t="s">
        <v>705</v>
      </c>
      <c r="C18" s="414">
        <f>SUM(C19:C20)</f>
        <v>3140661246.721879</v>
      </c>
      <c r="D18" s="72"/>
      <c r="E18" s="4"/>
    </row>
    <row r="19" spans="1:5">
      <c r="A19" s="379">
        <v>6.1</v>
      </c>
      <c r="B19" s="345" t="s">
        <v>538</v>
      </c>
      <c r="C19" s="406">
        <v>68081706.859999985</v>
      </c>
      <c r="D19" s="72"/>
      <c r="E19" s="4"/>
    </row>
    <row r="20" spans="1:5">
      <c r="A20" s="379">
        <v>6.2</v>
      </c>
      <c r="B20" s="345" t="s">
        <v>704</v>
      </c>
      <c r="C20" s="406">
        <v>3072579539.8618789</v>
      </c>
      <c r="D20" s="72"/>
      <c r="E20" s="4"/>
    </row>
    <row r="21" spans="1:5">
      <c r="A21" s="379">
        <v>7</v>
      </c>
      <c r="B21" s="346" t="s">
        <v>706</v>
      </c>
      <c r="C21" s="413">
        <v>3680542.15</v>
      </c>
      <c r="D21" s="72"/>
      <c r="E21" s="4"/>
    </row>
    <row r="22" spans="1:5">
      <c r="A22" s="379">
        <v>8</v>
      </c>
      <c r="B22" s="347" t="s">
        <v>707</v>
      </c>
      <c r="C22" s="414"/>
      <c r="D22" s="72"/>
      <c r="E22" s="4"/>
    </row>
    <row r="23" spans="1:5">
      <c r="A23" s="379">
        <v>9</v>
      </c>
      <c r="B23" s="344" t="s">
        <v>708</v>
      </c>
      <c r="C23" s="414">
        <f>SUM(C24:C25)</f>
        <v>55533762.390000008</v>
      </c>
      <c r="D23" s="404"/>
      <c r="E23" s="4"/>
    </row>
    <row r="24" spans="1:5">
      <c r="A24" s="379">
        <v>9.1</v>
      </c>
      <c r="B24" s="348" t="s">
        <v>709</v>
      </c>
      <c r="C24" s="407">
        <v>55533762.390000008</v>
      </c>
      <c r="D24" s="74"/>
      <c r="E24" s="4"/>
    </row>
    <row r="25" spans="1:5">
      <c r="A25" s="379">
        <v>9.1999999999999993</v>
      </c>
      <c r="B25" s="348" t="s">
        <v>710</v>
      </c>
      <c r="C25" s="408"/>
      <c r="D25" s="403"/>
      <c r="E25" s="3"/>
    </row>
    <row r="26" spans="1:5">
      <c r="A26" s="379">
        <v>10</v>
      </c>
      <c r="B26" s="344" t="s">
        <v>36</v>
      </c>
      <c r="C26" s="415">
        <f>SUM(C27:C28)</f>
        <v>40661044.859999985</v>
      </c>
      <c r="D26" s="542" t="s">
        <v>1031</v>
      </c>
      <c r="E26" s="4"/>
    </row>
    <row r="27" spans="1:5">
      <c r="A27" s="379">
        <v>10.1</v>
      </c>
      <c r="B27" s="348" t="s">
        <v>711</v>
      </c>
      <c r="C27" s="405"/>
      <c r="D27" s="72"/>
      <c r="E27" s="4"/>
    </row>
    <row r="28" spans="1:5">
      <c r="A28" s="379">
        <v>10.199999999999999</v>
      </c>
      <c r="B28" s="348" t="s">
        <v>712</v>
      </c>
      <c r="C28" s="405">
        <v>40661044.859999985</v>
      </c>
      <c r="D28" s="72"/>
      <c r="E28" s="4"/>
    </row>
    <row r="29" spans="1:5">
      <c r="A29" s="379">
        <v>11</v>
      </c>
      <c r="B29" s="344" t="s">
        <v>713</v>
      </c>
      <c r="C29" s="414">
        <f>SUM(C30:C31)</f>
        <v>0</v>
      </c>
      <c r="D29" s="72"/>
      <c r="E29" s="4"/>
    </row>
    <row r="30" spans="1:5">
      <c r="A30" s="379">
        <v>11.1</v>
      </c>
      <c r="B30" s="348" t="s">
        <v>714</v>
      </c>
      <c r="C30" s="405"/>
      <c r="D30" s="72"/>
      <c r="E30" s="4"/>
    </row>
    <row r="31" spans="1:5">
      <c r="A31" s="379">
        <v>11.2</v>
      </c>
      <c r="B31" s="348" t="s">
        <v>715</v>
      </c>
      <c r="C31" s="405"/>
      <c r="D31" s="72"/>
      <c r="E31" s="4"/>
    </row>
    <row r="32" spans="1:5">
      <c r="A32" s="379">
        <v>13</v>
      </c>
      <c r="B32" s="344" t="s">
        <v>88</v>
      </c>
      <c r="C32" s="414">
        <v>58918649.879999995</v>
      </c>
      <c r="D32" s="72"/>
      <c r="E32" s="4"/>
    </row>
    <row r="33" spans="1:5">
      <c r="A33" s="379">
        <v>13.1</v>
      </c>
      <c r="B33" s="349" t="s">
        <v>716</v>
      </c>
      <c r="C33" s="405">
        <v>32854683.049999997</v>
      </c>
      <c r="D33" s="72"/>
      <c r="E33" s="4"/>
    </row>
    <row r="34" spans="1:5">
      <c r="A34" s="379">
        <v>13.2</v>
      </c>
      <c r="B34" s="349" t="s">
        <v>717</v>
      </c>
      <c r="C34" s="407"/>
      <c r="D34" s="74"/>
      <c r="E34" s="4"/>
    </row>
    <row r="35" spans="1:5">
      <c r="A35" s="379">
        <v>14</v>
      </c>
      <c r="B35" s="350" t="s">
        <v>718</v>
      </c>
      <c r="C35" s="416">
        <f>SUM(C6,C10,C12,C13,C14,C18,C21,C22,C23,C26,C29,C32)</f>
        <v>3903818052.1133399</v>
      </c>
      <c r="D35" s="74"/>
      <c r="E35" s="4"/>
    </row>
    <row r="36" spans="1:5">
      <c r="A36" s="379"/>
      <c r="B36" s="351" t="s">
        <v>93</v>
      </c>
      <c r="C36" s="150"/>
      <c r="D36" s="75"/>
      <c r="E36" s="4"/>
    </row>
    <row r="37" spans="1:5">
      <c r="A37" s="379">
        <v>15</v>
      </c>
      <c r="B37" s="352" t="s">
        <v>719</v>
      </c>
      <c r="C37" s="408">
        <v>710699.44</v>
      </c>
      <c r="D37" s="403"/>
      <c r="E37" s="3"/>
    </row>
    <row r="38" spans="1:5">
      <c r="A38" s="379">
        <v>15.1</v>
      </c>
      <c r="B38" s="354" t="s">
        <v>699</v>
      </c>
      <c r="C38" s="405">
        <v>710699.44</v>
      </c>
      <c r="D38" s="72"/>
      <c r="E38" s="4"/>
    </row>
    <row r="39" spans="1:5" ht="20.399999999999999">
      <c r="A39" s="379">
        <v>16</v>
      </c>
      <c r="B39" s="346" t="s">
        <v>720</v>
      </c>
      <c r="C39" s="414"/>
      <c r="D39" s="72"/>
      <c r="E39" s="4"/>
    </row>
    <row r="40" spans="1:5">
      <c r="A40" s="379">
        <v>17</v>
      </c>
      <c r="B40" s="346" t="s">
        <v>721</v>
      </c>
      <c r="C40" s="414">
        <f>SUM(C41:C44)</f>
        <v>3135388679.1600003</v>
      </c>
      <c r="D40" s="72"/>
      <c r="E40" s="4"/>
    </row>
    <row r="41" spans="1:5">
      <c r="A41" s="379">
        <v>17.100000000000001</v>
      </c>
      <c r="B41" s="355" t="s">
        <v>722</v>
      </c>
      <c r="C41" s="405">
        <v>1763469397</v>
      </c>
      <c r="D41" s="72"/>
      <c r="E41" s="4"/>
    </row>
    <row r="42" spans="1:5">
      <c r="A42" s="395">
        <v>17.2</v>
      </c>
      <c r="B42" s="396" t="s">
        <v>89</v>
      </c>
      <c r="C42" s="407">
        <v>1346196562.3500001</v>
      </c>
      <c r="D42" s="74"/>
      <c r="E42" s="4"/>
    </row>
    <row r="43" spans="1:5">
      <c r="A43" s="379">
        <v>17.3</v>
      </c>
      <c r="B43" s="397" t="s">
        <v>723</v>
      </c>
      <c r="C43" s="409">
        <v>0</v>
      </c>
      <c r="D43" s="398"/>
      <c r="E43" s="4"/>
    </row>
    <row r="44" spans="1:5">
      <c r="A44" s="379">
        <v>17.399999999999999</v>
      </c>
      <c r="B44" s="397" t="s">
        <v>724</v>
      </c>
      <c r="C44" s="409">
        <v>25722719.810000002</v>
      </c>
      <c r="D44" s="398"/>
      <c r="E44" s="4"/>
    </row>
    <row r="45" spans="1:5">
      <c r="A45" s="379">
        <v>18</v>
      </c>
      <c r="B45" s="363" t="s">
        <v>725</v>
      </c>
      <c r="C45" s="417">
        <v>2130807.94</v>
      </c>
      <c r="D45" s="398"/>
      <c r="E45" s="3"/>
    </row>
    <row r="46" spans="1:5">
      <c r="A46" s="379">
        <v>19</v>
      </c>
      <c r="B46" s="363" t="s">
        <v>726</v>
      </c>
      <c r="C46" s="414">
        <f>SUM(C47:C48)</f>
        <v>9440614.3900000043</v>
      </c>
      <c r="D46" s="399"/>
    </row>
    <row r="47" spans="1:5">
      <c r="A47" s="379">
        <v>19.100000000000001</v>
      </c>
      <c r="B47" s="400" t="s">
        <v>727</v>
      </c>
      <c r="C47" s="409">
        <v>2985916.9400000051</v>
      </c>
      <c r="D47" s="399"/>
    </row>
    <row r="48" spans="1:5">
      <c r="A48" s="379">
        <v>19.2</v>
      </c>
      <c r="B48" s="400" t="s">
        <v>728</v>
      </c>
      <c r="C48" s="409">
        <v>6454697.4500000002</v>
      </c>
      <c r="D48" s="399"/>
    </row>
    <row r="49" spans="1:4">
      <c r="A49" s="379">
        <v>20</v>
      </c>
      <c r="B49" s="359" t="s">
        <v>90</v>
      </c>
      <c r="C49" s="414">
        <v>226589430.50999999</v>
      </c>
      <c r="D49" s="542" t="s">
        <v>1032</v>
      </c>
    </row>
    <row r="50" spans="1:4">
      <c r="A50" s="379">
        <v>21</v>
      </c>
      <c r="B50" s="360" t="s">
        <v>78</v>
      </c>
      <c r="C50" s="414">
        <v>56862965.099999987</v>
      </c>
      <c r="D50" s="399"/>
    </row>
    <row r="51" spans="1:4">
      <c r="A51" s="379">
        <v>21.1</v>
      </c>
      <c r="B51" s="356" t="s">
        <v>729</v>
      </c>
      <c r="C51" s="410"/>
      <c r="D51" s="399"/>
    </row>
    <row r="52" spans="1:4">
      <c r="A52" s="379">
        <v>22</v>
      </c>
      <c r="B52" s="359" t="s">
        <v>730</v>
      </c>
      <c r="C52" s="414">
        <f>SUM(C37,C39,C40,C45,C46,C49,C50)</f>
        <v>3431123196.5400004</v>
      </c>
      <c r="D52" s="399"/>
    </row>
    <row r="53" spans="1:4">
      <c r="A53" s="379"/>
      <c r="B53" s="361" t="s">
        <v>731</v>
      </c>
      <c r="C53" s="399"/>
      <c r="D53" s="399"/>
    </row>
    <row r="54" spans="1:4">
      <c r="A54" s="379">
        <v>23</v>
      </c>
      <c r="B54" s="359" t="s">
        <v>94</v>
      </c>
      <c r="C54" s="414">
        <v>5270620</v>
      </c>
      <c r="D54" s="542" t="s">
        <v>1033</v>
      </c>
    </row>
    <row r="55" spans="1:4">
      <c r="A55" s="379">
        <v>24</v>
      </c>
      <c r="B55" s="359" t="s">
        <v>732</v>
      </c>
      <c r="C55" s="418">
        <v>0</v>
      </c>
      <c r="D55" s="686"/>
    </row>
    <row r="56" spans="1:4">
      <c r="A56" s="379">
        <v>25</v>
      </c>
      <c r="B56" s="359" t="s">
        <v>91</v>
      </c>
      <c r="C56" s="414">
        <v>41797124.479999997</v>
      </c>
      <c r="D56" s="542" t="s">
        <v>1034</v>
      </c>
    </row>
    <row r="57" spans="1:4">
      <c r="A57" s="379">
        <v>26</v>
      </c>
      <c r="B57" s="363" t="s">
        <v>733</v>
      </c>
      <c r="C57" s="418"/>
      <c r="D57" s="399"/>
    </row>
    <row r="58" spans="1:4">
      <c r="A58" s="379">
        <v>27</v>
      </c>
      <c r="B58" s="363" t="s">
        <v>734</v>
      </c>
      <c r="C58" s="418">
        <f>SUM(C59:C60)</f>
        <v>0</v>
      </c>
      <c r="D58" s="399"/>
    </row>
    <row r="59" spans="1:4">
      <c r="A59" s="379">
        <v>27.1</v>
      </c>
      <c r="B59" s="400" t="s">
        <v>735</v>
      </c>
      <c r="C59" s="411"/>
      <c r="D59" s="399"/>
    </row>
    <row r="60" spans="1:4">
      <c r="A60" s="379">
        <v>27.2</v>
      </c>
      <c r="B60" s="397" t="s">
        <v>736</v>
      </c>
      <c r="C60" s="411"/>
      <c r="D60" s="399"/>
    </row>
    <row r="61" spans="1:4">
      <c r="A61" s="379">
        <v>28</v>
      </c>
      <c r="B61" s="360" t="s">
        <v>737</v>
      </c>
      <c r="C61" s="418"/>
      <c r="D61" s="399"/>
    </row>
    <row r="62" spans="1:4">
      <c r="A62" s="379">
        <v>29</v>
      </c>
      <c r="B62" s="363" t="s">
        <v>738</v>
      </c>
      <c r="C62" s="418">
        <f>SUM(C63:C65)</f>
        <v>0</v>
      </c>
      <c r="D62" s="399"/>
    </row>
    <row r="63" spans="1:4">
      <c r="A63" s="379">
        <v>29.1</v>
      </c>
      <c r="B63" s="401" t="s">
        <v>739</v>
      </c>
      <c r="C63" s="411"/>
      <c r="D63" s="399"/>
    </row>
    <row r="64" spans="1:4" ht="24" customHeight="1">
      <c r="A64" s="379">
        <v>29.2</v>
      </c>
      <c r="B64" s="400" t="s">
        <v>740</v>
      </c>
      <c r="C64" s="411"/>
      <c r="D64" s="399"/>
    </row>
    <row r="65" spans="1:4" ht="22.05" customHeight="1">
      <c r="A65" s="379">
        <v>29.3</v>
      </c>
      <c r="B65" s="402" t="s">
        <v>741</v>
      </c>
      <c r="C65" s="411"/>
      <c r="D65" s="399"/>
    </row>
    <row r="66" spans="1:4">
      <c r="A66" s="379">
        <v>30</v>
      </c>
      <c r="B66" s="363" t="s">
        <v>92</v>
      </c>
      <c r="C66" s="414">
        <v>425627111.43520498</v>
      </c>
      <c r="D66" s="542" t="s">
        <v>1035</v>
      </c>
    </row>
    <row r="67" spans="1:4">
      <c r="A67" s="379">
        <v>31</v>
      </c>
      <c r="B67" s="362" t="s">
        <v>742</v>
      </c>
      <c r="C67" s="414">
        <f>SUM(C54,C55,C56,C57,C58,C61,C62,C66)</f>
        <v>472694855.915205</v>
      </c>
      <c r="D67" s="399"/>
    </row>
    <row r="68" spans="1:4">
      <c r="A68" s="379">
        <v>32</v>
      </c>
      <c r="B68" s="363" t="s">
        <v>743</v>
      </c>
      <c r="C68" s="414">
        <f>SUM(C52,C67)</f>
        <v>3903818052.4552054</v>
      </c>
      <c r="D68" s="399"/>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D17" activePane="bottomRight" state="frozen"/>
      <selection pane="topRight" activeCell="C1" sqref="C1"/>
      <selection pane="bottomLeft" activeCell="A8" sqref="A8"/>
      <selection pane="bottomRight" activeCell="M21" sqref="M21"/>
    </sheetView>
  </sheetViews>
  <sheetFormatPr defaultColWidth="9.21875" defaultRowHeight="13.8"/>
  <cols>
    <col min="1" max="1" width="5.109375" style="1" customWidth="1"/>
    <col min="2" max="2" width="46.109375" style="1" customWidth="1"/>
    <col min="3" max="3" width="11.33203125" style="1" bestFit="1" customWidth="1"/>
    <col min="4" max="4" width="13.21875" style="1" bestFit="1" customWidth="1"/>
    <col min="5" max="5" width="14" style="1" customWidth="1"/>
    <col min="6" max="6" width="10.6640625" style="1" customWidth="1"/>
    <col min="7" max="7" width="13.6640625" style="1" customWidth="1"/>
    <col min="8" max="8" width="13.21875" style="1" bestFit="1" customWidth="1"/>
    <col min="9" max="9" width="15.44140625" style="1" customWidth="1"/>
    <col min="10" max="10" width="8.88671875" style="1" customWidth="1"/>
    <col min="11" max="11" width="12.6640625" style="1" customWidth="1"/>
    <col min="12" max="12" width="11.21875" style="1" customWidth="1"/>
    <col min="13" max="13" width="14.5546875" style="1" customWidth="1"/>
    <col min="14" max="14" width="11" style="1" customWidth="1"/>
    <col min="15" max="15" width="13.44140625" style="1" customWidth="1"/>
    <col min="16" max="16" width="13.21875" style="1" bestFit="1" customWidth="1"/>
    <col min="17" max="17" width="9.44140625" style="1" bestFit="1" customWidth="1"/>
    <col min="18" max="18" width="13.21875" style="1" bestFit="1" customWidth="1"/>
    <col min="19" max="19" width="17" style="1" customWidth="1"/>
    <col min="20" max="16384" width="9.21875" style="8"/>
  </cols>
  <sheetData>
    <row r="1" spans="1:19">
      <c r="A1" s="1" t="s">
        <v>97</v>
      </c>
      <c r="B1" s="1" t="str">
        <f>Info!C2</f>
        <v>სს "კრედო ბანკი"</v>
      </c>
    </row>
    <row r="2" spans="1:19">
      <c r="A2" s="1" t="s">
        <v>98</v>
      </c>
      <c r="B2" s="274">
        <f>'1. key ratios'!B2</f>
        <v>46022</v>
      </c>
    </row>
    <row r="3" spans="1:19" ht="4.2" customHeight="1"/>
    <row r="4" spans="1:19" ht="15.6" customHeight="1" thickBot="1">
      <c r="A4" s="29" t="s">
        <v>248</v>
      </c>
      <c r="B4" s="166"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59" t="s">
        <v>272</v>
      </c>
      <c r="S5" s="56" t="s">
        <v>273</v>
      </c>
    </row>
    <row r="6" spans="1:19" ht="25.2" customHeight="1">
      <c r="A6" s="79"/>
      <c r="B6" s="823" t="s">
        <v>274</v>
      </c>
      <c r="C6" s="821">
        <v>0</v>
      </c>
      <c r="D6" s="822"/>
      <c r="E6" s="821">
        <v>0.2</v>
      </c>
      <c r="F6" s="822"/>
      <c r="G6" s="821">
        <v>0.35</v>
      </c>
      <c r="H6" s="822"/>
      <c r="I6" s="821">
        <v>0.5</v>
      </c>
      <c r="J6" s="822"/>
      <c r="K6" s="821">
        <v>0.75</v>
      </c>
      <c r="L6" s="822"/>
      <c r="M6" s="821">
        <v>1</v>
      </c>
      <c r="N6" s="822"/>
      <c r="O6" s="821">
        <v>1.5</v>
      </c>
      <c r="P6" s="822"/>
      <c r="Q6" s="821">
        <v>2.5</v>
      </c>
      <c r="R6" s="822"/>
      <c r="S6" s="819" t="s">
        <v>145</v>
      </c>
    </row>
    <row r="7" spans="1:19" ht="10.8" customHeight="1">
      <c r="A7" s="79"/>
      <c r="B7" s="824"/>
      <c r="C7" s="165" t="s">
        <v>267</v>
      </c>
      <c r="D7" s="165" t="s">
        <v>268</v>
      </c>
      <c r="E7" s="165" t="s">
        <v>267</v>
      </c>
      <c r="F7" s="165" t="s">
        <v>268</v>
      </c>
      <c r="G7" s="165" t="s">
        <v>267</v>
      </c>
      <c r="H7" s="165" t="s">
        <v>268</v>
      </c>
      <c r="I7" s="165" t="s">
        <v>267</v>
      </c>
      <c r="J7" s="165" t="s">
        <v>268</v>
      </c>
      <c r="K7" s="165" t="s">
        <v>267</v>
      </c>
      <c r="L7" s="165" t="s">
        <v>268</v>
      </c>
      <c r="M7" s="165" t="s">
        <v>267</v>
      </c>
      <c r="N7" s="165" t="s">
        <v>268</v>
      </c>
      <c r="O7" s="165" t="s">
        <v>267</v>
      </c>
      <c r="P7" s="165" t="s">
        <v>268</v>
      </c>
      <c r="Q7" s="165" t="s">
        <v>267</v>
      </c>
      <c r="R7" s="165" t="s">
        <v>268</v>
      </c>
      <c r="S7" s="820"/>
    </row>
    <row r="8" spans="1:19" ht="24" customHeight="1">
      <c r="A8" s="59">
        <v>1</v>
      </c>
      <c r="B8" s="34" t="s">
        <v>123</v>
      </c>
      <c r="C8" s="151">
        <v>325711327.96999997</v>
      </c>
      <c r="D8" s="151"/>
      <c r="E8" s="151"/>
      <c r="F8" s="160"/>
      <c r="G8" s="151"/>
      <c r="H8" s="151"/>
      <c r="I8" s="151"/>
      <c r="J8" s="151"/>
      <c r="K8" s="151"/>
      <c r="L8" s="151"/>
      <c r="M8" s="151">
        <v>65541236.649999999</v>
      </c>
      <c r="N8" s="151"/>
      <c r="O8" s="151"/>
      <c r="P8" s="151"/>
      <c r="Q8" s="151"/>
      <c r="R8" s="160"/>
      <c r="S8" s="169">
        <f>$C$6*SUM(C8:D8)+$E$6*SUM(E8:F8)+$G$6*SUM(G8:H8)+$I$6*SUM(I8:J8)+$K$6*SUM(K8:L8)+$M$6*SUM(M8:N8)+$O$6*SUM(O8:P8)+$Q$6*SUM(Q8:R8)</f>
        <v>65541236.649999999</v>
      </c>
    </row>
    <row r="9" spans="1:19" ht="41.4">
      <c r="A9" s="59">
        <v>2</v>
      </c>
      <c r="B9" s="34" t="s">
        <v>124</v>
      </c>
      <c r="C9" s="687"/>
      <c r="D9" s="151"/>
      <c r="E9" s="151"/>
      <c r="F9" s="151"/>
      <c r="G9" s="151"/>
      <c r="H9" s="151"/>
      <c r="I9" s="151"/>
      <c r="J9" s="151"/>
      <c r="K9" s="151"/>
      <c r="L9" s="151"/>
      <c r="M9" s="151"/>
      <c r="N9" s="151"/>
      <c r="O9" s="151"/>
      <c r="P9" s="151"/>
      <c r="Q9" s="151"/>
      <c r="R9" s="160"/>
      <c r="S9" s="169">
        <f t="shared" ref="S9:S21" si="0">$C$6*SUM(C9:D9)+$E$6*SUM(E9:F9)+$G$6*SUM(G9:H9)+$I$6*SUM(I9:J9)+$K$6*SUM(K9:L9)+$M$6*SUM(M9:N9)+$O$6*SUM(O9:P9)+$Q$6*SUM(Q9:R9)</f>
        <v>0</v>
      </c>
    </row>
    <row r="10" spans="1:19" ht="27.6">
      <c r="A10" s="59">
        <v>3</v>
      </c>
      <c r="B10" s="34" t="s">
        <v>125</v>
      </c>
      <c r="C10" s="687"/>
      <c r="D10" s="151"/>
      <c r="E10" s="151"/>
      <c r="F10" s="151"/>
      <c r="G10" s="151"/>
      <c r="H10" s="151"/>
      <c r="I10" s="151"/>
      <c r="J10" s="151"/>
      <c r="K10" s="151"/>
      <c r="L10" s="151"/>
      <c r="M10" s="151"/>
      <c r="N10" s="151"/>
      <c r="O10" s="151"/>
      <c r="P10" s="151"/>
      <c r="Q10" s="151"/>
      <c r="R10" s="160"/>
      <c r="S10" s="169">
        <f t="shared" si="0"/>
        <v>0</v>
      </c>
    </row>
    <row r="11" spans="1:19" ht="27.6">
      <c r="A11" s="59">
        <v>4</v>
      </c>
      <c r="B11" s="34" t="s">
        <v>126</v>
      </c>
      <c r="C11" s="151"/>
      <c r="D11" s="151"/>
      <c r="E11" s="151"/>
      <c r="F11" s="151"/>
      <c r="G11" s="151"/>
      <c r="H11" s="151"/>
      <c r="I11" s="151"/>
      <c r="J11" s="151"/>
      <c r="K11" s="151"/>
      <c r="L11" s="151"/>
      <c r="M11" s="151"/>
      <c r="N11" s="151"/>
      <c r="O11" s="151"/>
      <c r="P11" s="151"/>
      <c r="Q11" s="151"/>
      <c r="R11" s="160"/>
      <c r="S11" s="169">
        <f t="shared" si="0"/>
        <v>0</v>
      </c>
    </row>
    <row r="12" spans="1:19" ht="41.4">
      <c r="A12" s="59">
        <v>5</v>
      </c>
      <c r="B12" s="34" t="s">
        <v>911</v>
      </c>
      <c r="C12" s="151"/>
      <c r="D12" s="151"/>
      <c r="E12" s="151"/>
      <c r="F12" s="151"/>
      <c r="G12" s="151"/>
      <c r="H12" s="151"/>
      <c r="I12" s="151"/>
      <c r="J12" s="151"/>
      <c r="K12" s="151"/>
      <c r="L12" s="151"/>
      <c r="M12" s="151"/>
      <c r="N12" s="151"/>
      <c r="O12" s="151"/>
      <c r="P12" s="151"/>
      <c r="Q12" s="151"/>
      <c r="R12" s="160"/>
      <c r="S12" s="169">
        <f t="shared" si="0"/>
        <v>0</v>
      </c>
    </row>
    <row r="13" spans="1:19" ht="27.6">
      <c r="A13" s="59">
        <v>6</v>
      </c>
      <c r="B13" s="34" t="s">
        <v>127</v>
      </c>
      <c r="C13" s="151"/>
      <c r="D13" s="151"/>
      <c r="E13" s="151">
        <v>165885511</v>
      </c>
      <c r="F13" s="151"/>
      <c r="G13" s="151"/>
      <c r="H13" s="151"/>
      <c r="I13" s="151">
        <v>16089044</v>
      </c>
      <c r="J13" s="151"/>
      <c r="K13" s="151"/>
      <c r="L13" s="151"/>
      <c r="M13" s="151">
        <v>147699</v>
      </c>
      <c r="N13" s="151"/>
      <c r="O13" s="151">
        <v>13138</v>
      </c>
      <c r="P13" s="151"/>
      <c r="Q13" s="151"/>
      <c r="R13" s="160"/>
      <c r="S13" s="169">
        <f t="shared" si="0"/>
        <v>41389030.200000003</v>
      </c>
    </row>
    <row r="14" spans="1:19" ht="27.6">
      <c r="A14" s="59">
        <v>7</v>
      </c>
      <c r="B14" s="34" t="s">
        <v>71</v>
      </c>
      <c r="C14" s="151"/>
      <c r="D14" s="151"/>
      <c r="E14" s="151"/>
      <c r="F14" s="151"/>
      <c r="G14" s="151"/>
      <c r="H14" s="151"/>
      <c r="I14" s="151"/>
      <c r="J14" s="151"/>
      <c r="K14" s="151"/>
      <c r="L14" s="151"/>
      <c r="M14" s="151">
        <v>121254064.25368549</v>
      </c>
      <c r="N14" s="151">
        <v>10368928</v>
      </c>
      <c r="O14" s="151"/>
      <c r="P14" s="151"/>
      <c r="Q14" s="151"/>
      <c r="R14" s="160"/>
      <c r="S14" s="169">
        <f t="shared" si="0"/>
        <v>131622992.25368549</v>
      </c>
    </row>
    <row r="15" spans="1:19" ht="26.4" customHeight="1">
      <c r="A15" s="59">
        <v>8</v>
      </c>
      <c r="B15" s="34" t="s">
        <v>72</v>
      </c>
      <c r="C15" s="151"/>
      <c r="D15" s="151"/>
      <c r="E15" s="151"/>
      <c r="F15" s="151"/>
      <c r="G15" s="151"/>
      <c r="H15" s="151"/>
      <c r="I15" s="151"/>
      <c r="J15" s="151"/>
      <c r="K15" s="151">
        <v>2794456815.0441236</v>
      </c>
      <c r="L15" s="151">
        <v>111771088.7</v>
      </c>
      <c r="M15" s="151"/>
      <c r="N15" s="151"/>
      <c r="O15" s="151"/>
      <c r="P15" s="151"/>
      <c r="Q15" s="151"/>
      <c r="R15" s="160"/>
      <c r="S15" s="169">
        <f t="shared" si="0"/>
        <v>2179670927.8080926</v>
      </c>
    </row>
    <row r="16" spans="1:19" ht="41.4">
      <c r="A16" s="59">
        <v>9</v>
      </c>
      <c r="B16" s="34" t="s">
        <v>912</v>
      </c>
      <c r="C16" s="151"/>
      <c r="D16" s="151"/>
      <c r="E16" s="151"/>
      <c r="F16" s="151"/>
      <c r="G16" s="151">
        <v>149504743.37188411</v>
      </c>
      <c r="H16" s="151"/>
      <c r="I16" s="151"/>
      <c r="J16" s="151"/>
      <c r="K16" s="151"/>
      <c r="L16" s="151"/>
      <c r="M16" s="151"/>
      <c r="N16" s="151"/>
      <c r="O16" s="151"/>
      <c r="P16" s="151"/>
      <c r="Q16" s="151"/>
      <c r="R16" s="160"/>
      <c r="S16" s="169">
        <f t="shared" si="0"/>
        <v>52326660.180159435</v>
      </c>
    </row>
    <row r="17" spans="1:19" ht="28.8" customHeight="1">
      <c r="A17" s="59">
        <v>10</v>
      </c>
      <c r="B17" s="34" t="s">
        <v>67</v>
      </c>
      <c r="C17" s="151"/>
      <c r="D17" s="151"/>
      <c r="E17" s="151"/>
      <c r="F17" s="151"/>
      <c r="G17" s="151"/>
      <c r="H17" s="151"/>
      <c r="I17" s="151">
        <v>59160.608490308958</v>
      </c>
      <c r="J17" s="151"/>
      <c r="K17" s="151"/>
      <c r="L17" s="151"/>
      <c r="M17" s="151">
        <v>7304756.5836043414</v>
      </c>
      <c r="N17" s="151"/>
      <c r="O17" s="151"/>
      <c r="P17" s="151"/>
      <c r="Q17" s="151"/>
      <c r="R17" s="160"/>
      <c r="S17" s="169">
        <f t="shared" si="0"/>
        <v>7334336.8878494957</v>
      </c>
    </row>
    <row r="18" spans="1:19" ht="27.6">
      <c r="A18" s="59">
        <v>11</v>
      </c>
      <c r="B18" s="34" t="s">
        <v>68</v>
      </c>
      <c r="C18" s="151"/>
      <c r="D18" s="151"/>
      <c r="E18" s="151"/>
      <c r="F18" s="151"/>
      <c r="G18" s="151"/>
      <c r="H18" s="151"/>
      <c r="I18" s="151"/>
      <c r="J18" s="151"/>
      <c r="K18" s="151"/>
      <c r="L18" s="151"/>
      <c r="M18" s="151"/>
      <c r="N18" s="151"/>
      <c r="O18" s="151"/>
      <c r="P18" s="151"/>
      <c r="Q18" s="151"/>
      <c r="R18" s="160"/>
      <c r="S18" s="169">
        <f t="shared" si="0"/>
        <v>0</v>
      </c>
    </row>
    <row r="19" spans="1:19" ht="27.6">
      <c r="A19" s="59">
        <v>12</v>
      </c>
      <c r="B19" s="34" t="s">
        <v>69</v>
      </c>
      <c r="C19" s="151"/>
      <c r="D19" s="151"/>
      <c r="E19" s="151"/>
      <c r="F19" s="151"/>
      <c r="G19" s="151"/>
      <c r="H19" s="151"/>
      <c r="I19" s="151"/>
      <c r="J19" s="151"/>
      <c r="K19" s="151"/>
      <c r="L19" s="151"/>
      <c r="M19" s="151"/>
      <c r="N19" s="151"/>
      <c r="O19" s="151"/>
      <c r="P19" s="151"/>
      <c r="Q19" s="151"/>
      <c r="R19" s="160"/>
      <c r="S19" s="169">
        <f t="shared" si="0"/>
        <v>0</v>
      </c>
    </row>
    <row r="20" spans="1:19">
      <c r="A20" s="59">
        <v>13</v>
      </c>
      <c r="B20" s="34" t="s">
        <v>70</v>
      </c>
      <c r="C20" s="151"/>
      <c r="D20" s="151"/>
      <c r="E20" s="151"/>
      <c r="F20" s="151"/>
      <c r="G20" s="151"/>
      <c r="H20" s="151"/>
      <c r="I20" s="151"/>
      <c r="J20" s="151"/>
      <c r="K20" s="151"/>
      <c r="L20" s="151"/>
      <c r="M20" s="151"/>
      <c r="N20" s="151"/>
      <c r="O20" s="151"/>
      <c r="P20" s="151"/>
      <c r="Q20" s="151"/>
      <c r="R20" s="160"/>
      <c r="S20" s="169">
        <f t="shared" si="0"/>
        <v>0</v>
      </c>
    </row>
    <row r="21" spans="1:19">
      <c r="A21" s="59">
        <v>14</v>
      </c>
      <c r="B21" s="34" t="s">
        <v>143</v>
      </c>
      <c r="C21" s="151">
        <v>98471832.870000005</v>
      </c>
      <c r="D21" s="151"/>
      <c r="E21" s="151"/>
      <c r="F21" s="151"/>
      <c r="G21" s="151"/>
      <c r="H21" s="151"/>
      <c r="I21" s="151"/>
      <c r="J21" s="151"/>
      <c r="K21" s="151"/>
      <c r="L21" s="151"/>
      <c r="M21" s="151">
        <v>115037135</v>
      </c>
      <c r="N21" s="151"/>
      <c r="O21" s="151"/>
      <c r="P21" s="151"/>
      <c r="Q21" s="151">
        <v>3680542.15</v>
      </c>
      <c r="R21" s="160"/>
      <c r="S21" s="169">
        <f t="shared" si="0"/>
        <v>124238490.375</v>
      </c>
    </row>
    <row r="22" spans="1:19" ht="14.4" thickBot="1">
      <c r="A22" s="53"/>
      <c r="B22" s="83" t="s">
        <v>66</v>
      </c>
      <c r="C22" s="152">
        <f>SUM(C8:C21)</f>
        <v>424183160.83999997</v>
      </c>
      <c r="D22" s="152">
        <f t="shared" ref="D22:S22" si="1">SUM(D8:D21)</f>
        <v>0</v>
      </c>
      <c r="E22" s="152">
        <f t="shared" si="1"/>
        <v>165885511</v>
      </c>
      <c r="F22" s="152">
        <f t="shared" si="1"/>
        <v>0</v>
      </c>
      <c r="G22" s="152">
        <f t="shared" si="1"/>
        <v>149504743.37188411</v>
      </c>
      <c r="H22" s="152">
        <f t="shared" si="1"/>
        <v>0</v>
      </c>
      <c r="I22" s="152">
        <f t="shared" si="1"/>
        <v>16148204.608490309</v>
      </c>
      <c r="J22" s="152">
        <f t="shared" si="1"/>
        <v>0</v>
      </c>
      <c r="K22" s="152">
        <f t="shared" si="1"/>
        <v>2794456815.0441236</v>
      </c>
      <c r="L22" s="152">
        <f t="shared" si="1"/>
        <v>111771088.7</v>
      </c>
      <c r="M22" s="152">
        <f t="shared" si="1"/>
        <v>309284891.48728979</v>
      </c>
      <c r="N22" s="152">
        <f t="shared" si="1"/>
        <v>10368928</v>
      </c>
      <c r="O22" s="152">
        <f t="shared" si="1"/>
        <v>13138</v>
      </c>
      <c r="P22" s="152">
        <f t="shared" si="1"/>
        <v>0</v>
      </c>
      <c r="Q22" s="152">
        <f t="shared" si="1"/>
        <v>3680542.15</v>
      </c>
      <c r="R22" s="152">
        <f t="shared" si="1"/>
        <v>0</v>
      </c>
      <c r="S22" s="688">
        <f t="shared" si="1"/>
        <v>2602123674.3547869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9" activePane="bottomRight" state="frozen"/>
      <selection pane="topRight" activeCell="C1" sqref="C1"/>
      <selection pane="bottomLeft" activeCell="A6" sqref="A6"/>
      <selection pane="bottomRight" activeCell="D14" sqref="D14"/>
    </sheetView>
  </sheetViews>
  <sheetFormatPr defaultColWidth="9.21875" defaultRowHeight="13.8"/>
  <cols>
    <col min="1" max="1" width="10.5546875" style="1" bestFit="1" customWidth="1"/>
    <col min="2" max="2" width="97" style="1" bestFit="1" customWidth="1"/>
    <col min="3" max="3" width="19" style="1" customWidth="1"/>
    <col min="4" max="4" width="19.5546875" style="1" customWidth="1"/>
    <col min="5" max="5" width="31.21875" style="1" customWidth="1"/>
    <col min="6" max="6" width="29.21875" style="1" customWidth="1"/>
    <col min="7" max="7" width="28.5546875" style="1" customWidth="1"/>
    <col min="8" max="8" width="26.44140625" style="1" customWidth="1"/>
    <col min="9" max="9" width="23.77734375" style="1" customWidth="1"/>
    <col min="10" max="10" width="21.5546875" style="1" customWidth="1"/>
    <col min="11" max="11" width="15.77734375" style="1" customWidth="1"/>
    <col min="12" max="12" width="13.21875" style="1" customWidth="1"/>
    <col min="13" max="13" width="20.77734375" style="1" customWidth="1"/>
    <col min="14" max="14" width="19.21875" style="1" customWidth="1"/>
    <col min="15" max="15" width="18.44140625" style="1" customWidth="1"/>
    <col min="16" max="16" width="19" style="1" customWidth="1"/>
    <col min="17" max="17" width="20.21875" style="1" customWidth="1"/>
    <col min="18" max="18" width="18" style="1" customWidth="1"/>
    <col min="19" max="19" width="36" style="1" customWidth="1"/>
    <col min="20" max="20" width="19.44140625" style="1" customWidth="1"/>
    <col min="21" max="21" width="19.21875" style="1" customWidth="1"/>
    <col min="22" max="22" width="20" style="1" customWidth="1"/>
    <col min="23" max="16384" width="9.21875" style="8"/>
  </cols>
  <sheetData>
    <row r="1" spans="1:22">
      <c r="A1" s="1" t="s">
        <v>97</v>
      </c>
      <c r="B1" s="1" t="str">
        <f>Info!C2</f>
        <v>სს "კრედო ბანკი"</v>
      </c>
    </row>
    <row r="2" spans="1:22">
      <c r="A2" s="1" t="s">
        <v>98</v>
      </c>
      <c r="B2" s="274">
        <f>'1. key ratios'!B2</f>
        <v>46022</v>
      </c>
    </row>
    <row r="4" spans="1:22" ht="28.2" thickBot="1">
      <c r="A4" s="1" t="s">
        <v>249</v>
      </c>
      <c r="B4" s="166" t="s">
        <v>283</v>
      </c>
      <c r="V4" s="112" t="s">
        <v>76</v>
      </c>
    </row>
    <row r="5" spans="1:22">
      <c r="A5" s="51"/>
      <c r="B5" s="52"/>
      <c r="C5" s="825" t="s">
        <v>105</v>
      </c>
      <c r="D5" s="826"/>
      <c r="E5" s="826"/>
      <c r="F5" s="826"/>
      <c r="G5" s="826"/>
      <c r="H5" s="826"/>
      <c r="I5" s="826"/>
      <c r="J5" s="826"/>
      <c r="K5" s="826"/>
      <c r="L5" s="827"/>
      <c r="M5" s="825" t="s">
        <v>106</v>
      </c>
      <c r="N5" s="826"/>
      <c r="O5" s="826"/>
      <c r="P5" s="826"/>
      <c r="Q5" s="826"/>
      <c r="R5" s="826"/>
      <c r="S5" s="827"/>
      <c r="T5" s="830" t="s">
        <v>281</v>
      </c>
      <c r="U5" s="830" t="s">
        <v>280</v>
      </c>
      <c r="V5" s="828"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831"/>
      <c r="U6" s="831"/>
      <c r="V6" s="829"/>
    </row>
    <row r="7" spans="1:22">
      <c r="A7" s="82">
        <v>1</v>
      </c>
      <c r="B7" s="87" t="s">
        <v>123</v>
      </c>
      <c r="C7" s="153"/>
      <c r="D7" s="151"/>
      <c r="E7" s="151"/>
      <c r="F7" s="151"/>
      <c r="G7" s="151"/>
      <c r="H7" s="151"/>
      <c r="I7" s="151"/>
      <c r="J7" s="151"/>
      <c r="K7" s="151"/>
      <c r="L7" s="154"/>
      <c r="M7" s="153"/>
      <c r="N7" s="151"/>
      <c r="O7" s="151"/>
      <c r="P7" s="151"/>
      <c r="Q7" s="151"/>
      <c r="R7" s="151"/>
      <c r="S7" s="154"/>
      <c r="T7" s="163"/>
      <c r="U7" s="162"/>
      <c r="V7" s="155">
        <f>SUM(C7:S7)</f>
        <v>0</v>
      </c>
    </row>
    <row r="8" spans="1:22">
      <c r="A8" s="82">
        <v>2</v>
      </c>
      <c r="B8" s="87" t="s">
        <v>124</v>
      </c>
      <c r="C8" s="153"/>
      <c r="D8" s="151"/>
      <c r="E8" s="151"/>
      <c r="F8" s="151"/>
      <c r="G8" s="151"/>
      <c r="H8" s="151"/>
      <c r="I8" s="151"/>
      <c r="J8" s="151"/>
      <c r="K8" s="151"/>
      <c r="L8" s="154"/>
      <c r="M8" s="153"/>
      <c r="N8" s="151"/>
      <c r="O8" s="151"/>
      <c r="P8" s="151"/>
      <c r="Q8" s="151"/>
      <c r="R8" s="151"/>
      <c r="S8" s="154"/>
      <c r="T8" s="162"/>
      <c r="U8" s="162"/>
      <c r="V8" s="155">
        <f t="shared" ref="V8:V20" si="0">SUM(C8:S8)</f>
        <v>0</v>
      </c>
    </row>
    <row r="9" spans="1:22">
      <c r="A9" s="82">
        <v>3</v>
      </c>
      <c r="B9" s="87" t="s">
        <v>125</v>
      </c>
      <c r="C9" s="153"/>
      <c r="D9" s="151"/>
      <c r="E9" s="151"/>
      <c r="F9" s="151"/>
      <c r="G9" s="151"/>
      <c r="H9" s="151"/>
      <c r="I9" s="151"/>
      <c r="J9" s="151"/>
      <c r="K9" s="151"/>
      <c r="L9" s="154"/>
      <c r="M9" s="153"/>
      <c r="N9" s="151"/>
      <c r="O9" s="151"/>
      <c r="P9" s="151"/>
      <c r="Q9" s="151"/>
      <c r="R9" s="151"/>
      <c r="S9" s="154"/>
      <c r="T9" s="162"/>
      <c r="U9" s="162"/>
      <c r="V9" s="155">
        <f>SUM(C9:S9)</f>
        <v>0</v>
      </c>
    </row>
    <row r="10" spans="1:22">
      <c r="A10" s="82">
        <v>4</v>
      </c>
      <c r="B10" s="87" t="s">
        <v>126</v>
      </c>
      <c r="C10" s="153"/>
      <c r="D10" s="151"/>
      <c r="E10" s="151"/>
      <c r="F10" s="151"/>
      <c r="G10" s="151"/>
      <c r="H10" s="151"/>
      <c r="I10" s="151"/>
      <c r="J10" s="151"/>
      <c r="K10" s="151"/>
      <c r="L10" s="154"/>
      <c r="M10" s="153"/>
      <c r="N10" s="151"/>
      <c r="O10" s="151"/>
      <c r="P10" s="151"/>
      <c r="Q10" s="151"/>
      <c r="R10" s="151"/>
      <c r="S10" s="154"/>
      <c r="T10" s="162"/>
      <c r="U10" s="162"/>
      <c r="V10" s="155">
        <f t="shared" si="0"/>
        <v>0</v>
      </c>
    </row>
    <row r="11" spans="1:22">
      <c r="A11" s="82">
        <v>5</v>
      </c>
      <c r="B11" s="87" t="s">
        <v>911</v>
      </c>
      <c r="C11" s="153"/>
      <c r="D11" s="151"/>
      <c r="E11" s="151"/>
      <c r="F11" s="151"/>
      <c r="G11" s="151"/>
      <c r="H11" s="151"/>
      <c r="I11" s="151"/>
      <c r="J11" s="151"/>
      <c r="K11" s="151"/>
      <c r="L11" s="154"/>
      <c r="M11" s="153"/>
      <c r="N11" s="151"/>
      <c r="O11" s="151"/>
      <c r="P11" s="151"/>
      <c r="Q11" s="151"/>
      <c r="R11" s="151"/>
      <c r="S11" s="154"/>
      <c r="T11" s="162"/>
      <c r="U11" s="162"/>
      <c r="V11" s="155">
        <f t="shared" si="0"/>
        <v>0</v>
      </c>
    </row>
    <row r="12" spans="1:22">
      <c r="A12" s="82">
        <v>6</v>
      </c>
      <c r="B12" s="87" t="s">
        <v>127</v>
      </c>
      <c r="C12" s="153"/>
      <c r="D12" s="151"/>
      <c r="E12" s="151"/>
      <c r="F12" s="151"/>
      <c r="G12" s="151"/>
      <c r="H12" s="151"/>
      <c r="I12" s="151"/>
      <c r="J12" s="151"/>
      <c r="K12" s="151"/>
      <c r="L12" s="154"/>
      <c r="M12" s="153"/>
      <c r="N12" s="151"/>
      <c r="O12" s="151"/>
      <c r="P12" s="151"/>
      <c r="Q12" s="151"/>
      <c r="R12" s="151"/>
      <c r="S12" s="154"/>
      <c r="T12" s="162"/>
      <c r="U12" s="162"/>
      <c r="V12" s="155">
        <f t="shared" si="0"/>
        <v>0</v>
      </c>
    </row>
    <row r="13" spans="1:22">
      <c r="A13" s="82">
        <v>7</v>
      </c>
      <c r="B13" s="87" t="s">
        <v>71</v>
      </c>
      <c r="C13" s="153"/>
      <c r="D13" s="151"/>
      <c r="E13" s="151"/>
      <c r="F13" s="151"/>
      <c r="G13" s="151"/>
      <c r="H13" s="151"/>
      <c r="I13" s="151"/>
      <c r="J13" s="151"/>
      <c r="K13" s="151"/>
      <c r="L13" s="154"/>
      <c r="M13" s="153"/>
      <c r="N13" s="151"/>
      <c r="O13" s="151"/>
      <c r="P13" s="151"/>
      <c r="Q13" s="151"/>
      <c r="R13" s="151"/>
      <c r="S13" s="154"/>
      <c r="T13" s="162"/>
      <c r="U13" s="162"/>
      <c r="V13" s="155">
        <f t="shared" si="0"/>
        <v>0</v>
      </c>
    </row>
    <row r="14" spans="1:22">
      <c r="A14" s="82">
        <v>8</v>
      </c>
      <c r="B14" s="87" t="s">
        <v>72</v>
      </c>
      <c r="C14" s="153"/>
      <c r="D14" s="151">
        <v>5263925.1900000004</v>
      </c>
      <c r="E14" s="151"/>
      <c r="F14" s="151"/>
      <c r="G14" s="151"/>
      <c r="H14" s="151"/>
      <c r="I14" s="151"/>
      <c r="J14" s="151"/>
      <c r="K14" s="151"/>
      <c r="L14" s="154"/>
      <c r="M14" s="153"/>
      <c r="N14" s="151"/>
      <c r="O14" s="151"/>
      <c r="P14" s="151"/>
      <c r="Q14" s="151"/>
      <c r="R14" s="151"/>
      <c r="S14" s="154"/>
      <c r="T14" s="162"/>
      <c r="U14" s="162"/>
      <c r="V14" s="155">
        <f t="shared" si="0"/>
        <v>5263925.1900000004</v>
      </c>
    </row>
    <row r="15" spans="1:22">
      <c r="A15" s="82">
        <v>9</v>
      </c>
      <c r="B15" s="87" t="s">
        <v>912</v>
      </c>
      <c r="C15" s="153"/>
      <c r="D15" s="151"/>
      <c r="E15" s="151"/>
      <c r="F15" s="151"/>
      <c r="G15" s="151"/>
      <c r="H15" s="151"/>
      <c r="I15" s="151"/>
      <c r="J15" s="151"/>
      <c r="K15" s="151"/>
      <c r="L15" s="154"/>
      <c r="M15" s="153"/>
      <c r="N15" s="151"/>
      <c r="O15" s="151"/>
      <c r="P15" s="151"/>
      <c r="Q15" s="151"/>
      <c r="R15" s="151"/>
      <c r="S15" s="154"/>
      <c r="T15" s="162"/>
      <c r="U15" s="162"/>
      <c r="V15" s="155">
        <f t="shared" si="0"/>
        <v>0</v>
      </c>
    </row>
    <row r="16" spans="1:22">
      <c r="A16" s="82">
        <v>10</v>
      </c>
      <c r="B16" s="87" t="s">
        <v>67</v>
      </c>
      <c r="C16" s="153"/>
      <c r="D16" s="151">
        <v>205</v>
      </c>
      <c r="E16" s="151"/>
      <c r="F16" s="151"/>
      <c r="G16" s="151"/>
      <c r="H16" s="151"/>
      <c r="I16" s="151"/>
      <c r="J16" s="151"/>
      <c r="K16" s="151"/>
      <c r="L16" s="154"/>
      <c r="M16" s="153"/>
      <c r="N16" s="151"/>
      <c r="O16" s="151"/>
      <c r="P16" s="151"/>
      <c r="Q16" s="151"/>
      <c r="R16" s="151"/>
      <c r="S16" s="154"/>
      <c r="T16" s="162"/>
      <c r="U16" s="162"/>
      <c r="V16" s="155">
        <f t="shared" si="0"/>
        <v>205</v>
      </c>
    </row>
    <row r="17" spans="1:22">
      <c r="A17" s="82">
        <v>11</v>
      </c>
      <c r="B17" s="87" t="s">
        <v>68</v>
      </c>
      <c r="C17" s="153"/>
      <c r="D17" s="151"/>
      <c r="E17" s="151"/>
      <c r="F17" s="151"/>
      <c r="G17" s="151"/>
      <c r="H17" s="151"/>
      <c r="I17" s="151"/>
      <c r="J17" s="151"/>
      <c r="K17" s="151"/>
      <c r="L17" s="154"/>
      <c r="M17" s="153"/>
      <c r="N17" s="151"/>
      <c r="O17" s="151"/>
      <c r="P17" s="151"/>
      <c r="Q17" s="151"/>
      <c r="R17" s="151"/>
      <c r="S17" s="154"/>
      <c r="T17" s="162"/>
      <c r="U17" s="162"/>
      <c r="V17" s="155">
        <f t="shared" si="0"/>
        <v>0</v>
      </c>
    </row>
    <row r="18" spans="1:22">
      <c r="A18" s="82">
        <v>12</v>
      </c>
      <c r="B18" s="87" t="s">
        <v>69</v>
      </c>
      <c r="C18" s="153"/>
      <c r="D18" s="151"/>
      <c r="E18" s="151"/>
      <c r="F18" s="151"/>
      <c r="G18" s="151"/>
      <c r="H18" s="151"/>
      <c r="I18" s="151"/>
      <c r="J18" s="151"/>
      <c r="K18" s="151"/>
      <c r="L18" s="154"/>
      <c r="M18" s="153"/>
      <c r="N18" s="151"/>
      <c r="O18" s="151"/>
      <c r="P18" s="151"/>
      <c r="Q18" s="151"/>
      <c r="R18" s="151"/>
      <c r="S18" s="154"/>
      <c r="T18" s="162"/>
      <c r="U18" s="162"/>
      <c r="V18" s="155">
        <f t="shared" si="0"/>
        <v>0</v>
      </c>
    </row>
    <row r="19" spans="1:22">
      <c r="A19" s="82">
        <v>13</v>
      </c>
      <c r="B19" s="87" t="s">
        <v>70</v>
      </c>
      <c r="C19" s="153"/>
      <c r="D19" s="151"/>
      <c r="E19" s="151"/>
      <c r="F19" s="151"/>
      <c r="G19" s="151"/>
      <c r="H19" s="151"/>
      <c r="I19" s="151"/>
      <c r="J19" s="151"/>
      <c r="K19" s="151"/>
      <c r="L19" s="154"/>
      <c r="M19" s="153"/>
      <c r="N19" s="151"/>
      <c r="O19" s="151"/>
      <c r="P19" s="151"/>
      <c r="Q19" s="151"/>
      <c r="R19" s="151"/>
      <c r="S19" s="154"/>
      <c r="T19" s="162"/>
      <c r="U19" s="162"/>
      <c r="V19" s="155">
        <f t="shared" si="0"/>
        <v>0</v>
      </c>
    </row>
    <row r="20" spans="1:22">
      <c r="A20" s="82">
        <v>14</v>
      </c>
      <c r="B20" s="87" t="s">
        <v>143</v>
      </c>
      <c r="C20" s="153"/>
      <c r="D20" s="151"/>
      <c r="E20" s="151"/>
      <c r="F20" s="151"/>
      <c r="G20" s="151"/>
      <c r="H20" s="151"/>
      <c r="I20" s="151"/>
      <c r="J20" s="151"/>
      <c r="K20" s="151"/>
      <c r="L20" s="154"/>
      <c r="M20" s="153"/>
      <c r="N20" s="151"/>
      <c r="O20" s="151"/>
      <c r="P20" s="151"/>
      <c r="Q20" s="151"/>
      <c r="R20" s="151"/>
      <c r="S20" s="154"/>
      <c r="T20" s="162"/>
      <c r="U20" s="162"/>
      <c r="V20" s="155">
        <f t="shared" si="0"/>
        <v>0</v>
      </c>
    </row>
    <row r="21" spans="1:22" ht="14.4" thickBot="1">
      <c r="A21" s="53"/>
      <c r="B21" s="54" t="s">
        <v>66</v>
      </c>
      <c r="C21" s="156">
        <f>SUM(C7:C20)</f>
        <v>0</v>
      </c>
      <c r="D21" s="152">
        <f t="shared" ref="D21:V21" si="1">SUM(D7:D20)</f>
        <v>5264130.1900000004</v>
      </c>
      <c r="E21" s="152">
        <f t="shared" si="1"/>
        <v>0</v>
      </c>
      <c r="F21" s="152">
        <f t="shared" si="1"/>
        <v>0</v>
      </c>
      <c r="G21" s="152">
        <f t="shared" si="1"/>
        <v>0</v>
      </c>
      <c r="H21" s="152">
        <f t="shared" si="1"/>
        <v>0</v>
      </c>
      <c r="I21" s="152">
        <f t="shared" si="1"/>
        <v>0</v>
      </c>
      <c r="J21" s="152">
        <f t="shared" si="1"/>
        <v>0</v>
      </c>
      <c r="K21" s="152">
        <f t="shared" si="1"/>
        <v>0</v>
      </c>
      <c r="L21" s="157">
        <f t="shared" si="1"/>
        <v>0</v>
      </c>
      <c r="M21" s="156">
        <f t="shared" si="1"/>
        <v>0</v>
      </c>
      <c r="N21" s="152">
        <f t="shared" si="1"/>
        <v>0</v>
      </c>
      <c r="O21" s="152">
        <f t="shared" si="1"/>
        <v>0</v>
      </c>
      <c r="P21" s="152">
        <f t="shared" si="1"/>
        <v>0</v>
      </c>
      <c r="Q21" s="152">
        <f t="shared" si="1"/>
        <v>0</v>
      </c>
      <c r="R21" s="152">
        <f t="shared" si="1"/>
        <v>0</v>
      </c>
      <c r="S21" s="157">
        <f t="shared" si="1"/>
        <v>0</v>
      </c>
      <c r="T21" s="157">
        <f>SUM(T7:T20)</f>
        <v>0</v>
      </c>
      <c r="U21" s="157">
        <f t="shared" si="1"/>
        <v>0</v>
      </c>
      <c r="V21" s="158">
        <f t="shared" si="1"/>
        <v>5264130.1900000004</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J28"/>
  <sheetViews>
    <sheetView tabSelected="1" zoomScale="80" zoomScaleNormal="80" workbookViewId="0">
      <pane xSplit="1" ySplit="7" topLeftCell="B8" activePane="bottomRight" state="frozen"/>
      <selection activeCell="L18" sqref="L18"/>
      <selection pane="topRight" activeCell="L18" sqref="L18"/>
      <selection pane="bottomLeft" activeCell="L18" sqref="L18"/>
      <selection pane="bottomRight" activeCell="J21" sqref="J21"/>
    </sheetView>
  </sheetViews>
  <sheetFormatPr defaultColWidth="9.21875" defaultRowHeight="13.8"/>
  <cols>
    <col min="1" max="1" width="10.5546875" style="1" bestFit="1" customWidth="1"/>
    <col min="2" max="2" width="101.77734375" style="1" customWidth="1"/>
    <col min="3" max="3" width="13.77734375" style="1" customWidth="1"/>
    <col min="4" max="4" width="14.77734375" style="1" bestFit="1" customWidth="1"/>
    <col min="5" max="5" width="17.77734375" style="1" customWidth="1"/>
    <col min="6" max="6" width="15.77734375" style="1" customWidth="1"/>
    <col min="7" max="7" width="17.44140625" style="1" customWidth="1"/>
    <col min="8" max="8" width="15.21875" style="1" customWidth="1"/>
    <col min="9" max="16384" width="9.21875" style="8"/>
  </cols>
  <sheetData>
    <row r="1" spans="1:10">
      <c r="A1" s="1" t="s">
        <v>97</v>
      </c>
      <c r="B1" s="1" t="str">
        <f>Info!C2</f>
        <v>სს "კრედო ბანკი"</v>
      </c>
    </row>
    <row r="2" spans="1:10">
      <c r="A2" s="1" t="s">
        <v>98</v>
      </c>
      <c r="B2" s="274">
        <f>'1. key ratios'!B2</f>
        <v>46022</v>
      </c>
    </row>
    <row r="4" spans="1:10" ht="14.4" thickBot="1">
      <c r="A4" s="1" t="s">
        <v>250</v>
      </c>
      <c r="B4" s="22" t="s">
        <v>284</v>
      </c>
    </row>
    <row r="5" spans="1:10">
      <c r="A5" s="51"/>
      <c r="B5" s="80"/>
      <c r="C5" s="84" t="s">
        <v>0</v>
      </c>
      <c r="D5" s="84" t="s">
        <v>1</v>
      </c>
      <c r="E5" s="84" t="s">
        <v>2</v>
      </c>
      <c r="F5" s="84" t="s">
        <v>3</v>
      </c>
      <c r="G5" s="161" t="s">
        <v>4</v>
      </c>
      <c r="H5" s="85" t="s">
        <v>5</v>
      </c>
      <c r="I5" s="18"/>
    </row>
    <row r="6" spans="1:10" ht="15" customHeight="1">
      <c r="A6" s="79"/>
      <c r="B6" s="16"/>
      <c r="C6" s="823" t="s">
        <v>276</v>
      </c>
      <c r="D6" s="834" t="s">
        <v>297</v>
      </c>
      <c r="E6" s="835"/>
      <c r="F6" s="823" t="s">
        <v>303</v>
      </c>
      <c r="G6" s="823" t="s">
        <v>304</v>
      </c>
      <c r="H6" s="832" t="s">
        <v>278</v>
      </c>
      <c r="I6" s="18"/>
    </row>
    <row r="7" spans="1:10" ht="69">
      <c r="A7" s="79"/>
      <c r="B7" s="16"/>
      <c r="C7" s="824"/>
      <c r="D7" s="164" t="s">
        <v>279</v>
      </c>
      <c r="E7" s="164" t="s">
        <v>277</v>
      </c>
      <c r="F7" s="824"/>
      <c r="G7" s="824"/>
      <c r="H7" s="833"/>
      <c r="I7" s="18"/>
    </row>
    <row r="8" spans="1:10">
      <c r="A8" s="44">
        <v>1</v>
      </c>
      <c r="B8" s="87" t="s">
        <v>123</v>
      </c>
      <c r="C8" s="151">
        <v>391252564.61999995</v>
      </c>
      <c r="D8" s="151"/>
      <c r="E8" s="151"/>
      <c r="F8" s="151">
        <v>65541236.649999999</v>
      </c>
      <c r="G8" s="160">
        <v>65541236.649999999</v>
      </c>
      <c r="H8" s="167">
        <f>G8/(C8+E8)</f>
        <v>0.16751643970348476</v>
      </c>
    </row>
    <row r="9" spans="1:10" ht="15" customHeight="1">
      <c r="A9" s="44">
        <v>2</v>
      </c>
      <c r="B9" s="87" t="s">
        <v>124</v>
      </c>
      <c r="C9" s="151"/>
      <c r="D9" s="151"/>
      <c r="E9" s="151"/>
      <c r="F9" s="151"/>
      <c r="G9" s="160"/>
      <c r="H9" s="167"/>
    </row>
    <row r="10" spans="1:10">
      <c r="A10" s="44">
        <v>3</v>
      </c>
      <c r="B10" s="87" t="s">
        <v>125</v>
      </c>
      <c r="C10" s="151"/>
      <c r="D10" s="151"/>
      <c r="E10" s="151"/>
      <c r="F10" s="151"/>
      <c r="G10" s="160"/>
      <c r="H10" s="167"/>
    </row>
    <row r="11" spans="1:10">
      <c r="A11" s="44">
        <v>4</v>
      </c>
      <c r="B11" s="87" t="s">
        <v>126</v>
      </c>
      <c r="C11" s="151"/>
      <c r="D11" s="151"/>
      <c r="E11" s="151"/>
      <c r="F11" s="151"/>
      <c r="G11" s="160"/>
      <c r="H11" s="167"/>
    </row>
    <row r="12" spans="1:10">
      <c r="A12" s="44">
        <v>5</v>
      </c>
      <c r="B12" s="87" t="s">
        <v>911</v>
      </c>
      <c r="C12" s="151"/>
      <c r="D12" s="151"/>
      <c r="E12" s="151"/>
      <c r="F12" s="151"/>
      <c r="G12" s="160"/>
      <c r="H12" s="167"/>
    </row>
    <row r="13" spans="1:10">
      <c r="A13" s="44">
        <v>6</v>
      </c>
      <c r="B13" s="87" t="s">
        <v>127</v>
      </c>
      <c r="C13" s="151">
        <v>182135392</v>
      </c>
      <c r="D13" s="151"/>
      <c r="E13" s="151"/>
      <c r="F13" s="151">
        <v>41389030.200000003</v>
      </c>
      <c r="G13" s="160">
        <v>41389030.200000003</v>
      </c>
      <c r="H13" s="167">
        <f t="shared" ref="H13:H21" si="0">G13/(C13+E13)</f>
        <v>0.22724320487914837</v>
      </c>
    </row>
    <row r="14" spans="1:10">
      <c r="A14" s="44">
        <v>7</v>
      </c>
      <c r="B14" s="87" t="s">
        <v>71</v>
      </c>
      <c r="C14" s="151">
        <v>121254064.25368549</v>
      </c>
      <c r="D14" s="151">
        <v>20737856</v>
      </c>
      <c r="E14" s="151">
        <v>10368928</v>
      </c>
      <c r="F14" s="151">
        <f>C14+E14</f>
        <v>131622992.25368549</v>
      </c>
      <c r="G14" s="160">
        <v>131622992.25368549</v>
      </c>
      <c r="H14" s="167">
        <f>G14/(C14+E14)</f>
        <v>1</v>
      </c>
    </row>
    <row r="15" spans="1:10">
      <c r="A15" s="44">
        <v>8</v>
      </c>
      <c r="B15" s="87" t="s">
        <v>72</v>
      </c>
      <c r="C15" s="151">
        <v>2794456815.0441236</v>
      </c>
      <c r="D15" s="151">
        <v>424066118</v>
      </c>
      <c r="E15" s="151">
        <v>111771088.7</v>
      </c>
      <c r="F15" s="151">
        <f>(C15+E15)*0.75</f>
        <v>2179670927.8080926</v>
      </c>
      <c r="G15" s="160">
        <v>2174407002.6180925</v>
      </c>
      <c r="H15" s="167">
        <f t="shared" si="0"/>
        <v>0.74818874315286199</v>
      </c>
      <c r="J15" s="769"/>
    </row>
    <row r="16" spans="1:10">
      <c r="A16" s="44">
        <v>9</v>
      </c>
      <c r="B16" s="87" t="s">
        <v>912</v>
      </c>
      <c r="C16" s="151">
        <v>149504743.37188411</v>
      </c>
      <c r="D16" s="151"/>
      <c r="E16" s="151"/>
      <c r="F16" s="151">
        <v>52326660.180159435</v>
      </c>
      <c r="G16" s="160">
        <v>52326660.180159435</v>
      </c>
      <c r="H16" s="167">
        <f t="shared" si="0"/>
        <v>0.35</v>
      </c>
    </row>
    <row r="17" spans="1:10">
      <c r="A17" s="44">
        <v>10</v>
      </c>
      <c r="B17" s="87" t="s">
        <v>67</v>
      </c>
      <c r="C17" s="151">
        <v>7363917.1920946501</v>
      </c>
      <c r="D17" s="151"/>
      <c r="E17" s="151"/>
      <c r="F17" s="151">
        <v>7334336.8878494957</v>
      </c>
      <c r="G17" s="160">
        <v>7334131.8878494957</v>
      </c>
      <c r="H17" s="167">
        <f t="shared" si="0"/>
        <v>0.99595523639549755</v>
      </c>
      <c r="J17" s="769"/>
    </row>
    <row r="18" spans="1:10">
      <c r="A18" s="44">
        <v>11</v>
      </c>
      <c r="B18" s="87" t="s">
        <v>68</v>
      </c>
      <c r="C18" s="151"/>
      <c r="D18" s="151"/>
      <c r="E18" s="151"/>
      <c r="F18" s="151"/>
      <c r="G18" s="160"/>
      <c r="H18" s="167"/>
    </row>
    <row r="19" spans="1:10">
      <c r="A19" s="44">
        <v>12</v>
      </c>
      <c r="B19" s="87" t="s">
        <v>69</v>
      </c>
      <c r="C19" s="151"/>
      <c r="D19" s="151"/>
      <c r="E19" s="151"/>
      <c r="F19" s="151"/>
      <c r="G19" s="160"/>
      <c r="H19" s="167"/>
    </row>
    <row r="20" spans="1:10">
      <c r="A20" s="44">
        <v>13</v>
      </c>
      <c r="B20" s="87" t="s">
        <v>70</v>
      </c>
      <c r="C20" s="151"/>
      <c r="D20" s="151"/>
      <c r="E20" s="151"/>
      <c r="F20" s="151"/>
      <c r="G20" s="160"/>
      <c r="H20" s="167"/>
    </row>
    <row r="21" spans="1:10">
      <c r="A21" s="44">
        <v>14</v>
      </c>
      <c r="B21" s="87" t="s">
        <v>143</v>
      </c>
      <c r="C21" s="151">
        <v>217189510.00000003</v>
      </c>
      <c r="D21" s="151"/>
      <c r="E21" s="151"/>
      <c r="F21" s="151">
        <v>124238490.35500002</v>
      </c>
      <c r="G21" s="160">
        <v>124238490.35500002</v>
      </c>
      <c r="H21" s="167">
        <f t="shared" si="0"/>
        <v>0.5720280429519824</v>
      </c>
      <c r="J21" s="772"/>
    </row>
    <row r="22" spans="1:10" ht="14.4" thickBot="1">
      <c r="A22" s="81"/>
      <c r="B22" s="86" t="s">
        <v>66</v>
      </c>
      <c r="C22" s="152">
        <f>SUM(C8:C21)</f>
        <v>3863157006.4817877</v>
      </c>
      <c r="D22" s="152">
        <f>SUM(D8:D21)</f>
        <v>444803974</v>
      </c>
      <c r="E22" s="152">
        <f>SUM(E8:E21)</f>
        <v>122140016.7</v>
      </c>
      <c r="F22" s="152">
        <f>SUM(F8:F21)</f>
        <v>2602123674.3347869</v>
      </c>
      <c r="G22" s="152">
        <f>SUM(G8:G21)</f>
        <v>2596859544.1447868</v>
      </c>
      <c r="H22" s="168">
        <f>G22/(C22+E22)</f>
        <v>0.65161003785647631</v>
      </c>
    </row>
    <row r="24" spans="1:10">
      <c r="G24" s="689"/>
      <c r="H24" s="689"/>
    </row>
    <row r="25" spans="1:10">
      <c r="H25" s="689"/>
    </row>
    <row r="26" spans="1:10">
      <c r="G26" s="689"/>
    </row>
    <row r="28" spans="1:10"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10" activePane="bottomRight" state="frozen"/>
      <selection pane="topRight" activeCell="C1" sqref="C1"/>
      <selection pane="bottomLeft" activeCell="A6" sqref="A6"/>
      <selection pane="bottomRight" activeCell="K28" sqref="K28"/>
    </sheetView>
  </sheetViews>
  <sheetFormatPr defaultColWidth="9.21875" defaultRowHeight="13.8"/>
  <cols>
    <col min="1" max="1" width="10.5546875" style="1" bestFit="1" customWidth="1"/>
    <col min="2" max="2" width="104.21875" style="1" customWidth="1"/>
    <col min="3" max="11" width="12.77734375" style="1" customWidth="1"/>
    <col min="12" max="16384" width="9.21875" style="1"/>
  </cols>
  <sheetData>
    <row r="1" spans="1:11">
      <c r="A1" s="1" t="s">
        <v>97</v>
      </c>
      <c r="B1" s="1" t="str">
        <f>Info!C2</f>
        <v>სს "კრედო ბანკი"</v>
      </c>
    </row>
    <row r="2" spans="1:11">
      <c r="A2" s="1" t="s">
        <v>98</v>
      </c>
      <c r="B2" s="274">
        <f>'1. key ratios'!B2</f>
        <v>46022</v>
      </c>
    </row>
    <row r="4" spans="1:11" ht="14.4" thickBot="1">
      <c r="A4" s="1" t="s">
        <v>340</v>
      </c>
      <c r="B4" s="22" t="s">
        <v>339</v>
      </c>
    </row>
    <row r="5" spans="1:11" ht="30" customHeight="1">
      <c r="A5" s="839"/>
      <c r="B5" s="840"/>
      <c r="C5" s="837" t="s">
        <v>372</v>
      </c>
      <c r="D5" s="837"/>
      <c r="E5" s="837"/>
      <c r="F5" s="837" t="s">
        <v>373</v>
      </c>
      <c r="G5" s="837"/>
      <c r="H5" s="837"/>
      <c r="I5" s="837" t="s">
        <v>374</v>
      </c>
      <c r="J5" s="837"/>
      <c r="K5" s="838"/>
    </row>
    <row r="6" spans="1:11">
      <c r="A6" s="193"/>
      <c r="B6" s="194"/>
      <c r="C6" s="195" t="s">
        <v>26</v>
      </c>
      <c r="D6" s="195" t="s">
        <v>79</v>
      </c>
      <c r="E6" s="195" t="s">
        <v>66</v>
      </c>
      <c r="F6" s="195" t="s">
        <v>26</v>
      </c>
      <c r="G6" s="195" t="s">
        <v>79</v>
      </c>
      <c r="H6" s="195" t="s">
        <v>66</v>
      </c>
      <c r="I6" s="195" t="s">
        <v>26</v>
      </c>
      <c r="J6" s="195" t="s">
        <v>79</v>
      </c>
      <c r="K6" s="197" t="s">
        <v>66</v>
      </c>
    </row>
    <row r="7" spans="1:11">
      <c r="A7" s="198" t="s">
        <v>310</v>
      </c>
      <c r="B7" s="192"/>
      <c r="C7" s="192"/>
      <c r="D7" s="192"/>
      <c r="E7" s="192"/>
      <c r="F7" s="192"/>
      <c r="G7" s="192"/>
      <c r="H7" s="192"/>
      <c r="I7" s="192"/>
      <c r="J7" s="192"/>
      <c r="K7" s="199"/>
    </row>
    <row r="8" spans="1:11">
      <c r="A8" s="191">
        <v>1</v>
      </c>
      <c r="B8" s="175" t="s">
        <v>310</v>
      </c>
      <c r="C8" s="173"/>
      <c r="D8" s="173"/>
      <c r="E8" s="173"/>
      <c r="F8" s="176">
        <v>256685518.3956247</v>
      </c>
      <c r="G8" s="176">
        <v>289096286.30936402</v>
      </c>
      <c r="H8" s="696">
        <f>F8+G8</f>
        <v>545781804.70498872</v>
      </c>
      <c r="I8" s="699">
        <v>146492498.65497258</v>
      </c>
      <c r="J8" s="699">
        <v>97593950.788494468</v>
      </c>
      <c r="K8" s="700">
        <f>I8+J8</f>
        <v>244086449.44346705</v>
      </c>
    </row>
    <row r="9" spans="1:11">
      <c r="A9" s="198" t="s">
        <v>311</v>
      </c>
      <c r="B9" s="192"/>
      <c r="C9" s="192"/>
      <c r="D9" s="192"/>
      <c r="E9" s="192"/>
      <c r="F9" s="192"/>
      <c r="G9" s="192"/>
      <c r="H9" s="192"/>
      <c r="I9" s="692"/>
      <c r="J9" s="692"/>
      <c r="K9" s="700"/>
    </row>
    <row r="10" spans="1:11">
      <c r="A10" s="200">
        <v>2</v>
      </c>
      <c r="B10" s="177" t="s">
        <v>312</v>
      </c>
      <c r="C10" s="290">
        <v>559042477.87745643</v>
      </c>
      <c r="D10" s="690">
        <v>449448421.54187137</v>
      </c>
      <c r="E10" s="696">
        <f>C10+D10</f>
        <v>1008490899.4193277</v>
      </c>
      <c r="F10" s="690">
        <v>99367117.448027149</v>
      </c>
      <c r="G10" s="690">
        <v>130451326.06334214</v>
      </c>
      <c r="H10" s="696">
        <f t="shared" ref="H10:H15" si="0">F10+G10</f>
        <v>229818443.51136929</v>
      </c>
      <c r="I10" s="690">
        <v>28546940.061303254</v>
      </c>
      <c r="J10" s="690">
        <v>38159763.367702976</v>
      </c>
      <c r="K10" s="700">
        <f t="shared" ref="K10:K15" si="1">I10+J10</f>
        <v>66706703.429006234</v>
      </c>
    </row>
    <row r="11" spans="1:11">
      <c r="A11" s="200">
        <v>3</v>
      </c>
      <c r="B11" s="177" t="s">
        <v>313</v>
      </c>
      <c r="C11" s="290">
        <v>1445153286.4966302</v>
      </c>
      <c r="D11" s="690">
        <v>443490816.08972597</v>
      </c>
      <c r="E11" s="696">
        <f t="shared" ref="E11:E15" si="2">C11+D11</f>
        <v>1888644102.5863562</v>
      </c>
      <c r="F11" s="690">
        <v>72565463.942975536</v>
      </c>
      <c r="G11" s="690">
        <v>16604117.763616713</v>
      </c>
      <c r="H11" s="696">
        <f t="shared" si="0"/>
        <v>89169581.706592247</v>
      </c>
      <c r="I11" s="690">
        <v>65432352.006396763</v>
      </c>
      <c r="J11" s="690">
        <v>16236283.977634998</v>
      </c>
      <c r="K11" s="700">
        <f t="shared" si="1"/>
        <v>81668635.984031767</v>
      </c>
    </row>
    <row r="12" spans="1:11">
      <c r="A12" s="200">
        <v>4</v>
      </c>
      <c r="B12" s="177" t="s">
        <v>314</v>
      </c>
      <c r="C12" s="290">
        <v>61891304.347826086</v>
      </c>
      <c r="D12" s="690">
        <v>0</v>
      </c>
      <c r="E12" s="696">
        <f t="shared" si="2"/>
        <v>61891304.347826086</v>
      </c>
      <c r="F12" s="690"/>
      <c r="G12" s="690"/>
      <c r="H12" s="696">
        <f t="shared" si="0"/>
        <v>0</v>
      </c>
      <c r="I12" s="690"/>
      <c r="J12" s="690"/>
      <c r="K12" s="700">
        <f t="shared" si="1"/>
        <v>0</v>
      </c>
    </row>
    <row r="13" spans="1:11">
      <c r="A13" s="200">
        <v>5</v>
      </c>
      <c r="B13" s="177" t="s">
        <v>315</v>
      </c>
      <c r="C13" s="290">
        <v>395584789.55630428</v>
      </c>
      <c r="D13" s="690">
        <v>44690835.749021754</v>
      </c>
      <c r="E13" s="696">
        <f t="shared" si="2"/>
        <v>440275625.30532604</v>
      </c>
      <c r="F13" s="690">
        <v>63740552.104207642</v>
      </c>
      <c r="G13" s="690">
        <v>9132053.2097130474</v>
      </c>
      <c r="H13" s="696">
        <f t="shared" si="0"/>
        <v>72872605.313920692</v>
      </c>
      <c r="I13" s="690">
        <v>19779239.477815207</v>
      </c>
      <c r="J13" s="690">
        <v>4055436.9841902172</v>
      </c>
      <c r="K13" s="700">
        <f t="shared" si="1"/>
        <v>23834676.462005425</v>
      </c>
    </row>
    <row r="14" spans="1:11">
      <c r="A14" s="200">
        <v>6</v>
      </c>
      <c r="B14" s="177" t="s">
        <v>330</v>
      </c>
      <c r="C14" s="290"/>
      <c r="D14" s="690"/>
      <c r="E14" s="696">
        <f t="shared" si="2"/>
        <v>0</v>
      </c>
      <c r="F14" s="690"/>
      <c r="G14" s="690"/>
      <c r="H14" s="696">
        <f t="shared" si="0"/>
        <v>0</v>
      </c>
      <c r="I14" s="690"/>
      <c r="J14" s="690"/>
      <c r="K14" s="700">
        <f t="shared" si="1"/>
        <v>0</v>
      </c>
    </row>
    <row r="15" spans="1:11">
      <c r="A15" s="200">
        <v>7</v>
      </c>
      <c r="B15" s="177" t="s">
        <v>317</v>
      </c>
      <c r="C15" s="290">
        <v>10854845.958043478</v>
      </c>
      <c r="D15" s="690">
        <v>3175711.4030434787</v>
      </c>
      <c r="E15" s="696">
        <f t="shared" si="2"/>
        <v>14030557.361086957</v>
      </c>
      <c r="F15" s="690">
        <v>10854845.958043478</v>
      </c>
      <c r="G15" s="690">
        <v>3175711.4030434787</v>
      </c>
      <c r="H15" s="696">
        <f t="shared" si="0"/>
        <v>14030557.361086957</v>
      </c>
      <c r="I15" s="690">
        <v>10854845.958043478</v>
      </c>
      <c r="J15" s="690">
        <v>3175711.4030434787</v>
      </c>
      <c r="K15" s="700">
        <f t="shared" si="1"/>
        <v>14030557.361086957</v>
      </c>
    </row>
    <row r="16" spans="1:11">
      <c r="A16" s="200">
        <v>8</v>
      </c>
      <c r="B16" s="178" t="s">
        <v>318</v>
      </c>
      <c r="C16" s="680">
        <f>SUM(C10:C15)</f>
        <v>2472526704.2362604</v>
      </c>
      <c r="D16" s="680">
        <f t="shared" ref="D16:E16" si="3">SUM(D10:D15)</f>
        <v>940805784.78366256</v>
      </c>
      <c r="E16" s="680">
        <f t="shared" si="3"/>
        <v>3413332489.0199227</v>
      </c>
      <c r="F16" s="696">
        <f>SUM(F10:F15)</f>
        <v>246527979.45325381</v>
      </c>
      <c r="G16" s="696">
        <f>SUM(G10:G15)</f>
        <v>159363208.43971539</v>
      </c>
      <c r="H16" s="696">
        <f>SUM(H10:H15)</f>
        <v>405891187.89296919</v>
      </c>
      <c r="I16" s="696">
        <f>SUM(I10:I15)</f>
        <v>124613377.5035587</v>
      </c>
      <c r="J16" s="696">
        <f t="shared" ref="J16:K16" si="4">SUM(J10:J15)</f>
        <v>61627195.732571669</v>
      </c>
      <c r="K16" s="696">
        <f t="shared" si="4"/>
        <v>186240573.23613042</v>
      </c>
    </row>
    <row r="17" spans="1:11">
      <c r="A17" s="198" t="s">
        <v>319</v>
      </c>
      <c r="B17" s="192"/>
      <c r="C17" s="692"/>
      <c r="D17" s="692"/>
      <c r="E17" s="692"/>
      <c r="F17" s="692"/>
      <c r="G17" s="692"/>
      <c r="H17" s="692"/>
      <c r="I17" s="692"/>
      <c r="J17" s="692"/>
      <c r="K17" s="693"/>
    </row>
    <row r="18" spans="1:11">
      <c r="A18" s="200">
        <v>9</v>
      </c>
      <c r="B18" s="177" t="s">
        <v>320</v>
      </c>
      <c r="C18" s="290">
        <v>0</v>
      </c>
      <c r="D18" s="690">
        <v>0</v>
      </c>
      <c r="E18" s="696">
        <f t="shared" ref="E18:E20" si="5">C18+D18</f>
        <v>0</v>
      </c>
      <c r="F18" s="690"/>
      <c r="G18" s="690"/>
      <c r="H18" s="696">
        <f t="shared" ref="H18:H20" si="6">F18+G18</f>
        <v>0</v>
      </c>
      <c r="I18" s="690"/>
      <c r="J18" s="690"/>
      <c r="K18" s="691">
        <f>I18+J18</f>
        <v>0</v>
      </c>
    </row>
    <row r="19" spans="1:11">
      <c r="A19" s="200">
        <v>10</v>
      </c>
      <c r="B19" s="177" t="s">
        <v>321</v>
      </c>
      <c r="C19" s="290">
        <v>2468809077.7928886</v>
      </c>
      <c r="D19" s="690">
        <v>293719005.78518927</v>
      </c>
      <c r="E19" s="696">
        <f t="shared" si="5"/>
        <v>2762528083.5780778</v>
      </c>
      <c r="F19" s="690">
        <v>59028390.123610437</v>
      </c>
      <c r="G19" s="690">
        <v>1957414.1947662283</v>
      </c>
      <c r="H19" s="696">
        <f t="shared" si="6"/>
        <v>60985804.318376668</v>
      </c>
      <c r="I19" s="690">
        <v>169221417.20013207</v>
      </c>
      <c r="J19" s="690">
        <v>193635076.33161396</v>
      </c>
      <c r="K19" s="691">
        <f t="shared" ref="K19:K21" si="7">I19+J19</f>
        <v>362856493.53174603</v>
      </c>
    </row>
    <row r="20" spans="1:11">
      <c r="A20" s="200">
        <v>11</v>
      </c>
      <c r="B20" s="177" t="s">
        <v>322</v>
      </c>
      <c r="C20" s="290">
        <v>88282.929347826313</v>
      </c>
      <c r="D20" s="690">
        <v>0</v>
      </c>
      <c r="E20" s="696">
        <f t="shared" si="5"/>
        <v>88282.929347826313</v>
      </c>
      <c r="F20" s="690">
        <v>83810.527173913229</v>
      </c>
      <c r="G20" s="690">
        <v>0</v>
      </c>
      <c r="H20" s="696">
        <f t="shared" si="6"/>
        <v>83810.527173913229</v>
      </c>
      <c r="I20" s="690">
        <v>83810.527173913229</v>
      </c>
      <c r="J20" s="690">
        <v>0</v>
      </c>
      <c r="K20" s="691">
        <f t="shared" si="7"/>
        <v>83810.527173913229</v>
      </c>
    </row>
    <row r="21" spans="1:11" ht="14.4" thickBot="1">
      <c r="A21" s="120">
        <v>12</v>
      </c>
      <c r="B21" s="201" t="s">
        <v>323</v>
      </c>
      <c r="C21" s="694">
        <f>SUM(C18:C20)</f>
        <v>2468897360.7222366</v>
      </c>
      <c r="D21" s="694">
        <f t="shared" ref="D21:E21" si="8">SUM(D18:D20)</f>
        <v>293719005.78518927</v>
      </c>
      <c r="E21" s="697">
        <f t="shared" si="8"/>
        <v>2762616366.5074258</v>
      </c>
      <c r="F21" s="695">
        <f>SUM(F19:F20)</f>
        <v>59112200.650784351</v>
      </c>
      <c r="G21" s="695">
        <f>SUM(G19:G20)</f>
        <v>1957414.1947662283</v>
      </c>
      <c r="H21" s="698">
        <f>SUM(H18:H20)</f>
        <v>61069614.845550582</v>
      </c>
      <c r="I21" s="695">
        <f>SUM(I19:I20)</f>
        <v>169305227.72730598</v>
      </c>
      <c r="J21" s="695">
        <f>SUM(J19:J20)</f>
        <v>193635076.33161396</v>
      </c>
      <c r="K21" s="701">
        <f t="shared" si="7"/>
        <v>362940304.05891991</v>
      </c>
    </row>
    <row r="22" spans="1:11" ht="38.25" customHeight="1" thickBot="1">
      <c r="A22" s="189"/>
      <c r="B22" s="190"/>
      <c r="C22" s="190"/>
      <c r="D22" s="190"/>
      <c r="E22" s="190"/>
      <c r="F22" s="836" t="s">
        <v>324</v>
      </c>
      <c r="G22" s="837"/>
      <c r="H22" s="837"/>
      <c r="I22" s="836" t="s">
        <v>325</v>
      </c>
      <c r="J22" s="837"/>
      <c r="K22" s="838"/>
    </row>
    <row r="23" spans="1:11">
      <c r="A23" s="182">
        <v>13</v>
      </c>
      <c r="B23" s="179" t="s">
        <v>310</v>
      </c>
      <c r="C23" s="188"/>
      <c r="D23" s="188"/>
      <c r="E23" s="188"/>
      <c r="F23" s="702">
        <f>F8</f>
        <v>256685518.3956247</v>
      </c>
      <c r="G23" s="702">
        <f>G8</f>
        <v>289096286.30936402</v>
      </c>
      <c r="H23" s="703">
        <f>F23+G23</f>
        <v>545781804.70498872</v>
      </c>
      <c r="I23" s="702">
        <f>I8</f>
        <v>146492498.65497258</v>
      </c>
      <c r="J23" s="702">
        <f>J8</f>
        <v>97593950.788494468</v>
      </c>
      <c r="K23" s="710">
        <f>I23+J23</f>
        <v>244086449.44346705</v>
      </c>
    </row>
    <row r="24" spans="1:11" ht="14.4" thickBot="1">
      <c r="A24" s="183">
        <v>14</v>
      </c>
      <c r="B24" s="180" t="s">
        <v>326</v>
      </c>
      <c r="C24" s="202"/>
      <c r="D24" s="186"/>
      <c r="E24" s="187"/>
      <c r="F24" s="704">
        <f>MAX(F16-F21,F16*0.25)</f>
        <v>187415778.80246946</v>
      </c>
      <c r="G24" s="704">
        <f t="shared" ref="G24:H24" si="9">MAX(G16-G21,G16*0.25)</f>
        <v>157405794.24494916</v>
      </c>
      <c r="H24" s="704">
        <f t="shared" si="9"/>
        <v>344821573.04741859</v>
      </c>
      <c r="I24" s="704">
        <f>MAX(I16-I21,I16*0.25)</f>
        <v>31153344.375889674</v>
      </c>
      <c r="J24" s="704">
        <f t="shared" ref="J24:K24" si="10">MAX(J16-J21,J16*0.25)</f>
        <v>15406798.933142917</v>
      </c>
      <c r="K24" s="711">
        <f t="shared" si="10"/>
        <v>46560143.309032604</v>
      </c>
    </row>
    <row r="25" spans="1:11" ht="14.4" thickBot="1">
      <c r="A25" s="184">
        <v>15</v>
      </c>
      <c r="B25" s="181" t="s">
        <v>327</v>
      </c>
      <c r="C25" s="185"/>
      <c r="D25" s="185"/>
      <c r="E25" s="185"/>
      <c r="F25" s="705">
        <f t="shared" ref="F25:K25" si="11">F23/F24</f>
        <v>1.3696046300677993</v>
      </c>
      <c r="G25" s="705">
        <f t="shared" si="11"/>
        <v>1.8366305236482141</v>
      </c>
      <c r="H25" s="705">
        <f t="shared" si="11"/>
        <v>1.5827948346779765</v>
      </c>
      <c r="I25" s="705">
        <f t="shared" si="11"/>
        <v>4.7023040893274581</v>
      </c>
      <c r="J25" s="705">
        <f t="shared" si="11"/>
        <v>6.3344729305548055</v>
      </c>
      <c r="K25" s="712">
        <f t="shared" si="11"/>
        <v>5.2423904244322763</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C14" activePane="bottomRight" state="frozen"/>
      <selection pane="topRight" activeCell="B1" sqref="B1"/>
      <selection pane="bottomLeft" activeCell="A5" sqref="A5"/>
      <selection pane="bottomRight" activeCell="M19" sqref="M19:M21"/>
    </sheetView>
  </sheetViews>
  <sheetFormatPr defaultColWidth="9.21875" defaultRowHeight="13.8"/>
  <cols>
    <col min="1" max="1" width="10.5546875" style="30" bestFit="1" customWidth="1"/>
    <col min="2" max="2" width="95" style="30" customWidth="1"/>
    <col min="3" max="9" width="15" style="30" customWidth="1"/>
    <col min="10" max="14" width="18.5546875" style="30" customWidth="1"/>
    <col min="15" max="17" width="18.5546875" style="8" customWidth="1"/>
    <col min="18" max="16384" width="9.21875" style="8"/>
  </cols>
  <sheetData>
    <row r="1" spans="1:17">
      <c r="A1" s="12" t="s">
        <v>97</v>
      </c>
      <c r="B1" s="30">
        <f>[4]Info!C2</f>
        <v>0</v>
      </c>
    </row>
    <row r="2" spans="1:17">
      <c r="A2" s="30" t="s">
        <v>98</v>
      </c>
      <c r="B2" s="274">
        <f>'[4]1. key ratios'!B2</f>
        <v>45747</v>
      </c>
    </row>
    <row r="3" spans="1:17">
      <c r="B3" s="8"/>
      <c r="C3" s="8"/>
      <c r="D3" s="8"/>
      <c r="E3" s="8"/>
      <c r="F3" s="8"/>
      <c r="G3" s="8"/>
      <c r="H3" s="8"/>
      <c r="I3" s="8"/>
      <c r="J3" s="8"/>
      <c r="K3" s="8"/>
      <c r="L3" s="8"/>
      <c r="M3" s="8"/>
      <c r="N3" s="8"/>
    </row>
    <row r="4" spans="1:17" ht="14.4">
      <c r="B4" s="620" t="s">
        <v>979</v>
      </c>
      <c r="C4" s="8"/>
      <c r="D4" s="8"/>
      <c r="E4" s="8"/>
      <c r="F4" s="8"/>
      <c r="G4" s="8"/>
      <c r="H4" s="8"/>
      <c r="I4" s="8"/>
      <c r="J4" s="8"/>
      <c r="K4" s="8"/>
      <c r="L4" s="8"/>
      <c r="M4" s="8"/>
      <c r="N4" s="8"/>
    </row>
    <row r="5" spans="1:17" ht="86.4">
      <c r="B5" s="621" t="s">
        <v>980</v>
      </c>
      <c r="C5" s="622" t="s">
        <v>981</v>
      </c>
      <c r="D5" s="622" t="s">
        <v>982</v>
      </c>
      <c r="E5" s="622" t="s">
        <v>983</v>
      </c>
      <c r="F5" s="622" t="s">
        <v>984</v>
      </c>
      <c r="G5" s="622" t="s">
        <v>985</v>
      </c>
      <c r="H5" s="622" t="s">
        <v>986</v>
      </c>
      <c r="I5" s="623" t="s">
        <v>987</v>
      </c>
      <c r="J5" s="624">
        <v>0.02</v>
      </c>
      <c r="K5" s="624">
        <v>0.2</v>
      </c>
      <c r="L5" s="624">
        <v>0.35</v>
      </c>
      <c r="M5" s="624">
        <v>0.5</v>
      </c>
      <c r="N5" s="624">
        <v>0.75</v>
      </c>
      <c r="O5" s="624">
        <v>1</v>
      </c>
      <c r="P5" s="624">
        <v>1.5</v>
      </c>
      <c r="Q5" s="625" t="s">
        <v>73</v>
      </c>
    </row>
    <row r="6" spans="1:17" ht="14.4">
      <c r="B6" s="626"/>
      <c r="C6" s="592">
        <f>IF(C7&gt;0,C7,IF(C8&gt;0,C8,IF(C9&gt;0,C9)))</f>
        <v>412455000</v>
      </c>
      <c r="D6" s="592">
        <f>IF(D7&gt;0,D7,IF(D8&gt;0,D8,IF(D9&gt;0,D9)))</f>
        <v>508289.5350056719</v>
      </c>
      <c r="E6" s="592">
        <f>IF(E7&gt;0,E7,IF(E8&gt;0,E8,IF(E9&gt;0,E9,0)))</f>
        <v>0</v>
      </c>
      <c r="F6" s="592">
        <f>IF(F7&gt;0,F7,IF(F8&gt;0,F8,IF(F9&gt;0,F9,0)))</f>
        <v>931.24931462947279</v>
      </c>
      <c r="G6" s="592">
        <f>IF(G7&gt;0,G7,IF(G8&gt;0,G8,IF(G9&gt;0,G9,0)))</f>
        <v>3758882.951846499</v>
      </c>
      <c r="H6" s="592"/>
      <c r="I6" s="592">
        <f t="shared" ref="I6:Q6" si="0">IF(I7&gt;0,I7,IF(I8&gt;0,I8,IF(I9&gt;0,I9)))</f>
        <v>5263739.8816255797</v>
      </c>
      <c r="J6" s="592">
        <f t="shared" ref="J6:P6" si="1">IF(J7&gt;0,J7,IF(J8&gt;0,J8,IF(J9&gt;0,J9,0)))</f>
        <v>0</v>
      </c>
      <c r="K6" s="592">
        <f t="shared" si="1"/>
        <v>0</v>
      </c>
      <c r="L6" s="592">
        <f t="shared" si="1"/>
        <v>0</v>
      </c>
      <c r="M6" s="592">
        <f t="shared" si="1"/>
        <v>5056007.0903711952</v>
      </c>
      <c r="N6" s="592">
        <f t="shared" si="1"/>
        <v>0</v>
      </c>
      <c r="O6" s="592">
        <f t="shared" si="1"/>
        <v>0</v>
      </c>
      <c r="P6" s="592">
        <f t="shared" si="1"/>
        <v>0</v>
      </c>
      <c r="Q6" s="592">
        <f t="shared" si="0"/>
        <v>2528003.5451855976</v>
      </c>
    </row>
    <row r="7" spans="1:17" ht="14.4">
      <c r="B7" s="627" t="s">
        <v>975</v>
      </c>
      <c r="C7" s="592">
        <f t="shared" ref="C7:E9" si="2">C11+C15+C19+C23+C27+C31</f>
        <v>412455000</v>
      </c>
      <c r="D7" s="592">
        <f t="shared" si="2"/>
        <v>508289.5350056719</v>
      </c>
      <c r="E7" s="592">
        <f t="shared" si="2"/>
        <v>0</v>
      </c>
      <c r="F7" s="592">
        <f t="shared" ref="F7:G9" si="3">F11+F15+F19+F23+F27+F31</f>
        <v>931.24931462947279</v>
      </c>
      <c r="G7" s="592">
        <f t="shared" si="3"/>
        <v>3758882.951846499</v>
      </c>
      <c r="H7" s="628">
        <v>1.4</v>
      </c>
      <c r="I7" s="629">
        <f t="shared" ref="I7:I33" si="4">(F7+G7)*H7</f>
        <v>5263739.8816255797</v>
      </c>
      <c r="J7" s="592">
        <f>J11+J15+J19+J23+J27+J31</f>
        <v>0</v>
      </c>
      <c r="K7" s="592">
        <f t="shared" ref="J7:P9" si="5">K11+K15+K19+K23+K27+K31</f>
        <v>0</v>
      </c>
      <c r="L7" s="592">
        <f t="shared" si="5"/>
        <v>0</v>
      </c>
      <c r="M7" s="592">
        <f t="shared" si="5"/>
        <v>5056007.0903711952</v>
      </c>
      <c r="N7" s="592">
        <f t="shared" si="5"/>
        <v>0</v>
      </c>
      <c r="O7" s="592">
        <f t="shared" si="5"/>
        <v>0</v>
      </c>
      <c r="P7" s="592">
        <f t="shared" si="5"/>
        <v>0</v>
      </c>
      <c r="Q7" s="592">
        <f>Q11+Q15+Q19+Q23+Q27+Q31</f>
        <v>2528003.5451855976</v>
      </c>
    </row>
    <row r="8" spans="1:17" ht="14.4">
      <c r="B8" s="627" t="s">
        <v>976</v>
      </c>
      <c r="C8" s="592">
        <f t="shared" si="2"/>
        <v>412455000</v>
      </c>
      <c r="D8" s="592">
        <f t="shared" si="2"/>
        <v>508289.5350056719</v>
      </c>
      <c r="E8" s="592">
        <f t="shared" si="2"/>
        <v>0</v>
      </c>
      <c r="F8" s="592">
        <f t="shared" si="3"/>
        <v>931.24931462947279</v>
      </c>
      <c r="G8" s="592">
        <f t="shared" si="3"/>
        <v>16498200</v>
      </c>
      <c r="H8" s="628">
        <v>1.4</v>
      </c>
      <c r="I8" s="629">
        <f t="shared" si="4"/>
        <v>23098783.749040477</v>
      </c>
      <c r="J8" s="592">
        <f t="shared" si="5"/>
        <v>0</v>
      </c>
      <c r="K8" s="592">
        <f t="shared" si="5"/>
        <v>0</v>
      </c>
      <c r="L8" s="592">
        <f t="shared" si="5"/>
        <v>0</v>
      </c>
      <c r="M8" s="592">
        <f t="shared" si="5"/>
        <v>23098783.749040481</v>
      </c>
      <c r="N8" s="592">
        <f t="shared" si="5"/>
        <v>0</v>
      </c>
      <c r="O8" s="592">
        <f t="shared" si="5"/>
        <v>0</v>
      </c>
      <c r="P8" s="592">
        <f t="shared" si="5"/>
        <v>0</v>
      </c>
      <c r="Q8" s="592">
        <f>Q12+Q16+Q20+Q24+Q28+Q32</f>
        <v>11549391.87452024</v>
      </c>
    </row>
    <row r="9" spans="1:17" ht="14.4">
      <c r="B9" s="627" t="s">
        <v>977</v>
      </c>
      <c r="C9" s="592">
        <f t="shared" si="2"/>
        <v>412455000</v>
      </c>
      <c r="D9" s="592">
        <f t="shared" si="2"/>
        <v>508289.5350056719</v>
      </c>
      <c r="E9" s="592">
        <f t="shared" si="2"/>
        <v>0</v>
      </c>
      <c r="F9" s="592">
        <f t="shared" si="3"/>
        <v>508289.5350056719</v>
      </c>
      <c r="G9" s="592">
        <f t="shared" si="3"/>
        <v>16498202.835000008</v>
      </c>
      <c r="H9" s="628">
        <v>1.4</v>
      </c>
      <c r="I9" s="629">
        <f t="shared" si="4"/>
        <v>23809089.318007953</v>
      </c>
      <c r="J9" s="592">
        <f t="shared" si="5"/>
        <v>0</v>
      </c>
      <c r="K9" s="592">
        <f t="shared" si="5"/>
        <v>0</v>
      </c>
      <c r="L9" s="592">
        <f t="shared" si="5"/>
        <v>0</v>
      </c>
      <c r="M9" s="592">
        <f t="shared" si="5"/>
        <v>23809085.349007938</v>
      </c>
      <c r="N9" s="592">
        <f t="shared" si="5"/>
        <v>0</v>
      </c>
      <c r="O9" s="592">
        <f t="shared" si="5"/>
        <v>0</v>
      </c>
      <c r="P9" s="592">
        <f t="shared" si="5"/>
        <v>0</v>
      </c>
      <c r="Q9" s="592">
        <f t="shared" ref="Q9" si="6">Q13+Q17+Q21+Q25+Q29+Q33</f>
        <v>11904542.674503969</v>
      </c>
    </row>
    <row r="10" spans="1:17" ht="14.4">
      <c r="B10" s="630" t="s">
        <v>988</v>
      </c>
      <c r="C10" s="631"/>
      <c r="D10" s="631"/>
      <c r="E10" s="631"/>
      <c r="F10" s="631"/>
      <c r="G10" s="631"/>
      <c r="H10" s="628">
        <v>1.4</v>
      </c>
      <c r="I10" s="629">
        <f t="shared" si="4"/>
        <v>0</v>
      </c>
      <c r="J10" s="589"/>
      <c r="K10" s="589"/>
      <c r="L10" s="589"/>
      <c r="M10" s="589"/>
      <c r="N10" s="589"/>
      <c r="O10" s="589"/>
      <c r="P10" s="589"/>
      <c r="Q10" s="592">
        <f>SUM(Q11:Q13)</f>
        <v>0</v>
      </c>
    </row>
    <row r="11" spans="1:17" ht="14.4">
      <c r="B11" s="632" t="s">
        <v>975</v>
      </c>
      <c r="C11" s="631"/>
      <c r="D11" s="631"/>
      <c r="E11" s="631"/>
      <c r="F11" s="631"/>
      <c r="G11" s="631"/>
      <c r="H11" s="628">
        <v>1.4</v>
      </c>
      <c r="I11" s="629">
        <f t="shared" si="4"/>
        <v>0</v>
      </c>
      <c r="J11" s="589"/>
      <c r="K11" s="589"/>
      <c r="L11" s="589"/>
      <c r="M11" s="589"/>
      <c r="N11" s="589"/>
      <c r="O11" s="589"/>
      <c r="P11" s="589"/>
      <c r="Q11" s="592">
        <f>SUMPRODUCT($J$5:$P$5,J11:P11)</f>
        <v>0</v>
      </c>
    </row>
    <row r="12" spans="1:17" ht="14.4">
      <c r="B12" s="632" t="s">
        <v>976</v>
      </c>
      <c r="C12" s="631"/>
      <c r="D12" s="631"/>
      <c r="E12" s="631"/>
      <c r="F12" s="631"/>
      <c r="G12" s="631"/>
      <c r="H12" s="628">
        <v>1.4</v>
      </c>
      <c r="I12" s="629">
        <f t="shared" si="4"/>
        <v>0</v>
      </c>
      <c r="J12" s="589"/>
      <c r="K12" s="589"/>
      <c r="L12" s="589"/>
      <c r="M12" s="589"/>
      <c r="N12" s="589"/>
      <c r="O12" s="589"/>
      <c r="P12" s="589"/>
      <c r="Q12" s="592">
        <f t="shared" ref="Q12:Q13" si="7">SUMPRODUCT($J$5:$P$5,J12:P12)</f>
        <v>0</v>
      </c>
    </row>
    <row r="13" spans="1:17" ht="14.4">
      <c r="B13" s="632" t="s">
        <v>977</v>
      </c>
      <c r="C13" s="631"/>
      <c r="D13" s="631"/>
      <c r="E13" s="631"/>
      <c r="F13" s="631"/>
      <c r="G13" s="631"/>
      <c r="H13" s="628">
        <v>1.4</v>
      </c>
      <c r="I13" s="629">
        <f t="shared" si="4"/>
        <v>0</v>
      </c>
      <c r="J13" s="589"/>
      <c r="K13" s="589"/>
      <c r="L13" s="589"/>
      <c r="M13" s="589"/>
      <c r="N13" s="589"/>
      <c r="O13" s="589"/>
      <c r="P13" s="589"/>
      <c r="Q13" s="592">
        <f t="shared" si="7"/>
        <v>0</v>
      </c>
    </row>
    <row r="14" spans="1:17" ht="14.4">
      <c r="B14" s="630" t="s">
        <v>989</v>
      </c>
      <c r="C14" s="631"/>
      <c r="D14" s="631"/>
      <c r="E14" s="631"/>
      <c r="F14" s="631"/>
      <c r="G14" s="631"/>
      <c r="H14" s="628">
        <v>1.4</v>
      </c>
      <c r="I14" s="629">
        <f t="shared" si="4"/>
        <v>0</v>
      </c>
      <c r="J14" s="589"/>
      <c r="K14" s="589"/>
      <c r="L14" s="589"/>
      <c r="M14" s="589"/>
      <c r="N14" s="589"/>
      <c r="O14" s="589"/>
      <c r="P14" s="589"/>
      <c r="Q14" s="592">
        <f>SUM(Q15:Q17)</f>
        <v>0</v>
      </c>
    </row>
    <row r="15" spans="1:17" ht="14.4">
      <c r="B15" s="632" t="s">
        <v>975</v>
      </c>
      <c r="C15" s="631"/>
      <c r="D15" s="631"/>
      <c r="E15" s="631"/>
      <c r="F15" s="631"/>
      <c r="G15" s="631"/>
      <c r="H15" s="628">
        <v>1.4</v>
      </c>
      <c r="I15" s="629">
        <f t="shared" si="4"/>
        <v>0</v>
      </c>
      <c r="J15" s="589"/>
      <c r="K15" s="589"/>
      <c r="L15" s="589"/>
      <c r="M15" s="713"/>
      <c r="N15" s="589"/>
      <c r="O15" s="589"/>
      <c r="P15" s="589"/>
      <c r="Q15" s="592">
        <f>SUMPRODUCT($J$5:$P$5,J15:P15)</f>
        <v>0</v>
      </c>
    </row>
    <row r="16" spans="1:17" ht="14.4">
      <c r="B16" s="632" t="s">
        <v>976</v>
      </c>
      <c r="C16" s="631"/>
      <c r="D16" s="631"/>
      <c r="E16" s="631"/>
      <c r="F16" s="631"/>
      <c r="G16" s="631"/>
      <c r="H16" s="628">
        <v>1.4</v>
      </c>
      <c r="I16" s="629">
        <f t="shared" si="4"/>
        <v>0</v>
      </c>
      <c r="J16" s="589"/>
      <c r="K16" s="589"/>
      <c r="L16" s="589"/>
      <c r="M16" s="713"/>
      <c r="N16" s="589"/>
      <c r="O16" s="589"/>
      <c r="P16" s="589"/>
      <c r="Q16" s="592">
        <f t="shared" ref="Q16:Q17" si="8">SUMPRODUCT($J$5:$P$5,J16:P16)</f>
        <v>0</v>
      </c>
    </row>
    <row r="17" spans="2:17" ht="14.4">
      <c r="B17" s="632" t="s">
        <v>977</v>
      </c>
      <c r="C17" s="631"/>
      <c r="D17" s="631"/>
      <c r="E17" s="631"/>
      <c r="F17" s="631"/>
      <c r="G17" s="631"/>
      <c r="H17" s="628">
        <v>1.4</v>
      </c>
      <c r="I17" s="629">
        <f t="shared" si="4"/>
        <v>0</v>
      </c>
      <c r="J17" s="589"/>
      <c r="K17" s="589"/>
      <c r="L17" s="589"/>
      <c r="M17" s="713"/>
      <c r="N17" s="589"/>
      <c r="O17" s="589"/>
      <c r="P17" s="589"/>
      <c r="Q17" s="592">
        <f t="shared" si="8"/>
        <v>0</v>
      </c>
    </row>
    <row r="18" spans="2:17" ht="14.4">
      <c r="B18" s="630" t="s">
        <v>990</v>
      </c>
      <c r="C18" s="631"/>
      <c r="D18" s="631"/>
      <c r="E18" s="631"/>
      <c r="F18" s="631"/>
      <c r="G18" s="631"/>
      <c r="H18" s="628">
        <v>1.4</v>
      </c>
      <c r="I18" s="629">
        <f t="shared" si="4"/>
        <v>0</v>
      </c>
      <c r="J18" s="589"/>
      <c r="K18" s="589"/>
      <c r="L18" s="589"/>
      <c r="M18" s="589"/>
      <c r="N18" s="589"/>
      <c r="O18" s="589"/>
      <c r="P18" s="589"/>
      <c r="Q18" s="592">
        <f>SUM(Q19:Q21)</f>
        <v>25981938.094209805</v>
      </c>
    </row>
    <row r="19" spans="2:17" ht="14.4">
      <c r="B19" s="632" t="s">
        <v>975</v>
      </c>
      <c r="C19" s="631">
        <v>412455000</v>
      </c>
      <c r="D19" s="631">
        <v>508289.5350056719</v>
      </c>
      <c r="E19" s="631">
        <v>0</v>
      </c>
      <c r="F19" s="631">
        <v>931.24931462947279</v>
      </c>
      <c r="G19" s="631">
        <v>3758882.951846499</v>
      </c>
      <c r="H19" s="628">
        <v>1.4</v>
      </c>
      <c r="I19" s="629">
        <f t="shared" si="4"/>
        <v>5263739.8816255797</v>
      </c>
      <c r="J19" s="589"/>
      <c r="K19" s="589"/>
      <c r="L19" s="589"/>
      <c r="M19" s="713">
        <v>5056007.0903711952</v>
      </c>
      <c r="N19" s="589"/>
      <c r="O19" s="589"/>
      <c r="P19" s="589"/>
      <c r="Q19" s="592">
        <f>SUMPRODUCT($J$5:$P$5,J19:P19)</f>
        <v>2528003.5451855976</v>
      </c>
    </row>
    <row r="20" spans="2:17" ht="14.4">
      <c r="B20" s="632" t="s">
        <v>976</v>
      </c>
      <c r="C20" s="631">
        <v>412455000</v>
      </c>
      <c r="D20" s="631">
        <v>508289.5350056719</v>
      </c>
      <c r="E20" s="631">
        <v>0</v>
      </c>
      <c r="F20" s="631">
        <v>931.24931462947279</v>
      </c>
      <c r="G20" s="631">
        <v>16498200</v>
      </c>
      <c r="H20" s="628">
        <v>1.4</v>
      </c>
      <c r="I20" s="629">
        <f t="shared" si="4"/>
        <v>23098783.749040477</v>
      </c>
      <c r="J20" s="589"/>
      <c r="K20" s="589"/>
      <c r="L20" s="589"/>
      <c r="M20" s="713">
        <v>23098783.749040481</v>
      </c>
      <c r="N20" s="589"/>
      <c r="O20" s="589"/>
      <c r="P20" s="589"/>
      <c r="Q20" s="592">
        <f t="shared" ref="Q20:Q21" si="9">SUMPRODUCT($J$5:$P$5,J20:P20)</f>
        <v>11549391.87452024</v>
      </c>
    </row>
    <row r="21" spans="2:17" ht="14.4">
      <c r="B21" s="632" t="s">
        <v>977</v>
      </c>
      <c r="C21" s="631">
        <v>412455000</v>
      </c>
      <c r="D21" s="631">
        <v>508289.5350056719</v>
      </c>
      <c r="E21" s="631">
        <v>0</v>
      </c>
      <c r="F21" s="631">
        <v>508289.5350056719</v>
      </c>
      <c r="G21" s="631">
        <v>16498202.835000008</v>
      </c>
      <c r="H21" s="628">
        <v>1.4</v>
      </c>
      <c r="I21" s="629">
        <f t="shared" si="4"/>
        <v>23809089.318007953</v>
      </c>
      <c r="J21" s="589"/>
      <c r="K21" s="589"/>
      <c r="L21" s="589"/>
      <c r="M21" s="713">
        <v>23809085.349007938</v>
      </c>
      <c r="N21" s="589"/>
      <c r="O21" s="589"/>
      <c r="P21" s="589"/>
      <c r="Q21" s="592">
        <f t="shared" si="9"/>
        <v>11904542.674503969</v>
      </c>
    </row>
    <row r="22" spans="2:17" ht="14.4">
      <c r="B22" s="630" t="s">
        <v>991</v>
      </c>
      <c r="C22" s="631"/>
      <c r="D22" s="631"/>
      <c r="E22" s="631"/>
      <c r="F22" s="631"/>
      <c r="G22" s="631"/>
      <c r="H22" s="628">
        <v>1.4</v>
      </c>
      <c r="I22" s="629">
        <f t="shared" si="4"/>
        <v>0</v>
      </c>
      <c r="J22" s="589"/>
      <c r="K22" s="589"/>
      <c r="L22" s="589"/>
      <c r="M22" s="589"/>
      <c r="N22" s="589"/>
      <c r="O22" s="589"/>
      <c r="P22" s="589"/>
      <c r="Q22" s="592">
        <f>SUM(Q23:Q25)</f>
        <v>0</v>
      </c>
    </row>
    <row r="23" spans="2:17" ht="14.4">
      <c r="B23" s="632" t="s">
        <v>975</v>
      </c>
      <c r="C23" s="631"/>
      <c r="D23" s="631"/>
      <c r="E23" s="631"/>
      <c r="F23" s="631"/>
      <c r="G23" s="631"/>
      <c r="H23" s="628">
        <v>1.4</v>
      </c>
      <c r="I23" s="629">
        <f t="shared" si="4"/>
        <v>0</v>
      </c>
      <c r="J23" s="589"/>
      <c r="K23" s="589"/>
      <c r="L23" s="589"/>
      <c r="M23" s="589"/>
      <c r="N23" s="589"/>
      <c r="O23" s="589"/>
      <c r="P23" s="589"/>
      <c r="Q23" s="592">
        <f>SUMPRODUCT($J$5:$P$5,J23:P23)</f>
        <v>0</v>
      </c>
    </row>
    <row r="24" spans="2:17" ht="14.4">
      <c r="B24" s="632" t="s">
        <v>976</v>
      </c>
      <c r="C24" s="631"/>
      <c r="D24" s="631"/>
      <c r="E24" s="631"/>
      <c r="F24" s="631"/>
      <c r="G24" s="631"/>
      <c r="H24" s="628">
        <v>1.4</v>
      </c>
      <c r="I24" s="629">
        <f t="shared" si="4"/>
        <v>0</v>
      </c>
      <c r="J24" s="589"/>
      <c r="K24" s="589"/>
      <c r="L24" s="589"/>
      <c r="M24" s="589"/>
      <c r="N24" s="589"/>
      <c r="O24" s="589"/>
      <c r="P24" s="589"/>
      <c r="Q24" s="592">
        <f t="shared" ref="Q24:Q25" si="10">SUMPRODUCT($J$5:$P$5,J24:P24)</f>
        <v>0</v>
      </c>
    </row>
    <row r="25" spans="2:17" ht="14.4">
      <c r="B25" s="632" t="s">
        <v>977</v>
      </c>
      <c r="C25" s="631"/>
      <c r="D25" s="631"/>
      <c r="E25" s="631"/>
      <c r="F25" s="631"/>
      <c r="G25" s="631"/>
      <c r="H25" s="628">
        <v>1.4</v>
      </c>
      <c r="I25" s="629">
        <f t="shared" si="4"/>
        <v>0</v>
      </c>
      <c r="J25" s="589"/>
      <c r="K25" s="589"/>
      <c r="L25" s="589"/>
      <c r="M25" s="589"/>
      <c r="N25" s="589"/>
      <c r="O25" s="589"/>
      <c r="P25" s="589"/>
      <c r="Q25" s="592">
        <f t="shared" si="10"/>
        <v>0</v>
      </c>
    </row>
    <row r="26" spans="2:17" ht="14.4">
      <c r="B26" s="630" t="s">
        <v>992</v>
      </c>
      <c r="C26" s="631"/>
      <c r="D26" s="631"/>
      <c r="E26" s="631"/>
      <c r="F26" s="631"/>
      <c r="G26" s="631"/>
      <c r="H26" s="628">
        <v>1.4</v>
      </c>
      <c r="I26" s="629">
        <f t="shared" si="4"/>
        <v>0</v>
      </c>
      <c r="J26" s="589"/>
      <c r="K26" s="589"/>
      <c r="L26" s="589"/>
      <c r="M26" s="589"/>
      <c r="N26" s="589"/>
      <c r="O26" s="589"/>
      <c r="P26" s="589"/>
      <c r="Q26" s="592">
        <f>SUM(Q27:Q29)</f>
        <v>0</v>
      </c>
    </row>
    <row r="27" spans="2:17" ht="14.4">
      <c r="B27" s="632" t="s">
        <v>975</v>
      </c>
      <c r="C27" s="631"/>
      <c r="D27" s="631"/>
      <c r="E27" s="631"/>
      <c r="F27" s="631"/>
      <c r="G27" s="631"/>
      <c r="H27" s="628">
        <v>1.4</v>
      </c>
      <c r="I27" s="629">
        <f t="shared" si="4"/>
        <v>0</v>
      </c>
      <c r="J27" s="589"/>
      <c r="K27" s="589"/>
      <c r="L27" s="589"/>
      <c r="M27" s="589"/>
      <c r="N27" s="589"/>
      <c r="O27" s="589"/>
      <c r="P27" s="589"/>
      <c r="Q27" s="592">
        <f>SUMPRODUCT($J$5:$P$5,J27:P27)</f>
        <v>0</v>
      </c>
    </row>
    <row r="28" spans="2:17" ht="14.4">
      <c r="B28" s="632" t="s">
        <v>976</v>
      </c>
      <c r="C28" s="631"/>
      <c r="D28" s="631"/>
      <c r="E28" s="631"/>
      <c r="F28" s="631"/>
      <c r="G28" s="631"/>
      <c r="H28" s="628">
        <v>1.4</v>
      </c>
      <c r="I28" s="629">
        <f t="shared" si="4"/>
        <v>0</v>
      </c>
      <c r="J28" s="589"/>
      <c r="K28" s="589"/>
      <c r="L28" s="589"/>
      <c r="M28" s="589"/>
      <c r="N28" s="589"/>
      <c r="O28" s="589"/>
      <c r="P28" s="589"/>
      <c r="Q28" s="592">
        <f t="shared" ref="Q28:Q29" si="11">SUMPRODUCT($J$5:$P$5,J28:P28)</f>
        <v>0</v>
      </c>
    </row>
    <row r="29" spans="2:17" ht="14.4">
      <c r="B29" s="632" t="s">
        <v>977</v>
      </c>
      <c r="C29" s="631"/>
      <c r="D29" s="631"/>
      <c r="E29" s="631"/>
      <c r="F29" s="631"/>
      <c r="G29" s="631"/>
      <c r="H29" s="628">
        <v>1.4</v>
      </c>
      <c r="I29" s="629">
        <f t="shared" si="4"/>
        <v>0</v>
      </c>
      <c r="J29" s="589"/>
      <c r="K29" s="589"/>
      <c r="L29" s="589"/>
      <c r="M29" s="589"/>
      <c r="N29" s="589"/>
      <c r="O29" s="589"/>
      <c r="P29" s="589"/>
      <c r="Q29" s="592">
        <f t="shared" si="11"/>
        <v>0</v>
      </c>
    </row>
    <row r="30" spans="2:17" ht="14.4">
      <c r="B30" s="633" t="s">
        <v>993</v>
      </c>
      <c r="C30" s="631"/>
      <c r="D30" s="631"/>
      <c r="E30" s="631"/>
      <c r="F30" s="631"/>
      <c r="G30" s="631"/>
      <c r="H30" s="628">
        <v>1.4</v>
      </c>
      <c r="I30" s="629">
        <f t="shared" si="4"/>
        <v>0</v>
      </c>
      <c r="J30" s="589"/>
      <c r="K30" s="589"/>
      <c r="L30" s="589"/>
      <c r="M30" s="589"/>
      <c r="N30" s="589"/>
      <c r="O30" s="589"/>
      <c r="P30" s="589"/>
      <c r="Q30" s="592">
        <f>SUM(Q31:Q33)</f>
        <v>0</v>
      </c>
    </row>
    <row r="31" spans="2:17" ht="14.4">
      <c r="B31" s="632" t="s">
        <v>975</v>
      </c>
      <c r="C31" s="631"/>
      <c r="D31" s="631"/>
      <c r="E31" s="631"/>
      <c r="F31" s="631"/>
      <c r="G31" s="631"/>
      <c r="H31" s="628">
        <v>1.4</v>
      </c>
      <c r="I31" s="629">
        <f t="shared" si="4"/>
        <v>0</v>
      </c>
      <c r="J31" s="589"/>
      <c r="K31" s="589"/>
      <c r="L31" s="589"/>
      <c r="M31" s="589"/>
      <c r="N31" s="589"/>
      <c r="O31" s="589"/>
      <c r="P31" s="589"/>
      <c r="Q31" s="592">
        <f>SUMPRODUCT($J$5:$P$5,J31:P31)</f>
        <v>0</v>
      </c>
    </row>
    <row r="32" spans="2:17" ht="14.4">
      <c r="B32" s="632" t="s">
        <v>976</v>
      </c>
      <c r="C32" s="631"/>
      <c r="D32" s="631"/>
      <c r="E32" s="631"/>
      <c r="F32" s="631"/>
      <c r="G32" s="631"/>
      <c r="H32" s="628">
        <v>1.4</v>
      </c>
      <c r="I32" s="629">
        <f t="shared" si="4"/>
        <v>0</v>
      </c>
      <c r="J32" s="589"/>
      <c r="K32" s="589"/>
      <c r="L32" s="589"/>
      <c r="M32" s="589"/>
      <c r="N32" s="589"/>
      <c r="O32" s="589"/>
      <c r="P32" s="589"/>
      <c r="Q32" s="592">
        <f t="shared" ref="Q32:Q33" si="12">SUMPRODUCT($J$5:$P$5,J32:P32)</f>
        <v>0</v>
      </c>
    </row>
    <row r="33" spans="2:17" ht="14.4">
      <c r="B33" s="632" t="s">
        <v>977</v>
      </c>
      <c r="C33" s="631"/>
      <c r="D33" s="631"/>
      <c r="E33" s="631"/>
      <c r="F33" s="631"/>
      <c r="G33" s="631"/>
      <c r="H33" s="628">
        <v>1.4</v>
      </c>
      <c r="I33" s="629">
        <f t="shared" si="4"/>
        <v>0</v>
      </c>
      <c r="J33" s="589"/>
      <c r="K33" s="589"/>
      <c r="L33" s="589"/>
      <c r="M33" s="589"/>
      <c r="N33" s="589"/>
      <c r="O33" s="589"/>
      <c r="P33" s="589"/>
      <c r="Q33" s="592">
        <f t="shared" si="12"/>
        <v>0</v>
      </c>
    </row>
    <row r="34" spans="2:17" ht="14.4">
      <c r="B34" s="634" t="s">
        <v>66</v>
      </c>
      <c r="C34" s="635">
        <f>C6</f>
        <v>412455000</v>
      </c>
      <c r="D34" s="635">
        <f t="shared" ref="D34:G34" si="13">D6</f>
        <v>508289.5350056719</v>
      </c>
      <c r="E34" s="635">
        <f t="shared" si="13"/>
        <v>0</v>
      </c>
      <c r="F34" s="635">
        <f t="shared" si="13"/>
        <v>931.24931462947279</v>
      </c>
      <c r="G34" s="635">
        <f t="shared" si="13"/>
        <v>3758882.951846499</v>
      </c>
      <c r="H34" s="628">
        <v>1.4</v>
      </c>
      <c r="I34" s="629">
        <f>(F34+G34)*H34</f>
        <v>5263739.8816255797</v>
      </c>
      <c r="J34" s="635">
        <f t="shared" ref="J34:Q34" si="14">J6</f>
        <v>0</v>
      </c>
      <c r="K34" s="635">
        <f t="shared" si="14"/>
        <v>0</v>
      </c>
      <c r="L34" s="635">
        <f t="shared" si="14"/>
        <v>0</v>
      </c>
      <c r="M34" s="635">
        <f t="shared" si="14"/>
        <v>5056007.0903711952</v>
      </c>
      <c r="N34" s="635">
        <f t="shared" si="14"/>
        <v>0</v>
      </c>
      <c r="O34" s="635">
        <f t="shared" si="14"/>
        <v>0</v>
      </c>
      <c r="P34" s="635">
        <f t="shared" si="14"/>
        <v>0</v>
      </c>
      <c r="Q34" s="635">
        <f t="shared" si="14"/>
        <v>2528003.5451855976</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J53"/>
  <sheetViews>
    <sheetView zoomScale="80" zoomScaleNormal="80" workbookViewId="0">
      <pane xSplit="1" ySplit="5" topLeftCell="B31" activePane="bottomRight" state="frozen"/>
      <selection pane="topRight" activeCell="B1" sqref="B1"/>
      <selection pane="bottomLeft" activeCell="A6" sqref="A6"/>
      <selection pane="bottomRight" activeCell="C48" sqref="C48:C50"/>
    </sheetView>
  </sheetViews>
  <sheetFormatPr defaultRowHeight="14.4"/>
  <cols>
    <col min="1" max="1" width="9.5546875" style="14" bestFit="1" customWidth="1"/>
    <col min="2" max="2" width="88.33203125" style="12" customWidth="1"/>
    <col min="3" max="3" width="12.77734375" style="12" customWidth="1"/>
    <col min="4" max="7" width="12.77734375" style="1" customWidth="1"/>
    <col min="8" max="8" width="6.77734375" customWidth="1"/>
    <col min="9" max="9" width="17.44140625" bestFit="1" customWidth="1"/>
  </cols>
  <sheetData>
    <row r="1" spans="1:10">
      <c r="A1" s="13" t="s">
        <v>97</v>
      </c>
      <c r="B1" s="248" t="str">
        <f>Info!C2</f>
        <v>სს "კრედო ბანკი"</v>
      </c>
    </row>
    <row r="2" spans="1:10">
      <c r="A2" s="13" t="s">
        <v>98</v>
      </c>
      <c r="B2" s="274">
        <v>46022</v>
      </c>
    </row>
    <row r="3" spans="1:10" ht="15" thickBot="1">
      <c r="A3" s="13"/>
    </row>
    <row r="4" spans="1:10" ht="15" customHeight="1" thickBot="1">
      <c r="A4" s="31" t="s">
        <v>241</v>
      </c>
      <c r="B4" s="113" t="s">
        <v>128</v>
      </c>
      <c r="C4" s="114"/>
      <c r="D4" s="780" t="s">
        <v>903</v>
      </c>
      <c r="E4" s="781"/>
      <c r="F4" s="781"/>
      <c r="G4" s="782"/>
    </row>
    <row r="5" spans="1:10">
      <c r="A5" s="171" t="s">
        <v>25</v>
      </c>
      <c r="B5" s="172"/>
      <c r="C5" s="265" t="str">
        <f>INT((MONTH($B$2))/3)&amp;"Q"&amp;"-"&amp;YEAR($B$2)</f>
        <v>4Q-2025</v>
      </c>
      <c r="D5" s="265" t="str">
        <f>IF(INT(MONTH($B$2))=3, "4"&amp;"Q"&amp;"-"&amp;YEAR($B$2)-1, IF(INT(MONTH($B$2))=6, "1"&amp;"Q"&amp;"-"&amp;YEAR($B$2), IF(INT(MONTH($B$2))=9, "2"&amp;"Q"&amp;"-"&amp;YEAR($B$2),IF(INT(MONTH($B$2))=12, "3"&amp;"Q"&amp;"-"&amp;YEAR($B$2), 0))))</f>
        <v>3Q-2025</v>
      </c>
      <c r="E5" s="265" t="str">
        <f>IF(INT(MONTH($B$2))=3, "3"&amp;"Q"&amp;"-"&amp;YEAR($B$2)-1, IF(INT(MONTH($B$2))=6, "4"&amp;"Q"&amp;"-"&amp;YEAR($B$2)-1, IF(INT(MONTH($B$2))=9, "1"&amp;"Q"&amp;"-"&amp;YEAR($B$2),IF(INT(MONTH($B$2))=12, "2"&amp;"Q"&amp;"-"&amp;YEAR($B$2), 0))))</f>
        <v>2Q-2025</v>
      </c>
      <c r="F5" s="265" t="str">
        <f>IF(INT(MONTH($B$2))=3, "2"&amp;"Q"&amp;"-"&amp;YEAR($B$2)-1, IF(INT(MONTH($B$2))=6, "3"&amp;"Q"&amp;"-"&amp;YEAR($B$2)-1, IF(INT(MONTH($B$2))=9, "4"&amp;"Q"&amp;"-"&amp;YEAR($B$2)-1,IF(INT(MONTH($B$2))=12, "1"&amp;"Q"&amp;"-"&amp;YEAR($B$2), 0))))</f>
        <v>1Q-2025</v>
      </c>
      <c r="G5" s="266" t="str">
        <f>IF(INT(MONTH($B$2))=3, "1"&amp;"Q"&amp;"-"&amp;YEAR($B$2)-1, IF(INT(MONTH($B$2))=6, "2"&amp;"Q"&amp;"-"&amp;YEAR($B$2)-1, IF(INT(MONTH($B$2))=9, "3"&amp;"Q"&amp;"-"&amp;YEAR($B$2)-1,IF(INT(MONTH($B$2))=12, "4"&amp;"Q"&amp;"-"&amp;YEAR($B$2)-1, 0))))</f>
        <v>4Q-2024</v>
      </c>
    </row>
    <row r="6" spans="1:10">
      <c r="A6" s="267"/>
      <c r="B6" s="268" t="s">
        <v>95</v>
      </c>
      <c r="C6" s="173"/>
      <c r="D6" s="173"/>
      <c r="E6" s="173"/>
      <c r="F6" s="173"/>
      <c r="G6" s="174"/>
    </row>
    <row r="7" spans="1:10">
      <c r="A7" s="267"/>
      <c r="B7" s="269" t="s">
        <v>99</v>
      </c>
      <c r="C7" s="173"/>
      <c r="D7" s="173"/>
      <c r="E7" s="173"/>
      <c r="F7" s="173"/>
      <c r="G7" s="174"/>
    </row>
    <row r="8" spans="1:10">
      <c r="A8" s="252">
        <v>1</v>
      </c>
      <c r="B8" s="253" t="s">
        <v>22</v>
      </c>
      <c r="C8" s="766">
        <v>432033812.83999997</v>
      </c>
      <c r="D8" s="637">
        <v>407515510.73331797</v>
      </c>
      <c r="E8" s="638">
        <v>387976547.78696764</v>
      </c>
      <c r="F8" s="638">
        <v>367975692.77275252</v>
      </c>
      <c r="G8" s="638">
        <v>347648418</v>
      </c>
      <c r="I8" s="739"/>
      <c r="J8" s="681"/>
    </row>
    <row r="9" spans="1:10">
      <c r="A9" s="252">
        <v>2</v>
      </c>
      <c r="B9" s="253" t="s">
        <v>75</v>
      </c>
      <c r="C9" s="766">
        <v>458984812.83999997</v>
      </c>
      <c r="D9" s="637">
        <v>421059510.73331797</v>
      </c>
      <c r="E9" s="638">
        <v>401594547.78696764</v>
      </c>
      <c r="F9" s="638">
        <v>367975692.77275252</v>
      </c>
      <c r="G9" s="638">
        <v>347648418</v>
      </c>
      <c r="I9" s="739"/>
      <c r="J9" s="681"/>
    </row>
    <row r="10" spans="1:10">
      <c r="A10" s="252">
        <v>3</v>
      </c>
      <c r="B10" s="253" t="s">
        <v>74</v>
      </c>
      <c r="C10" s="766">
        <v>594757253.60000002</v>
      </c>
      <c r="D10" s="637">
        <v>530617084.17331797</v>
      </c>
      <c r="E10" s="638">
        <v>497794876.50696766</v>
      </c>
      <c r="F10" s="638">
        <v>466776392.41275251</v>
      </c>
      <c r="G10" s="638">
        <v>448625692.60000002</v>
      </c>
      <c r="I10" s="739"/>
      <c r="J10" s="681"/>
    </row>
    <row r="11" spans="1:10">
      <c r="A11" s="252">
        <v>4</v>
      </c>
      <c r="B11" s="253" t="s">
        <v>414</v>
      </c>
      <c r="C11" s="766">
        <v>377036524.92969364</v>
      </c>
      <c r="D11" s="637">
        <v>345466510.85021144</v>
      </c>
      <c r="E11" s="638">
        <v>327030586.23934674</v>
      </c>
      <c r="F11" s="638">
        <v>295817238.88254887</v>
      </c>
      <c r="G11" s="638">
        <v>280283119.22571325</v>
      </c>
      <c r="I11" s="776"/>
      <c r="J11" s="681"/>
    </row>
    <row r="12" spans="1:10">
      <c r="A12" s="252">
        <v>5</v>
      </c>
      <c r="B12" s="253" t="s">
        <v>415</v>
      </c>
      <c r="C12" s="766">
        <v>445301580.30069017</v>
      </c>
      <c r="D12" s="637">
        <v>408077160.59795773</v>
      </c>
      <c r="E12" s="638">
        <v>386528799.39315224</v>
      </c>
      <c r="F12" s="638">
        <v>352656781.29268879</v>
      </c>
      <c r="G12" s="638">
        <v>335073041.80542183</v>
      </c>
      <c r="I12" s="776"/>
      <c r="J12" s="681"/>
    </row>
    <row r="13" spans="1:10">
      <c r="A13" s="252">
        <v>6</v>
      </c>
      <c r="B13" s="253" t="s">
        <v>416</v>
      </c>
      <c r="C13" s="766">
        <v>535981782.16844624</v>
      </c>
      <c r="D13" s="637">
        <v>491246186.88958108</v>
      </c>
      <c r="E13" s="638">
        <v>465563738.1031093</v>
      </c>
      <c r="F13" s="638">
        <v>428160611.94416159</v>
      </c>
      <c r="G13" s="638">
        <v>407853681.9389714</v>
      </c>
      <c r="I13" s="776"/>
      <c r="J13" s="681"/>
    </row>
    <row r="14" spans="1:10">
      <c r="A14" s="267"/>
      <c r="B14" s="268" t="s">
        <v>418</v>
      </c>
      <c r="C14" s="173"/>
      <c r="D14" s="173"/>
      <c r="E14" s="173"/>
      <c r="F14" s="173"/>
      <c r="G14" s="173"/>
      <c r="I14" s="739"/>
      <c r="J14" s="681"/>
    </row>
    <row r="15" spans="1:10" ht="22.05" customHeight="1">
      <c r="A15" s="252">
        <v>7</v>
      </c>
      <c r="B15" s="253" t="s">
        <v>417</v>
      </c>
      <c r="C15" s="767">
        <v>3259490242.3347874</v>
      </c>
      <c r="D15" s="639">
        <v>2989051169.4370937</v>
      </c>
      <c r="E15" s="638">
        <v>2841701328.8094139</v>
      </c>
      <c r="F15" s="638">
        <v>2716844425.002924</v>
      </c>
      <c r="G15" s="638">
        <v>2616819609.5615358</v>
      </c>
      <c r="I15" s="739"/>
      <c r="J15" s="681"/>
    </row>
    <row r="16" spans="1:10">
      <c r="A16" s="267"/>
      <c r="B16" s="268" t="s">
        <v>421</v>
      </c>
      <c r="C16" s="173"/>
      <c r="D16" s="173"/>
      <c r="E16" s="173"/>
      <c r="F16" s="173"/>
      <c r="G16" s="173"/>
      <c r="I16" s="739"/>
      <c r="J16" s="681"/>
    </row>
    <row r="17" spans="1:10">
      <c r="A17" s="252"/>
      <c r="B17" s="269" t="s">
        <v>966</v>
      </c>
      <c r="C17" s="173"/>
      <c r="D17" s="173"/>
      <c r="E17" s="173"/>
      <c r="F17" s="173"/>
      <c r="G17" s="173"/>
      <c r="I17" s="739"/>
      <c r="J17" s="681"/>
    </row>
    <row r="18" spans="1:10">
      <c r="A18" s="252">
        <v>8</v>
      </c>
      <c r="B18" s="253" t="s">
        <v>412</v>
      </c>
      <c r="C18" s="768">
        <v>0.13254643539921512</v>
      </c>
      <c r="D18" s="640">
        <v>0.13633607711374923</v>
      </c>
      <c r="E18" s="641">
        <v>0.13652967110006525</v>
      </c>
      <c r="F18" s="641">
        <v>0.13544231292241052</v>
      </c>
      <c r="G18" s="641">
        <v>0.13285150291970282</v>
      </c>
      <c r="I18" s="672"/>
      <c r="J18" s="681"/>
    </row>
    <row r="19" spans="1:10" ht="15" customHeight="1">
      <c r="A19" s="252">
        <v>9</v>
      </c>
      <c r="B19" s="253" t="s">
        <v>411</v>
      </c>
      <c r="C19" s="768">
        <v>0.14081490623246262</v>
      </c>
      <c r="D19" s="640">
        <v>0.14086728090794545</v>
      </c>
      <c r="E19" s="641">
        <v>0.14132187071018595</v>
      </c>
      <c r="F19" s="641">
        <v>0.13544231292241052</v>
      </c>
      <c r="G19" s="641">
        <v>0.13285150291970282</v>
      </c>
      <c r="I19" s="672"/>
      <c r="J19" s="681"/>
    </row>
    <row r="20" spans="1:10">
      <c r="A20" s="252">
        <v>10</v>
      </c>
      <c r="B20" s="253" t="s">
        <v>413</v>
      </c>
      <c r="C20" s="768">
        <v>0.18246940760097896</v>
      </c>
      <c r="D20" s="640">
        <v>0.17752024107143177</v>
      </c>
      <c r="E20" s="641">
        <v>0.17517494588902788</v>
      </c>
      <c r="F20" s="641">
        <v>0.17180828910078286</v>
      </c>
      <c r="G20" s="641">
        <v>0.17143928873078493</v>
      </c>
      <c r="I20" s="672"/>
      <c r="J20" s="681"/>
    </row>
    <row r="21" spans="1:10">
      <c r="A21" s="252">
        <v>11</v>
      </c>
      <c r="B21" s="253" t="s">
        <v>414</v>
      </c>
      <c r="C21" s="768">
        <v>0.11567195273824925</v>
      </c>
      <c r="D21" s="640">
        <v>0.11557731576581563</v>
      </c>
      <c r="E21" s="641">
        <v>0.11508267351106971</v>
      </c>
      <c r="F21" s="641">
        <v>0.10888265672180043</v>
      </c>
      <c r="G21" s="641">
        <v>0.10710830745364849</v>
      </c>
      <c r="I21" s="672"/>
      <c r="J21" s="681"/>
    </row>
    <row r="22" spans="1:10">
      <c r="A22" s="252">
        <v>12</v>
      </c>
      <c r="B22" s="253" t="s">
        <v>415</v>
      </c>
      <c r="C22" s="768">
        <v>0.13661540234675107</v>
      </c>
      <c r="D22" s="640">
        <v>0.13652397950578007</v>
      </c>
      <c r="E22" s="641">
        <v>0.13602020573889656</v>
      </c>
      <c r="F22" s="641">
        <v>0.12980381874685976</v>
      </c>
      <c r="G22" s="641">
        <v>0.12804590758183576</v>
      </c>
      <c r="I22" s="672"/>
      <c r="J22" s="681"/>
    </row>
    <row r="23" spans="1:10">
      <c r="A23" s="252">
        <v>13</v>
      </c>
      <c r="B23" s="253" t="s">
        <v>416</v>
      </c>
      <c r="C23" s="768">
        <v>0.16443573077899037</v>
      </c>
      <c r="D23" s="640">
        <v>0.16434853705836489</v>
      </c>
      <c r="E23" s="641">
        <v>0.16383274814393189</v>
      </c>
      <c r="F23" s="641">
        <v>0.15759482141141154</v>
      </c>
      <c r="G23" s="641">
        <v>0.15585853932945057</v>
      </c>
      <c r="I23" s="672"/>
      <c r="J23" s="681"/>
    </row>
    <row r="24" spans="1:10">
      <c r="A24" s="267"/>
      <c r="B24" s="268" t="s">
        <v>951</v>
      </c>
      <c r="C24" s="173"/>
      <c r="D24" s="173"/>
      <c r="E24" s="173"/>
      <c r="F24" s="173"/>
      <c r="G24" s="173"/>
      <c r="I24" s="739"/>
      <c r="J24" s="681"/>
    </row>
    <row r="25" spans="1:10" ht="27.6">
      <c r="A25" s="252">
        <v>14</v>
      </c>
      <c r="B25" s="253" t="s">
        <v>952</v>
      </c>
      <c r="C25" s="673"/>
      <c r="D25" s="642"/>
      <c r="E25" s="643"/>
      <c r="F25" s="643"/>
      <c r="G25" s="643"/>
      <c r="I25" s="739"/>
      <c r="J25" s="681"/>
    </row>
    <row r="26" spans="1:10">
      <c r="A26" s="267"/>
      <c r="B26" s="268" t="s">
        <v>6</v>
      </c>
      <c r="C26" s="173"/>
      <c r="D26" s="173"/>
      <c r="E26" s="173"/>
      <c r="F26" s="173"/>
      <c r="G26" s="173"/>
      <c r="I26" s="739"/>
      <c r="J26" s="681"/>
    </row>
    <row r="27" spans="1:10" ht="15" customHeight="1">
      <c r="A27" s="270">
        <v>15</v>
      </c>
      <c r="B27" s="271" t="s">
        <v>7</v>
      </c>
      <c r="C27" s="674">
        <v>0.18933863967302114</v>
      </c>
      <c r="D27" s="644">
        <v>0.19100533529945291</v>
      </c>
      <c r="E27" s="645">
        <v>0.19332707095256682</v>
      </c>
      <c r="F27" s="645">
        <v>0.19528817622938224</v>
      </c>
      <c r="G27" s="645">
        <v>0.19204370446303029</v>
      </c>
      <c r="I27" s="672"/>
      <c r="J27" s="681"/>
    </row>
    <row r="28" spans="1:10">
      <c r="A28" s="270">
        <v>16</v>
      </c>
      <c r="B28" s="271" t="s">
        <v>8</v>
      </c>
      <c r="C28" s="674">
        <v>7.8063282210468404E-2</v>
      </c>
      <c r="D28" s="644">
        <v>7.7992364859775773E-2</v>
      </c>
      <c r="E28" s="645">
        <v>7.7003161677604293E-2</v>
      </c>
      <c r="F28" s="645">
        <v>7.6818069452227314E-2</v>
      </c>
      <c r="G28" s="645">
        <v>8.0465659644047338E-2</v>
      </c>
      <c r="I28" s="672"/>
      <c r="J28" s="681"/>
    </row>
    <row r="29" spans="1:10">
      <c r="A29" s="270">
        <v>17</v>
      </c>
      <c r="B29" s="271" t="s">
        <v>9</v>
      </c>
      <c r="C29" s="674">
        <v>6.219092292871093E-2</v>
      </c>
      <c r="D29" s="644">
        <v>6.4543190408098985E-2</v>
      </c>
      <c r="E29" s="645">
        <v>6.6764903738628034E-2</v>
      </c>
      <c r="F29" s="645">
        <v>6.8826707639056003E-2</v>
      </c>
      <c r="G29" s="645">
        <v>5.8738835083216256E-2</v>
      </c>
      <c r="I29" s="672"/>
      <c r="J29" s="681"/>
    </row>
    <row r="30" spans="1:10">
      <c r="A30" s="270">
        <v>18</v>
      </c>
      <c r="B30" s="271" t="s">
        <v>129</v>
      </c>
      <c r="C30" s="674">
        <v>0.11127535746255275</v>
      </c>
      <c r="D30" s="644">
        <v>0.11301297043967715</v>
      </c>
      <c r="E30" s="645">
        <v>0.11632390927496254</v>
      </c>
      <c r="F30" s="645">
        <v>0.11847010677715493</v>
      </c>
      <c r="G30" s="645">
        <v>0.11157804481898295</v>
      </c>
      <c r="I30" s="672"/>
      <c r="J30" s="681"/>
    </row>
    <row r="31" spans="1:10">
      <c r="A31" s="270">
        <v>19</v>
      </c>
      <c r="B31" s="271" t="s">
        <v>10</v>
      </c>
      <c r="C31" s="674">
        <v>2.721600730121311E-2</v>
      </c>
      <c r="D31" s="644">
        <v>2.6117410182600317E-2</v>
      </c>
      <c r="E31" s="645">
        <v>2.5639697424846935E-2</v>
      </c>
      <c r="F31" s="645">
        <v>2.8360921108693708E-2</v>
      </c>
      <c r="G31" s="645">
        <v>2.5309343339078742E-2</v>
      </c>
      <c r="I31" s="672"/>
      <c r="J31" s="681"/>
    </row>
    <row r="32" spans="1:10">
      <c r="A32" s="270">
        <v>20</v>
      </c>
      <c r="B32" s="271" t="s">
        <v>11</v>
      </c>
      <c r="C32" s="674">
        <v>0.21914634280698006</v>
      </c>
      <c r="D32" s="644">
        <v>0.20998718927537352</v>
      </c>
      <c r="E32" s="645">
        <v>0.20571416277916466</v>
      </c>
      <c r="F32" s="645">
        <v>0.22641363004890966</v>
      </c>
      <c r="G32" s="645">
        <v>0.20421646619790493</v>
      </c>
      <c r="I32" s="672"/>
      <c r="J32" s="681"/>
    </row>
    <row r="33" spans="1:10">
      <c r="A33" s="267"/>
      <c r="B33" s="268" t="s">
        <v>12</v>
      </c>
      <c r="C33" s="173"/>
      <c r="D33" s="173"/>
      <c r="E33" s="173"/>
      <c r="F33" s="173"/>
      <c r="G33" s="173"/>
      <c r="I33" s="672"/>
      <c r="J33" s="681"/>
    </row>
    <row r="34" spans="1:10">
      <c r="A34" s="270">
        <v>21</v>
      </c>
      <c r="B34" s="271" t="s">
        <v>13</v>
      </c>
      <c r="C34" s="674">
        <v>7.4721110846397215E-3</v>
      </c>
      <c r="D34" s="674">
        <v>8.8900369474808651E-3</v>
      </c>
      <c r="E34" s="644">
        <v>9.6304963828985814E-3</v>
      </c>
      <c r="F34" s="645">
        <v>7.608974533531084E-3</v>
      </c>
      <c r="G34" s="645">
        <v>8.0393354016192221E-3</v>
      </c>
      <c r="I34" s="672"/>
      <c r="J34" s="681"/>
    </row>
    <row r="35" spans="1:10" ht="15" customHeight="1">
      <c r="A35" s="270">
        <v>22</v>
      </c>
      <c r="B35" s="271" t="s">
        <v>916</v>
      </c>
      <c r="C35" s="674">
        <v>2.1086142437018927E-2</v>
      </c>
      <c r="D35" s="674">
        <v>2.3854461028989898E-2</v>
      </c>
      <c r="E35" s="644">
        <v>2.4218495933569111E-2</v>
      </c>
      <c r="F35" s="645">
        <v>2.2351396139721494E-2</v>
      </c>
      <c r="G35" s="645">
        <v>2.0721242376222759E-2</v>
      </c>
      <c r="I35" s="672"/>
      <c r="J35" s="681"/>
    </row>
    <row r="36" spans="1:10">
      <c r="A36" s="270">
        <v>23</v>
      </c>
      <c r="B36" s="271" t="s">
        <v>14</v>
      </c>
      <c r="C36" s="674">
        <v>0.10553754595913843</v>
      </c>
      <c r="D36" s="674">
        <v>0.10483005715849104</v>
      </c>
      <c r="E36" s="644">
        <v>0.10202260530010368</v>
      </c>
      <c r="F36" s="645">
        <v>0.10079318721264928</v>
      </c>
      <c r="G36" s="645">
        <v>0.1037553386179081</v>
      </c>
      <c r="I36" s="672"/>
      <c r="J36" s="681"/>
    </row>
    <row r="37" spans="1:10" ht="15" customHeight="1">
      <c r="A37" s="270">
        <v>24</v>
      </c>
      <c r="B37" s="271" t="s">
        <v>15</v>
      </c>
      <c r="C37" s="674">
        <v>0.15413553396070598</v>
      </c>
      <c r="D37" s="674">
        <v>0.16560729840761365</v>
      </c>
      <c r="E37" s="644">
        <v>0.1421135265673365</v>
      </c>
      <c r="F37" s="645">
        <v>0.13854944490065235</v>
      </c>
      <c r="G37" s="645">
        <v>0.14983819609067697</v>
      </c>
      <c r="I37" s="672"/>
      <c r="J37" s="681"/>
    </row>
    <row r="38" spans="1:10">
      <c r="A38" s="270">
        <v>25</v>
      </c>
      <c r="B38" s="271" t="s">
        <v>16</v>
      </c>
      <c r="C38" s="674">
        <v>0.23448532266881417</v>
      </c>
      <c r="D38" s="674">
        <v>0.15105222642033289</v>
      </c>
      <c r="E38" s="644">
        <v>9.1649319680043195E-2</v>
      </c>
      <c r="F38" s="645">
        <v>3.5511579153565176E-2</v>
      </c>
      <c r="G38" s="645">
        <v>0.25552711778765769</v>
      </c>
      <c r="I38" s="672"/>
      <c r="J38" s="770"/>
    </row>
    <row r="39" spans="1:10" ht="15" customHeight="1">
      <c r="A39" s="267"/>
      <c r="B39" s="268" t="s">
        <v>17</v>
      </c>
      <c r="C39" s="173"/>
      <c r="D39" s="173"/>
      <c r="E39" s="173"/>
      <c r="F39" s="173"/>
      <c r="G39" s="173"/>
      <c r="I39" s="672"/>
      <c r="J39" s="681"/>
    </row>
    <row r="40" spans="1:10" ht="15" customHeight="1">
      <c r="A40" s="270">
        <v>26</v>
      </c>
      <c r="B40" s="271" t="s">
        <v>18</v>
      </c>
      <c r="C40" s="707">
        <v>0.13250877957128712</v>
      </c>
      <c r="D40" s="644">
        <v>0.11610159083557653</v>
      </c>
      <c r="E40" s="644">
        <v>0.12607274742867008</v>
      </c>
      <c r="F40" s="644">
        <v>9.998351951010695E-2</v>
      </c>
      <c r="G40" s="644">
        <v>0.10456548349032237</v>
      </c>
      <c r="I40" s="672"/>
      <c r="J40" s="681"/>
    </row>
    <row r="41" spans="1:10" ht="15" customHeight="1">
      <c r="A41" s="270">
        <v>27</v>
      </c>
      <c r="B41" s="271" t="s">
        <v>19</v>
      </c>
      <c r="C41" s="674">
        <v>0.29459245720258409</v>
      </c>
      <c r="D41" s="644">
        <v>0.27861079501586511</v>
      </c>
      <c r="E41" s="644">
        <v>0.29363022332181665</v>
      </c>
      <c r="F41" s="644">
        <v>0.28190544393189232</v>
      </c>
      <c r="G41" s="644">
        <v>0.27011406939338301</v>
      </c>
      <c r="I41" s="672"/>
      <c r="J41" s="681"/>
    </row>
    <row r="42" spans="1:10" ht="15" customHeight="1">
      <c r="A42" s="270">
        <v>28</v>
      </c>
      <c r="B42" s="272" t="s">
        <v>20</v>
      </c>
      <c r="C42" s="674">
        <v>0.13024718729242998</v>
      </c>
      <c r="D42" s="644">
        <v>0.1260631759024764</v>
      </c>
      <c r="E42" s="644">
        <v>0.11679645504787096</v>
      </c>
      <c r="F42" s="644">
        <v>0.11421871307533431</v>
      </c>
      <c r="G42" s="644">
        <v>0.12767708937365424</v>
      </c>
      <c r="I42" s="672"/>
      <c r="J42" s="681"/>
    </row>
    <row r="43" spans="1:10" ht="15" customHeight="1">
      <c r="A43" s="273"/>
      <c r="B43" s="268" t="s">
        <v>344</v>
      </c>
      <c r="C43" s="173"/>
      <c r="D43" s="173"/>
      <c r="E43" s="173"/>
      <c r="F43" s="173"/>
      <c r="G43" s="173"/>
      <c r="I43" s="739"/>
      <c r="J43" s="681"/>
    </row>
    <row r="44" spans="1:10" ht="15" customHeight="1">
      <c r="A44" s="270">
        <v>29</v>
      </c>
      <c r="B44" s="311" t="s">
        <v>328</v>
      </c>
      <c r="C44" s="706">
        <v>545781804.70498872</v>
      </c>
      <c r="D44" s="706">
        <v>512120895.02282596</v>
      </c>
      <c r="E44" s="646">
        <v>424668688.78186804</v>
      </c>
      <c r="F44" s="647">
        <v>345796040.55633342</v>
      </c>
      <c r="G44" s="647">
        <v>384232329.62311006</v>
      </c>
      <c r="I44" s="739"/>
      <c r="J44" s="681"/>
    </row>
    <row r="45" spans="1:10">
      <c r="A45" s="270">
        <v>30</v>
      </c>
      <c r="B45" s="271" t="s">
        <v>329</v>
      </c>
      <c r="C45" s="706">
        <v>344821573.04741859</v>
      </c>
      <c r="D45" s="706">
        <v>346530349.86430192</v>
      </c>
      <c r="E45" s="646">
        <v>320037655.96559638</v>
      </c>
      <c r="F45" s="648">
        <v>274703477.41600484</v>
      </c>
      <c r="G45" s="648">
        <v>245408656.99990946</v>
      </c>
      <c r="I45" s="739"/>
      <c r="J45" s="681"/>
    </row>
    <row r="46" spans="1:10">
      <c r="A46" s="308">
        <v>31</v>
      </c>
      <c r="B46" s="309" t="s">
        <v>327</v>
      </c>
      <c r="C46" s="707">
        <v>1.5827948346779765</v>
      </c>
      <c r="D46" s="707">
        <v>1.4778529361811101</v>
      </c>
      <c r="E46" s="649">
        <v>1.3269335056857163</v>
      </c>
      <c r="F46" s="644">
        <v>1.2587974633923822</v>
      </c>
      <c r="G46" s="644">
        <v>1.5656836817425386</v>
      </c>
      <c r="I46" s="770"/>
      <c r="J46" s="681"/>
    </row>
    <row r="47" spans="1:10">
      <c r="A47" s="308"/>
      <c r="B47" s="268" t="s">
        <v>422</v>
      </c>
      <c r="C47" s="173"/>
      <c r="D47" s="173"/>
      <c r="E47" s="173"/>
      <c r="F47" s="173"/>
      <c r="G47" s="173"/>
      <c r="I47" s="739"/>
      <c r="J47" s="681"/>
    </row>
    <row r="48" spans="1:10">
      <c r="A48" s="308">
        <v>32</v>
      </c>
      <c r="B48" s="309" t="s">
        <v>429</v>
      </c>
      <c r="C48" s="310">
        <v>2930886375.8924999</v>
      </c>
      <c r="D48" s="310">
        <v>2687495564.27</v>
      </c>
      <c r="E48" s="650">
        <v>2559665228.5770578</v>
      </c>
      <c r="F48" s="651">
        <v>2311402468.1668806</v>
      </c>
      <c r="G48" s="651">
        <v>2314663069.089488</v>
      </c>
      <c r="I48" s="739"/>
      <c r="J48" s="681"/>
    </row>
    <row r="49" spans="1:10">
      <c r="A49" s="308">
        <v>33</v>
      </c>
      <c r="B49" s="309" t="s">
        <v>442</v>
      </c>
      <c r="C49" s="310">
        <v>2351971297.7728219</v>
      </c>
      <c r="D49" s="310">
        <v>2189643035.6148629</v>
      </c>
      <c r="E49" s="650">
        <v>2071267650.1338389</v>
      </c>
      <c r="F49" s="651">
        <v>1953393297.8604517</v>
      </c>
      <c r="G49" s="651">
        <v>1877689961.4497709</v>
      </c>
      <c r="I49" s="739"/>
      <c r="J49" s="681"/>
    </row>
    <row r="50" spans="1:10" ht="15" thickBot="1">
      <c r="A50" s="60">
        <v>34</v>
      </c>
      <c r="B50" s="136" t="s">
        <v>456</v>
      </c>
      <c r="C50" s="675">
        <v>1.2461</v>
      </c>
      <c r="D50" s="675">
        <v>1.2273669819954638</v>
      </c>
      <c r="E50" s="652">
        <v>1.2357964594347139</v>
      </c>
      <c r="F50" s="653">
        <v>1.1832755189129376</v>
      </c>
      <c r="G50" s="653">
        <v>1.2327454159680078</v>
      </c>
      <c r="I50" s="672"/>
      <c r="J50" s="681"/>
    </row>
    <row r="51" spans="1:10">
      <c r="A51" s="15"/>
    </row>
    <row r="52" spans="1:10">
      <c r="B52" s="17"/>
    </row>
    <row r="53" spans="1:10" ht="69">
      <c r="B53" s="211"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topLeftCell="A16" zoomScale="80" zoomScaleNormal="80" workbookViewId="0">
      <selection activeCell="L33" sqref="L33"/>
    </sheetView>
  </sheetViews>
  <sheetFormatPr defaultRowHeight="14.4"/>
  <cols>
    <col min="1" max="1" width="11.44140625" customWidth="1"/>
    <col min="2" max="2" width="76.77734375" style="2" customWidth="1"/>
    <col min="3" max="3" width="22.77734375" customWidth="1"/>
  </cols>
  <sheetData>
    <row r="1" spans="1:3">
      <c r="A1" s="1" t="s">
        <v>97</v>
      </c>
      <c r="B1" t="str">
        <f>Info!C2</f>
        <v>სს "კრედო ბანკი"</v>
      </c>
    </row>
    <row r="2" spans="1:3">
      <c r="A2" s="1" t="s">
        <v>98</v>
      </c>
      <c r="B2" s="274">
        <f>'1. key ratios'!B2</f>
        <v>46022</v>
      </c>
    </row>
    <row r="3" spans="1:3">
      <c r="A3" s="1"/>
      <c r="B3"/>
    </row>
    <row r="4" spans="1:3">
      <c r="A4" s="1" t="s">
        <v>406</v>
      </c>
      <c r="B4" t="s">
        <v>375</v>
      </c>
    </row>
    <row r="5" spans="1:3">
      <c r="A5" s="596"/>
      <c r="B5" s="596" t="s">
        <v>376</v>
      </c>
      <c r="C5" s="597"/>
    </row>
    <row r="6" spans="1:3">
      <c r="A6" s="598">
        <v>1</v>
      </c>
      <c r="B6" s="599" t="s">
        <v>376</v>
      </c>
      <c r="C6" s="600">
        <f>'2. SOFP'!E69</f>
        <v>3903818052.455205</v>
      </c>
    </row>
    <row r="7" spans="1:3">
      <c r="A7" s="598">
        <v>2</v>
      </c>
      <c r="B7" s="599" t="s">
        <v>377</v>
      </c>
      <c r="C7" s="600">
        <f>'9. Capital'!C15</f>
        <v>40661044.859999985</v>
      </c>
    </row>
    <row r="8" spans="1:3">
      <c r="A8" s="601">
        <v>3</v>
      </c>
      <c r="B8" s="602" t="s">
        <v>378</v>
      </c>
      <c r="C8" s="603">
        <f>C6-C7</f>
        <v>3863157007.5952048</v>
      </c>
    </row>
    <row r="9" spans="1:3">
      <c r="A9" s="604"/>
      <c r="B9" s="604" t="s">
        <v>379</v>
      </c>
      <c r="C9" s="605"/>
    </row>
    <row r="10" spans="1:3">
      <c r="A10" s="606">
        <v>4</v>
      </c>
      <c r="B10" s="607" t="s">
        <v>380</v>
      </c>
      <c r="C10" s="600">
        <f>'15. CCR'!F34</f>
        <v>931.24931462947279</v>
      </c>
    </row>
    <row r="11" spans="1:3">
      <c r="A11" s="606">
        <v>5</v>
      </c>
      <c r="B11" s="608" t="s">
        <v>381</v>
      </c>
      <c r="C11" s="600">
        <f>'15. CCR'!G34</f>
        <v>3758882.951846499</v>
      </c>
    </row>
    <row r="12" spans="1:3">
      <c r="A12" s="606">
        <v>6</v>
      </c>
      <c r="B12" s="609" t="s">
        <v>978</v>
      </c>
      <c r="C12" s="603">
        <f>'15. CCR'!I34</f>
        <v>5263739.8816255797</v>
      </c>
    </row>
    <row r="13" spans="1:3">
      <c r="A13" s="610">
        <v>7</v>
      </c>
      <c r="B13" s="611" t="s">
        <v>382</v>
      </c>
      <c r="C13" s="600">
        <f>'15. CCR'!E34</f>
        <v>0</v>
      </c>
    </row>
    <row r="14" spans="1:3">
      <c r="A14" s="612">
        <v>8</v>
      </c>
      <c r="B14" s="613" t="s">
        <v>383</v>
      </c>
      <c r="C14" s="603">
        <f>C12</f>
        <v>5263739.8816255797</v>
      </c>
    </row>
    <row r="15" spans="1:3">
      <c r="A15" s="604"/>
      <c r="B15" s="604" t="s">
        <v>384</v>
      </c>
      <c r="C15" s="614"/>
    </row>
    <row r="16" spans="1:3">
      <c r="A16" s="610">
        <v>9</v>
      </c>
      <c r="B16" s="615" t="s">
        <v>385</v>
      </c>
      <c r="C16" s="600"/>
    </row>
    <row r="17" spans="1:3">
      <c r="A17" s="606">
        <v>10</v>
      </c>
      <c r="B17" s="599" t="s">
        <v>386</v>
      </c>
      <c r="C17" s="600"/>
    </row>
    <row r="18" spans="1:3">
      <c r="A18" s="606">
        <v>11</v>
      </c>
      <c r="B18" s="599" t="s">
        <v>387</v>
      </c>
      <c r="C18" s="600"/>
    </row>
    <row r="19" spans="1:3" ht="22.8">
      <c r="A19" s="610">
        <v>12</v>
      </c>
      <c r="B19" s="615" t="s">
        <v>388</v>
      </c>
      <c r="C19" s="600"/>
    </row>
    <row r="20" spans="1:3">
      <c r="A20" s="610">
        <v>13</v>
      </c>
      <c r="B20" s="615" t="s">
        <v>389</v>
      </c>
      <c r="C20" s="600"/>
    </row>
    <row r="21" spans="1:3">
      <c r="A21" s="610">
        <v>14</v>
      </c>
      <c r="B21" s="599" t="s">
        <v>390</v>
      </c>
      <c r="C21" s="600"/>
    </row>
    <row r="22" spans="1:3">
      <c r="A22" s="612">
        <v>15</v>
      </c>
      <c r="B22" s="613" t="s">
        <v>391</v>
      </c>
      <c r="C22" s="603">
        <f>SUM(C16:C21)</f>
        <v>0</v>
      </c>
    </row>
    <row r="23" spans="1:3">
      <c r="A23" s="604"/>
      <c r="B23" s="604" t="s">
        <v>392</v>
      </c>
      <c r="C23" s="605"/>
    </row>
    <row r="24" spans="1:3">
      <c r="A24" s="606">
        <v>16</v>
      </c>
      <c r="B24" s="599" t="s">
        <v>393</v>
      </c>
      <c r="C24" s="600">
        <v>444803974</v>
      </c>
    </row>
    <row r="25" spans="1:3">
      <c r="A25" s="606">
        <v>17</v>
      </c>
      <c r="B25" s="599" t="s">
        <v>394</v>
      </c>
      <c r="C25" s="765">
        <v>-322663957.30000001</v>
      </c>
    </row>
    <row r="26" spans="1:3">
      <c r="A26" s="612">
        <v>18</v>
      </c>
      <c r="B26" s="613" t="s">
        <v>395</v>
      </c>
      <c r="C26" s="603">
        <f>C24+C25</f>
        <v>122140016.69999999</v>
      </c>
    </row>
    <row r="27" spans="1:3">
      <c r="A27" s="604"/>
      <c r="B27" s="604" t="s">
        <v>396</v>
      </c>
      <c r="C27" s="614"/>
    </row>
    <row r="28" spans="1:3">
      <c r="A28" s="606">
        <v>19</v>
      </c>
      <c r="B28" s="599" t="s">
        <v>397</v>
      </c>
      <c r="C28" s="600"/>
    </row>
    <row r="29" spans="1:3">
      <c r="A29" s="606">
        <v>20</v>
      </c>
      <c r="B29" s="599" t="s">
        <v>398</v>
      </c>
      <c r="C29" s="600"/>
    </row>
    <row r="30" spans="1:3">
      <c r="A30" s="604"/>
      <c r="B30" s="604" t="s">
        <v>399</v>
      </c>
      <c r="C30" s="605"/>
    </row>
    <row r="31" spans="1:3">
      <c r="A31" s="612">
        <v>21</v>
      </c>
      <c r="B31" s="613" t="s">
        <v>75</v>
      </c>
      <c r="C31" s="603">
        <f>'1. key ratios'!C9</f>
        <v>458984812.83999997</v>
      </c>
    </row>
    <row r="32" spans="1:3">
      <c r="A32" s="612">
        <v>22</v>
      </c>
      <c r="B32" s="613" t="s">
        <v>400</v>
      </c>
      <c r="C32" s="603">
        <f>C8+C14+C22+C26</f>
        <v>3990560764.1768303</v>
      </c>
    </row>
    <row r="33" spans="1:3">
      <c r="A33" s="616"/>
      <c r="B33" s="616" t="s">
        <v>375</v>
      </c>
      <c r="C33" s="605"/>
    </row>
    <row r="34" spans="1:3">
      <c r="A34" s="612">
        <v>23</v>
      </c>
      <c r="B34" s="613" t="s">
        <v>375</v>
      </c>
      <c r="C34" s="714">
        <f>IFERROR(C31/C32,0)</f>
        <v>0.11501762282641974</v>
      </c>
    </row>
    <row r="35" spans="1:3">
      <c r="A35" s="616"/>
      <c r="B35" s="616" t="s">
        <v>401</v>
      </c>
      <c r="C35" s="605"/>
    </row>
    <row r="36" spans="1:3">
      <c r="A36" s="610" t="s">
        <v>402</v>
      </c>
      <c r="B36" s="615" t="s">
        <v>403</v>
      </c>
      <c r="C36" s="617"/>
    </row>
    <row r="37" spans="1:3">
      <c r="A37" s="618" t="s">
        <v>404</v>
      </c>
      <c r="B37" s="619" t="s">
        <v>405</v>
      </c>
      <c r="C37" s="617"/>
    </row>
    <row r="39" spans="1:3">
      <c r="B39" s="24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12"/>
  <sheetViews>
    <sheetView zoomScale="80" zoomScaleNormal="80" workbookViewId="0">
      <selection activeCell="C7" sqref="C7:C9"/>
    </sheetView>
  </sheetViews>
  <sheetFormatPr defaultRowHeight="14.4"/>
  <cols>
    <col min="1" max="1" width="11.44140625" customWidth="1"/>
    <col min="2" max="2" width="76.77734375" style="2" customWidth="1"/>
    <col min="3" max="6" width="24.44140625" customWidth="1"/>
  </cols>
  <sheetData>
    <row r="1" spans="1:6">
      <c r="A1" s="12" t="s">
        <v>97</v>
      </c>
      <c r="B1">
        <f>[5]Info!C2</f>
        <v>0</v>
      </c>
    </row>
    <row r="2" spans="1:6">
      <c r="A2" s="1" t="s">
        <v>98</v>
      </c>
      <c r="B2" s="274">
        <f>'[5]1. key ratios'!B2</f>
        <v>45747</v>
      </c>
    </row>
    <row r="3" spans="1:6">
      <c r="A3" s="1"/>
      <c r="B3"/>
    </row>
    <row r="4" spans="1:6">
      <c r="A4" s="595" t="s">
        <v>970</v>
      </c>
    </row>
    <row r="5" spans="1:6" ht="86.4">
      <c r="B5" s="589"/>
      <c r="C5" s="590" t="s">
        <v>971</v>
      </c>
      <c r="D5" s="590" t="s">
        <v>972</v>
      </c>
      <c r="E5" s="590" t="s">
        <v>973</v>
      </c>
      <c r="F5" s="590" t="s">
        <v>974</v>
      </c>
    </row>
    <row r="6" spans="1:6">
      <c r="B6" s="591" t="s">
        <v>969</v>
      </c>
      <c r="C6" s="592">
        <f>IF(C7&gt;0,C7,IF(C8&gt;0,C8,IF(C9&gt;0,C9)))</f>
        <v>115243.55197525768</v>
      </c>
      <c r="D6" s="592">
        <f>IF(D7&gt;0,D7,IF(D8&gt;0,D8,IF(D9&gt;0,D9,0)))</f>
        <v>0</v>
      </c>
      <c r="E6" s="592">
        <f>IF(E7&gt;0,E7,IF(E8&gt;0,E8,IF(E9&gt;0,E9,0)))</f>
        <v>0</v>
      </c>
      <c r="F6" s="592">
        <f>IF(F7&gt;0,F7,IF(F8&gt;0,F8,IF(F9&gt;0,F9,0)))</f>
        <v>115243.55197525768</v>
      </c>
    </row>
    <row r="7" spans="1:6">
      <c r="B7" s="593" t="s">
        <v>975</v>
      </c>
      <c r="C7" s="594">
        <v>115243.55197525768</v>
      </c>
      <c r="D7" s="594">
        <v>0</v>
      </c>
      <c r="E7" s="594">
        <v>0</v>
      </c>
      <c r="F7" s="594">
        <f>C7-D7-E7</f>
        <v>115243.55197525768</v>
      </c>
    </row>
    <row r="8" spans="1:6">
      <c r="B8" s="593" t="s">
        <v>976</v>
      </c>
      <c r="C8" s="594">
        <v>526810.44620789995</v>
      </c>
      <c r="D8" s="594">
        <v>0</v>
      </c>
      <c r="E8" s="594">
        <v>0</v>
      </c>
      <c r="F8" s="594">
        <f t="shared" ref="F8:F9" si="0">C8-D8-E8</f>
        <v>526810.44620789995</v>
      </c>
    </row>
    <row r="9" spans="1:6">
      <c r="B9" s="593" t="s">
        <v>977</v>
      </c>
      <c r="C9" s="594">
        <v>543096.96792014677</v>
      </c>
      <c r="D9" s="594">
        <v>0</v>
      </c>
      <c r="E9" s="594">
        <v>0</v>
      </c>
      <c r="F9" s="594">
        <f t="shared" si="0"/>
        <v>543096.96792014677</v>
      </c>
    </row>
    <row r="12" spans="1:6">
      <c r="D12" s="715"/>
      <c r="E12" s="715"/>
      <c r="F12" s="715"/>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J42"/>
  <sheetViews>
    <sheetView zoomScale="80" zoomScaleNormal="80" workbookViewId="0">
      <pane xSplit="2" ySplit="6" topLeftCell="C7" activePane="bottomRight" state="frozen"/>
      <selection pane="topRight" activeCell="C1" sqref="C1"/>
      <selection pane="bottomLeft" activeCell="A7" sqref="A7"/>
      <selection pane="bottomRight" activeCell="I10" sqref="I10"/>
    </sheetView>
  </sheetViews>
  <sheetFormatPr defaultRowHeight="14.4"/>
  <cols>
    <col min="1" max="1" width="9.88671875" style="1" bestFit="1" customWidth="1"/>
    <col min="2" max="2" width="82.6640625" style="17" customWidth="1"/>
    <col min="3" max="7" width="17.5546875" style="1" customWidth="1"/>
    <col min="8" max="9" width="14.77734375" customWidth="1"/>
    <col min="10" max="10" width="16.33203125" bestFit="1" customWidth="1"/>
    <col min="11" max="11" width="11" bestFit="1" customWidth="1"/>
  </cols>
  <sheetData>
    <row r="1" spans="1:10">
      <c r="A1" s="1" t="s">
        <v>97</v>
      </c>
      <c r="B1" s="1" t="str">
        <f>Info!C2</f>
        <v>სს "კრედო ბანკი"</v>
      </c>
    </row>
    <row r="2" spans="1:10">
      <c r="A2" s="1" t="s">
        <v>98</v>
      </c>
      <c r="B2" s="274">
        <f>'1. key ratios'!B2</f>
        <v>46022</v>
      </c>
    </row>
    <row r="3" spans="1:10">
      <c r="B3" s="274"/>
    </row>
    <row r="4" spans="1:10" ht="15" thickBot="1">
      <c r="A4" s="1" t="s">
        <v>457</v>
      </c>
      <c r="B4" s="166" t="s">
        <v>422</v>
      </c>
    </row>
    <row r="5" spans="1:10">
      <c r="A5" s="275"/>
      <c r="B5" s="276"/>
      <c r="C5" s="841" t="s">
        <v>423</v>
      </c>
      <c r="D5" s="841"/>
      <c r="E5" s="841"/>
      <c r="F5" s="841"/>
      <c r="G5" s="842" t="s">
        <v>424</v>
      </c>
    </row>
    <row r="6" spans="1:10">
      <c r="A6" s="277"/>
      <c r="B6" s="278"/>
      <c r="C6" s="279" t="s">
        <v>425</v>
      </c>
      <c r="D6" s="279" t="s">
        <v>426</v>
      </c>
      <c r="E6" s="279" t="s">
        <v>427</v>
      </c>
      <c r="F6" s="279" t="s">
        <v>428</v>
      </c>
      <c r="G6" s="843"/>
      <c r="H6" s="758"/>
      <c r="I6" s="758"/>
    </row>
    <row r="7" spans="1:10">
      <c r="A7" s="280"/>
      <c r="B7" s="281" t="s">
        <v>429</v>
      </c>
      <c r="C7" s="282"/>
      <c r="D7" s="282"/>
      <c r="E7" s="282"/>
      <c r="F7" s="282"/>
      <c r="G7" s="283"/>
      <c r="J7" s="736"/>
    </row>
    <row r="8" spans="1:10">
      <c r="A8" s="284">
        <v>1</v>
      </c>
      <c r="B8" s="285" t="s">
        <v>430</v>
      </c>
      <c r="C8" s="718">
        <f>SUM(C9:C10)</f>
        <v>458984812</v>
      </c>
      <c r="D8" s="286">
        <f>SUM(D9:D10)</f>
        <v>0</v>
      </c>
      <c r="E8" s="286">
        <f>SUM(E9:E10)</f>
        <v>0</v>
      </c>
      <c r="F8" s="718">
        <f>SUM(F9:F10)</f>
        <v>1312915060.76</v>
      </c>
      <c r="G8" s="293">
        <f>SUM(G9:G10)</f>
        <v>1771899872.76</v>
      </c>
      <c r="I8" s="739"/>
      <c r="J8" s="736"/>
    </row>
    <row r="9" spans="1:10">
      <c r="A9" s="284">
        <v>2</v>
      </c>
      <c r="B9" s="288" t="s">
        <v>74</v>
      </c>
      <c r="C9" s="286">
        <v>458984812</v>
      </c>
      <c r="D9" s="286"/>
      <c r="E9" s="286"/>
      <c r="F9" s="286">
        <v>135772440.75999999</v>
      </c>
      <c r="G9" s="287">
        <f>C9+F9</f>
        <v>594757252.75999999</v>
      </c>
      <c r="H9" s="739"/>
      <c r="I9" s="739"/>
      <c r="J9" s="739"/>
    </row>
    <row r="10" spans="1:10">
      <c r="A10" s="284">
        <v>3</v>
      </c>
      <c r="B10" s="288" t="s">
        <v>431</v>
      </c>
      <c r="C10" s="289"/>
      <c r="D10" s="289"/>
      <c r="E10" s="289"/>
      <c r="F10" s="286">
        <v>1177142620</v>
      </c>
      <c r="G10" s="287">
        <f>F10</f>
        <v>1177142620</v>
      </c>
      <c r="H10" s="739"/>
      <c r="I10" s="739"/>
    </row>
    <row r="11" spans="1:10" ht="27.6">
      <c r="A11" s="284">
        <v>4</v>
      </c>
      <c r="B11" s="285" t="s">
        <v>432</v>
      </c>
      <c r="C11" s="718">
        <f t="shared" ref="C11:F11" si="0">SUM(C12:C13)</f>
        <v>396163940.26999998</v>
      </c>
      <c r="D11" s="718">
        <f t="shared" si="0"/>
        <v>517495846.63</v>
      </c>
      <c r="E11" s="718">
        <f t="shared" si="0"/>
        <v>212134031.73104203</v>
      </c>
      <c r="F11" s="718">
        <f t="shared" si="0"/>
        <v>9240193.1099999994</v>
      </c>
      <c r="G11" s="293">
        <f>SUM(G12:G13)</f>
        <v>847703386.25348902</v>
      </c>
      <c r="H11" s="739"/>
      <c r="I11" s="739"/>
      <c r="J11" s="739"/>
    </row>
    <row r="12" spans="1:10">
      <c r="A12" s="284">
        <v>5</v>
      </c>
      <c r="B12" s="288" t="s">
        <v>433</v>
      </c>
      <c r="C12" s="286">
        <v>120992843.44</v>
      </c>
      <c r="D12" s="290">
        <v>339978006.44</v>
      </c>
      <c r="E12" s="286">
        <v>154776779.72104001</v>
      </c>
      <c r="F12" s="286">
        <v>6888771.25</v>
      </c>
      <c r="G12" s="287">
        <f>SUM(C12:F12)*0.95</f>
        <v>591504580.80848801</v>
      </c>
      <c r="H12" s="739"/>
      <c r="I12" s="739"/>
    </row>
    <row r="13" spans="1:10">
      <c r="A13" s="284">
        <v>6</v>
      </c>
      <c r="B13" s="288" t="s">
        <v>434</v>
      </c>
      <c r="C13" s="286">
        <v>275171096.82999998</v>
      </c>
      <c r="D13" s="290">
        <v>177517840.19</v>
      </c>
      <c r="E13" s="286">
        <v>57357252.010002002</v>
      </c>
      <c r="F13" s="286">
        <v>2351421.86</v>
      </c>
      <c r="G13" s="287">
        <f>SUM(C13:F13)*0.5</f>
        <v>256198805.44500101</v>
      </c>
      <c r="H13" s="739"/>
      <c r="I13" s="739"/>
      <c r="J13" s="736"/>
    </row>
    <row r="14" spans="1:10">
      <c r="A14" s="284">
        <v>7</v>
      </c>
      <c r="B14" s="285" t="s">
        <v>435</v>
      </c>
      <c r="C14" s="718">
        <f t="shared" ref="C14:F14" si="1">SUM(C15:C16)</f>
        <v>112323925</v>
      </c>
      <c r="D14" s="718">
        <f t="shared" si="1"/>
        <v>446288629.74000001</v>
      </c>
      <c r="E14" s="718">
        <f t="shared" si="1"/>
        <v>287229551.41481119</v>
      </c>
      <c r="F14" s="718">
        <f t="shared" si="1"/>
        <v>1033070.1445290002</v>
      </c>
      <c r="G14" s="293">
        <f>SUM(G15:G16)</f>
        <v>311283117.75467008</v>
      </c>
      <c r="H14" s="739"/>
      <c r="I14" s="739"/>
    </row>
    <row r="15" spans="1:10" ht="55.2">
      <c r="A15" s="284">
        <v>8</v>
      </c>
      <c r="B15" s="288" t="s">
        <v>436</v>
      </c>
      <c r="C15" s="286">
        <v>112323925</v>
      </c>
      <c r="D15" s="716">
        <v>221979688.94999999</v>
      </c>
      <c r="E15" s="286">
        <v>150459060.41481119</v>
      </c>
      <c r="F15" s="286">
        <v>1033070.1445290002</v>
      </c>
      <c r="G15" s="287">
        <f>SUM(C15:F15)*0.5</f>
        <v>242897872.25467008</v>
      </c>
      <c r="H15" s="739"/>
      <c r="I15" s="739"/>
      <c r="J15" s="738"/>
    </row>
    <row r="16" spans="1:10" ht="27.6">
      <c r="A16" s="284">
        <v>9</v>
      </c>
      <c r="B16" s="288" t="s">
        <v>437</v>
      </c>
      <c r="C16" s="286"/>
      <c r="D16" s="717">
        <v>224308940.78999999</v>
      </c>
      <c r="E16" s="286">
        <f>(3267990+94628-6224)+133414097</f>
        <v>136770491</v>
      </c>
      <c r="F16" s="286"/>
      <c r="G16" s="287">
        <f>D16*0%+E16*50%</f>
        <v>68385245.5</v>
      </c>
      <c r="H16" s="739"/>
      <c r="I16" s="739"/>
      <c r="J16" s="739"/>
    </row>
    <row r="17" spans="1:10">
      <c r="A17" s="284">
        <v>10</v>
      </c>
      <c r="B17" s="285" t="s">
        <v>438</v>
      </c>
      <c r="C17" s="286"/>
      <c r="D17" s="290"/>
      <c r="E17" s="286"/>
      <c r="F17" s="286"/>
      <c r="G17" s="287"/>
      <c r="H17" s="739"/>
      <c r="I17" s="739"/>
      <c r="J17" s="739"/>
    </row>
    <row r="18" spans="1:10">
      <c r="A18" s="284">
        <v>11</v>
      </c>
      <c r="B18" s="285" t="s">
        <v>78</v>
      </c>
      <c r="C18" s="718">
        <f>SUM(C19:C20)</f>
        <v>54377551</v>
      </c>
      <c r="D18" s="680">
        <v>5101149.4817876816</v>
      </c>
      <c r="E18" s="718">
        <f t="shared" ref="E18:G18" si="2">SUM(E19:E20)</f>
        <v>4617404.6174547505</v>
      </c>
      <c r="F18" s="718">
        <f t="shared" si="2"/>
        <v>45251841.027343698</v>
      </c>
      <c r="G18" s="287">
        <f t="shared" si="2"/>
        <v>0</v>
      </c>
      <c r="H18" s="739"/>
      <c r="I18" s="739"/>
      <c r="J18" s="736"/>
    </row>
    <row r="19" spans="1:10">
      <c r="A19" s="284">
        <v>12</v>
      </c>
      <c r="B19" s="288" t="s">
        <v>439</v>
      </c>
      <c r="C19" s="289"/>
      <c r="D19" s="290">
        <v>710699.44</v>
      </c>
      <c r="E19" s="286"/>
      <c r="F19" s="286"/>
      <c r="G19" s="287"/>
      <c r="H19" s="739"/>
      <c r="I19" s="739"/>
      <c r="J19" s="736"/>
    </row>
    <row r="20" spans="1:10" ht="27.6">
      <c r="A20" s="284">
        <v>13</v>
      </c>
      <c r="B20" s="288" t="s">
        <v>440</v>
      </c>
      <c r="C20" s="298">
        <v>54377551</v>
      </c>
      <c r="D20" s="298">
        <f>(161193541.077389-14292504+500000)-201731.6</f>
        <v>147199305.47738901</v>
      </c>
      <c r="E20" s="298">
        <v>4617404.6174547505</v>
      </c>
      <c r="F20" s="298">
        <f>44652044.0273437+599797</f>
        <v>45251841.027343698</v>
      </c>
      <c r="G20" s="737"/>
      <c r="I20" s="736"/>
      <c r="J20" s="736"/>
    </row>
    <row r="21" spans="1:10">
      <c r="A21" s="291">
        <v>14</v>
      </c>
      <c r="B21" s="292" t="s">
        <v>441</v>
      </c>
      <c r="C21" s="289"/>
      <c r="D21" s="289"/>
      <c r="E21" s="289"/>
      <c r="F21" s="289"/>
      <c r="G21" s="293">
        <f>SUM(G8,G11,G14,G17,G18)</f>
        <v>2930886376.7681589</v>
      </c>
      <c r="J21" s="736"/>
    </row>
    <row r="22" spans="1:10">
      <c r="A22" s="294"/>
      <c r="B22" s="312" t="s">
        <v>442</v>
      </c>
      <c r="C22" s="295"/>
      <c r="D22" s="296"/>
      <c r="E22" s="295"/>
      <c r="F22" s="295"/>
      <c r="G22" s="297"/>
      <c r="I22" s="736"/>
      <c r="J22" s="739"/>
    </row>
    <row r="23" spans="1:10">
      <c r="A23" s="284">
        <v>15</v>
      </c>
      <c r="B23" s="285" t="s">
        <v>310</v>
      </c>
      <c r="C23" s="734">
        <f>387340274.229553+1277018-45</f>
        <v>388617247.22955298</v>
      </c>
      <c r="D23" s="735">
        <v>230876165.36171299</v>
      </c>
      <c r="E23" s="734">
        <v>34949910.196828201</v>
      </c>
      <c r="F23" s="734">
        <v>43213424.441458903</v>
      </c>
      <c r="G23" s="293">
        <v>13800702.799011651</v>
      </c>
      <c r="J23" s="736"/>
    </row>
    <row r="24" spans="1:10">
      <c r="A24" s="284">
        <v>16</v>
      </c>
      <c r="B24" s="285" t="s">
        <v>443</v>
      </c>
      <c r="C24" s="718">
        <f>SUM(C25:C27,C29,C31)</f>
        <v>160836.42685237993</v>
      </c>
      <c r="D24" s="680">
        <f t="shared" ref="D24:G24" si="3">SUM(D25:D27,D29,D31)</f>
        <v>556276124.98818982</v>
      </c>
      <c r="E24" s="718">
        <f t="shared" si="3"/>
        <v>470275944.64493942</v>
      </c>
      <c r="F24" s="718">
        <f t="shared" si="3"/>
        <v>1905001418.55128</v>
      </c>
      <c r="G24" s="293">
        <f t="shared" si="3"/>
        <v>2107629355.6479352</v>
      </c>
    </row>
    <row r="25" spans="1:10" ht="27.6">
      <c r="A25" s="284">
        <v>17</v>
      </c>
      <c r="B25" s="288" t="s">
        <v>444</v>
      </c>
      <c r="C25" s="286"/>
      <c r="D25" s="290"/>
      <c r="E25" s="286"/>
      <c r="F25" s="286"/>
      <c r="G25" s="287"/>
    </row>
    <row r="26" spans="1:10" ht="27.6">
      <c r="A26" s="284">
        <v>18</v>
      </c>
      <c r="B26" s="288" t="s">
        <v>445</v>
      </c>
      <c r="C26" s="286">
        <f>1437854.42685238-1277018</f>
        <v>160836.42685237993</v>
      </c>
      <c r="D26" s="290"/>
      <c r="E26" s="286"/>
      <c r="F26" s="286"/>
      <c r="G26" s="287">
        <f>C26*15%</f>
        <v>24125.46402785699</v>
      </c>
    </row>
    <row r="27" spans="1:10">
      <c r="A27" s="284">
        <v>19</v>
      </c>
      <c r="B27" s="288" t="s">
        <v>446</v>
      </c>
      <c r="C27" s="286">
        <v>0</v>
      </c>
      <c r="D27" s="290">
        <v>547608895.08274698</v>
      </c>
      <c r="E27" s="286">
        <v>460766277.12616599</v>
      </c>
      <c r="F27" s="286">
        <v>1779444066.5450499</v>
      </c>
      <c r="G27" s="287">
        <v>2016715042.6677499</v>
      </c>
    </row>
    <row r="28" spans="1:10">
      <c r="A28" s="284">
        <v>20</v>
      </c>
      <c r="B28" s="300" t="s">
        <v>447</v>
      </c>
      <c r="C28" s="286"/>
      <c r="D28" s="290"/>
      <c r="E28" s="286"/>
      <c r="F28" s="286"/>
      <c r="G28" s="287"/>
    </row>
    <row r="29" spans="1:10">
      <c r="A29" s="284">
        <v>21</v>
      </c>
      <c r="B29" s="288" t="s">
        <v>448</v>
      </c>
      <c r="C29" s="286"/>
      <c r="D29" s="290">
        <v>8667229.9054428805</v>
      </c>
      <c r="E29" s="286">
        <v>9509667.5187734608</v>
      </c>
      <c r="F29" s="286">
        <v>124610052.00623</v>
      </c>
      <c r="G29" s="287">
        <v>90084982.516157404</v>
      </c>
    </row>
    <row r="30" spans="1:10">
      <c r="A30" s="284">
        <v>22</v>
      </c>
      <c r="B30" s="300" t="s">
        <v>447</v>
      </c>
      <c r="C30" s="286"/>
      <c r="D30" s="290">
        <v>8667229.9054428805</v>
      </c>
      <c r="E30" s="286">
        <v>9509667.5187734608</v>
      </c>
      <c r="F30" s="286">
        <v>124610052.00623</v>
      </c>
      <c r="G30" s="287">
        <v>90084982.516157404</v>
      </c>
    </row>
    <row r="31" spans="1:10" ht="27.6">
      <c r="A31" s="284">
        <v>23</v>
      </c>
      <c r="B31" s="288" t="s">
        <v>449</v>
      </c>
      <c r="C31" s="286"/>
      <c r="D31" s="290"/>
      <c r="E31" s="286"/>
      <c r="F31" s="286">
        <v>947300</v>
      </c>
      <c r="G31" s="287">
        <f>F31*85%</f>
        <v>805205</v>
      </c>
    </row>
    <row r="32" spans="1:10">
      <c r="A32" s="284">
        <v>24</v>
      </c>
      <c r="B32" s="285" t="s">
        <v>450</v>
      </c>
      <c r="C32" s="286"/>
      <c r="D32" s="290"/>
      <c r="E32" s="286"/>
      <c r="F32" s="286"/>
      <c r="G32" s="287"/>
    </row>
    <row r="33" spans="1:10">
      <c r="A33" s="284">
        <v>25</v>
      </c>
      <c r="B33" s="285" t="s">
        <v>88</v>
      </c>
      <c r="C33" s="718">
        <f>SUM(C34:C35)</f>
        <v>55533762.390000008</v>
      </c>
      <c r="D33" s="718">
        <f>SUM(D34:D35)</f>
        <v>63214322.117008902</v>
      </c>
      <c r="E33" s="718">
        <f>SUM(E34:E35)</f>
        <v>36745628.559777364</v>
      </c>
      <c r="F33" s="718">
        <f>SUM(F34:F35)</f>
        <v>78292221.723451927</v>
      </c>
      <c r="G33" s="287">
        <f>SUM(G34:G35)</f>
        <v>208453580.16687515</v>
      </c>
      <c r="I33" s="739"/>
    </row>
    <row r="34" spans="1:10">
      <c r="A34" s="284">
        <v>26</v>
      </c>
      <c r="B34" s="288" t="s">
        <v>451</v>
      </c>
      <c r="C34" s="289"/>
      <c r="D34" s="290">
        <v>584722.38</v>
      </c>
      <c r="E34" s="286"/>
      <c r="F34" s="286"/>
      <c r="G34" s="287">
        <v>584722.38</v>
      </c>
      <c r="I34" s="739"/>
    </row>
    <row r="35" spans="1:10">
      <c r="A35" s="284">
        <v>27</v>
      </c>
      <c r="B35" s="288" t="s">
        <v>452</v>
      </c>
      <c r="C35" s="298">
        <v>55533762.390000008</v>
      </c>
      <c r="D35" s="299">
        <v>62629599.737008899</v>
      </c>
      <c r="E35" s="298">
        <v>36745628.559777364</v>
      </c>
      <c r="F35" s="298">
        <v>78292221.723451927</v>
      </c>
      <c r="G35" s="737">
        <v>207868857.78687516</v>
      </c>
      <c r="I35" s="736"/>
    </row>
    <row r="36" spans="1:10">
      <c r="A36" s="284">
        <v>28</v>
      </c>
      <c r="B36" s="285" t="s">
        <v>453</v>
      </c>
      <c r="C36" s="298">
        <v>407538854</v>
      </c>
      <c r="D36" s="290">
        <v>0</v>
      </c>
      <c r="E36" s="286">
        <v>0</v>
      </c>
      <c r="F36" s="286">
        <v>34214329.18</v>
      </c>
      <c r="G36" s="287">
        <f>SUM(C36:F36)*5%</f>
        <v>22087659.159000002</v>
      </c>
    </row>
    <row r="37" spans="1:10">
      <c r="A37" s="291">
        <v>29</v>
      </c>
      <c r="B37" s="292" t="s">
        <v>454</v>
      </c>
      <c r="C37" s="289"/>
      <c r="D37" s="289"/>
      <c r="E37" s="289"/>
      <c r="F37" s="289"/>
      <c r="G37" s="293">
        <f>SUM(G23:G24,G32:G33,G36)</f>
        <v>2351971297.7728219</v>
      </c>
      <c r="H37" s="739"/>
      <c r="I37" s="736"/>
    </row>
    <row r="38" spans="1:10">
      <c r="A38" s="280"/>
      <c r="B38" s="301"/>
      <c r="C38" s="302"/>
      <c r="D38" s="302"/>
      <c r="E38" s="302"/>
      <c r="F38" s="302"/>
      <c r="G38" s="303"/>
      <c r="J38" s="736"/>
    </row>
    <row r="39" spans="1:10" ht="15" thickBot="1">
      <c r="A39" s="304">
        <v>30</v>
      </c>
      <c r="B39" s="305" t="s">
        <v>422</v>
      </c>
      <c r="C39" s="202"/>
      <c r="D39" s="186"/>
      <c r="E39" s="186"/>
      <c r="F39" s="306"/>
      <c r="G39" s="307">
        <f>IFERROR(G21/G37,0)</f>
        <v>1.2461403672500322</v>
      </c>
    </row>
    <row r="42" spans="1:10" ht="41.4">
      <c r="B42" s="17"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D26" sqref="D26"/>
    </sheetView>
  </sheetViews>
  <sheetFormatPr defaultColWidth="9.21875" defaultRowHeight="12"/>
  <cols>
    <col min="1" max="1" width="11.77734375" style="317" bestFit="1" customWidth="1"/>
    <col min="2" max="2" width="105.21875" style="317" bestFit="1" customWidth="1"/>
    <col min="3" max="3" width="19.21875" style="317" customWidth="1"/>
    <col min="4" max="4" width="18.33203125" style="317" customWidth="1"/>
    <col min="5" max="5" width="17.33203125" style="317" bestFit="1" customWidth="1"/>
    <col min="6" max="6" width="18.88671875" style="317" customWidth="1"/>
    <col min="7" max="7" width="30.44140625" style="317" customWidth="1"/>
    <col min="8" max="8" width="19" style="317" customWidth="1"/>
    <col min="9" max="16384" width="9.21875" style="317"/>
  </cols>
  <sheetData>
    <row r="1" spans="1:8" ht="13.8">
      <c r="A1" s="316" t="s">
        <v>97</v>
      </c>
      <c r="B1" s="248" t="str">
        <f>Info!C2</f>
        <v>სს "კრედო ბანკი"</v>
      </c>
    </row>
    <row r="2" spans="1:8">
      <c r="A2" s="316" t="s">
        <v>98</v>
      </c>
      <c r="B2" s="319">
        <f>'1. key ratios'!B2</f>
        <v>46022</v>
      </c>
    </row>
    <row r="3" spans="1:8">
      <c r="A3" s="318" t="s">
        <v>462</v>
      </c>
    </row>
    <row r="5" spans="1:8">
      <c r="A5" s="844" t="s">
        <v>463</v>
      </c>
      <c r="B5" s="845"/>
      <c r="C5" s="850" t="s">
        <v>464</v>
      </c>
      <c r="D5" s="851"/>
      <c r="E5" s="851"/>
      <c r="F5" s="851"/>
      <c r="G5" s="851"/>
      <c r="H5" s="852"/>
    </row>
    <row r="6" spans="1:8">
      <c r="A6" s="846"/>
      <c r="B6" s="847"/>
      <c r="C6" s="853"/>
      <c r="D6" s="854"/>
      <c r="E6" s="854"/>
      <c r="F6" s="854"/>
      <c r="G6" s="854"/>
      <c r="H6" s="855"/>
    </row>
    <row r="7" spans="1:8" ht="24">
      <c r="A7" s="848"/>
      <c r="B7" s="849"/>
      <c r="C7" s="426" t="s">
        <v>465</v>
      </c>
      <c r="D7" s="426" t="s">
        <v>466</v>
      </c>
      <c r="E7" s="426" t="s">
        <v>467</v>
      </c>
      <c r="F7" s="426" t="s">
        <v>468</v>
      </c>
      <c r="G7" s="426" t="s">
        <v>648</v>
      </c>
      <c r="H7" s="426" t="s">
        <v>66</v>
      </c>
    </row>
    <row r="8" spans="1:8">
      <c r="A8" s="422">
        <v>1</v>
      </c>
      <c r="B8" s="421" t="s">
        <v>123</v>
      </c>
      <c r="C8" s="720">
        <v>108172956.49932</v>
      </c>
      <c r="D8" s="720">
        <v>263334324.04582199</v>
      </c>
      <c r="E8" s="720">
        <v>19745284.2733333</v>
      </c>
      <c r="F8" s="720">
        <v>0</v>
      </c>
      <c r="G8" s="720">
        <v>0</v>
      </c>
      <c r="H8" s="719">
        <f t="shared" ref="H8:H20" si="0">SUM(C8:G8)</f>
        <v>391252564.81847531</v>
      </c>
    </row>
    <row r="9" spans="1:8">
      <c r="A9" s="422">
        <v>2</v>
      </c>
      <c r="B9" s="421" t="s">
        <v>124</v>
      </c>
      <c r="C9" s="720">
        <v>0</v>
      </c>
      <c r="D9" s="720">
        <v>0</v>
      </c>
      <c r="E9" s="720">
        <v>0</v>
      </c>
      <c r="F9" s="720">
        <v>0</v>
      </c>
      <c r="G9" s="720">
        <v>0</v>
      </c>
      <c r="H9" s="719">
        <f t="shared" si="0"/>
        <v>0</v>
      </c>
    </row>
    <row r="10" spans="1:8">
      <c r="A10" s="422">
        <v>3</v>
      </c>
      <c r="B10" s="421" t="s">
        <v>125</v>
      </c>
      <c r="C10" s="720">
        <v>0</v>
      </c>
      <c r="D10" s="720">
        <v>0</v>
      </c>
      <c r="E10" s="720">
        <v>0</v>
      </c>
      <c r="F10" s="720">
        <v>0</v>
      </c>
      <c r="G10" s="720">
        <v>0</v>
      </c>
      <c r="H10" s="719">
        <f t="shared" si="0"/>
        <v>0</v>
      </c>
    </row>
    <row r="11" spans="1:8">
      <c r="A11" s="422">
        <v>4</v>
      </c>
      <c r="B11" s="421" t="s">
        <v>126</v>
      </c>
      <c r="C11" s="720">
        <v>0</v>
      </c>
      <c r="D11" s="720">
        <v>0</v>
      </c>
      <c r="E11" s="720">
        <v>0</v>
      </c>
      <c r="F11" s="720">
        <v>0</v>
      </c>
      <c r="G11" s="720">
        <v>0</v>
      </c>
      <c r="H11" s="719">
        <f t="shared" si="0"/>
        <v>0</v>
      </c>
    </row>
    <row r="12" spans="1:8">
      <c r="A12" s="422">
        <v>5</v>
      </c>
      <c r="B12" s="421" t="s">
        <v>911</v>
      </c>
      <c r="C12" s="720">
        <v>0</v>
      </c>
      <c r="D12" s="720">
        <v>0</v>
      </c>
      <c r="E12" s="720">
        <v>0</v>
      </c>
      <c r="F12" s="720">
        <v>0</v>
      </c>
      <c r="G12" s="720">
        <v>0</v>
      </c>
      <c r="H12" s="719">
        <f t="shared" si="0"/>
        <v>0</v>
      </c>
    </row>
    <row r="13" spans="1:8">
      <c r="A13" s="422">
        <v>6</v>
      </c>
      <c r="B13" s="421" t="s">
        <v>127</v>
      </c>
      <c r="C13" s="720">
        <v>182135392.81708601</v>
      </c>
      <c r="D13" s="720">
        <v>0</v>
      </c>
      <c r="E13" s="720">
        <v>0</v>
      </c>
      <c r="F13" s="720">
        <v>0</v>
      </c>
      <c r="G13" s="720">
        <v>0</v>
      </c>
      <c r="H13" s="719">
        <f t="shared" si="0"/>
        <v>182135392.81708601</v>
      </c>
    </row>
    <row r="14" spans="1:8">
      <c r="A14" s="422">
        <v>7</v>
      </c>
      <c r="B14" s="421" t="s">
        <v>71</v>
      </c>
      <c r="C14" s="720">
        <v>0</v>
      </c>
      <c r="D14" s="720">
        <v>25098239.853288375</v>
      </c>
      <c r="E14" s="720">
        <v>38564997.522799596</v>
      </c>
      <c r="F14" s="720">
        <v>59769001.233644485</v>
      </c>
      <c r="G14" s="720"/>
      <c r="H14" s="719">
        <f t="shared" si="0"/>
        <v>123432238.60973245</v>
      </c>
    </row>
    <row r="15" spans="1:8">
      <c r="A15" s="422">
        <v>8</v>
      </c>
      <c r="B15" s="423" t="s">
        <v>72</v>
      </c>
      <c r="C15" s="720">
        <v>1022993.4186702385</v>
      </c>
      <c r="D15" s="720">
        <v>430739797.39656222</v>
      </c>
      <c r="E15" s="720">
        <v>1658966482.287065</v>
      </c>
      <c r="F15" s="720">
        <v>708854124.15896094</v>
      </c>
      <c r="G15" s="720"/>
      <c r="H15" s="719">
        <f t="shared" si="0"/>
        <v>2799583397.2612586</v>
      </c>
    </row>
    <row r="16" spans="1:8">
      <c r="A16" s="422">
        <v>9</v>
      </c>
      <c r="B16" s="421" t="s">
        <v>912</v>
      </c>
      <c r="C16" s="720">
        <v>196.74300235449402</v>
      </c>
      <c r="D16" s="720">
        <v>2151029.2505779481</v>
      </c>
      <c r="E16" s="720">
        <v>34228758.723994151</v>
      </c>
      <c r="F16" s="720">
        <v>113183919.2627999</v>
      </c>
      <c r="G16" s="720"/>
      <c r="H16" s="719">
        <f t="shared" si="0"/>
        <v>149563903.98037437</v>
      </c>
    </row>
    <row r="17" spans="1:8">
      <c r="A17" s="422">
        <v>10</v>
      </c>
      <c r="B17" s="425" t="s">
        <v>483</v>
      </c>
      <c r="C17" s="720">
        <v>199331.19805031139</v>
      </c>
      <c r="D17" s="720">
        <v>946373.09633797919</v>
      </c>
      <c r="E17" s="720">
        <v>4339750.0576203726</v>
      </c>
      <c r="F17" s="720">
        <v>1878462.8358674431</v>
      </c>
      <c r="G17" s="720"/>
      <c r="H17" s="719">
        <f t="shared" si="0"/>
        <v>7363917.1878761062</v>
      </c>
    </row>
    <row r="18" spans="1:8">
      <c r="A18" s="422">
        <v>11</v>
      </c>
      <c r="B18" s="421" t="s">
        <v>68</v>
      </c>
      <c r="C18" s="720">
        <v>0</v>
      </c>
      <c r="D18" s="720">
        <v>0</v>
      </c>
      <c r="E18" s="720">
        <v>0</v>
      </c>
      <c r="F18" s="720">
        <v>0</v>
      </c>
      <c r="G18" s="720">
        <v>0</v>
      </c>
      <c r="H18" s="719">
        <f t="shared" si="0"/>
        <v>0</v>
      </c>
    </row>
    <row r="19" spans="1:8">
      <c r="A19" s="422">
        <v>12</v>
      </c>
      <c r="B19" s="421" t="s">
        <v>69</v>
      </c>
      <c r="C19" s="720">
        <v>0</v>
      </c>
      <c r="D19" s="720">
        <v>0</v>
      </c>
      <c r="E19" s="720">
        <v>0</v>
      </c>
      <c r="F19" s="720">
        <v>0</v>
      </c>
      <c r="G19" s="720">
        <v>0</v>
      </c>
      <c r="H19" s="719">
        <f t="shared" si="0"/>
        <v>0</v>
      </c>
    </row>
    <row r="20" spans="1:8">
      <c r="A20" s="424">
        <v>13</v>
      </c>
      <c r="B20" s="423" t="s">
        <v>70</v>
      </c>
      <c r="C20" s="720">
        <v>0</v>
      </c>
      <c r="D20" s="720">
        <v>0</v>
      </c>
      <c r="E20" s="720">
        <v>0</v>
      </c>
      <c r="F20" s="720">
        <v>0</v>
      </c>
      <c r="G20" s="720">
        <v>0</v>
      </c>
      <c r="H20" s="719">
        <f t="shared" si="0"/>
        <v>0</v>
      </c>
    </row>
    <row r="21" spans="1:8">
      <c r="A21" s="422">
        <v>14</v>
      </c>
      <c r="B21" s="421" t="s">
        <v>469</v>
      </c>
      <c r="C21" s="720">
        <v>98471832.86999999</v>
      </c>
      <c r="D21" s="720">
        <v>24948028.481787682</v>
      </c>
      <c r="E21" s="720">
        <v>34555344.140000001</v>
      </c>
      <c r="F21" s="720">
        <v>0</v>
      </c>
      <c r="G21" s="720">
        <v>59214304.540000044</v>
      </c>
      <c r="H21" s="719">
        <f>SUM(C21:G21)</f>
        <v>217189510.03178772</v>
      </c>
    </row>
    <row r="22" spans="1:8">
      <c r="A22" s="420">
        <v>15</v>
      </c>
      <c r="B22" s="419" t="s">
        <v>66</v>
      </c>
      <c r="C22" s="719">
        <f>SUM(C18:C21)+SUM(C8:C16)</f>
        <v>389803372.34807861</v>
      </c>
      <c r="D22" s="719">
        <f t="shared" ref="D22:H22" si="1">SUM(D18:D21)+SUM(D8:D16)</f>
        <v>746271419.02803826</v>
      </c>
      <c r="E22" s="719">
        <f t="shared" si="1"/>
        <v>1786060866.9471922</v>
      </c>
      <c r="F22" s="719">
        <f t="shared" si="1"/>
        <v>881807044.65540528</v>
      </c>
      <c r="G22" s="719">
        <f t="shared" si="1"/>
        <v>59214304.540000044</v>
      </c>
      <c r="H22" s="719">
        <f t="shared" si="1"/>
        <v>3863157007.5187149</v>
      </c>
    </row>
    <row r="26" spans="1:8" ht="36">
      <c r="B26" s="334"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topLeftCell="B4" zoomScale="90" zoomScaleNormal="90" workbookViewId="0">
      <selection activeCell="D20" sqref="D20"/>
    </sheetView>
  </sheetViews>
  <sheetFormatPr defaultColWidth="9.21875" defaultRowHeight="12"/>
  <cols>
    <col min="1" max="1" width="11.77734375" style="320" bestFit="1" customWidth="1"/>
    <col min="2" max="2" width="78.21875" style="317" customWidth="1"/>
    <col min="3" max="4" width="31.5546875" style="317" customWidth="1"/>
    <col min="5" max="5" width="16.44140625" style="317" bestFit="1" customWidth="1"/>
    <col min="6" max="6" width="14.21875" style="317" bestFit="1" customWidth="1"/>
    <col min="7" max="7" width="20" style="317" bestFit="1" customWidth="1"/>
    <col min="8" max="8" width="25.21875" style="317" bestFit="1" customWidth="1"/>
    <col min="9" max="16384" width="9.21875" style="317"/>
  </cols>
  <sheetData>
    <row r="1" spans="1:8" ht="13.8">
      <c r="A1" s="316" t="s">
        <v>97</v>
      </c>
      <c r="B1" s="248" t="str">
        <f>Info!C2</f>
        <v>სს "კრედო ბანკი"</v>
      </c>
      <c r="C1" s="438"/>
      <c r="D1" s="438"/>
      <c r="E1" s="438"/>
      <c r="F1" s="438"/>
      <c r="G1" s="438"/>
      <c r="H1" s="438"/>
    </row>
    <row r="2" spans="1:8">
      <c r="A2" s="316" t="s">
        <v>98</v>
      </c>
      <c r="B2" s="319">
        <f>'1. key ratios'!B2</f>
        <v>46022</v>
      </c>
      <c r="C2" s="438"/>
      <c r="D2" s="438"/>
      <c r="E2" s="438"/>
      <c r="F2" s="438"/>
      <c r="G2" s="438"/>
      <c r="H2" s="438"/>
    </row>
    <row r="3" spans="1:8">
      <c r="A3" s="318" t="s">
        <v>470</v>
      </c>
      <c r="B3" s="438"/>
      <c r="C3" s="438"/>
      <c r="D3" s="438"/>
      <c r="E3" s="438"/>
      <c r="F3" s="438"/>
      <c r="G3" s="438"/>
      <c r="H3" s="438"/>
    </row>
    <row r="4" spans="1:8">
      <c r="A4" s="439"/>
      <c r="B4" s="438"/>
      <c r="C4" s="437" t="s">
        <v>471</v>
      </c>
      <c r="D4" s="437" t="s">
        <v>472</v>
      </c>
      <c r="E4" s="437" t="s">
        <v>473</v>
      </c>
      <c r="F4" s="437" t="s">
        <v>474</v>
      </c>
      <c r="G4" s="437" t="s">
        <v>475</v>
      </c>
      <c r="H4" s="437" t="s">
        <v>476</v>
      </c>
    </row>
    <row r="5" spans="1:8" ht="34.049999999999997" customHeight="1">
      <c r="A5" s="844" t="s">
        <v>835</v>
      </c>
      <c r="B5" s="845"/>
      <c r="C5" s="858" t="s">
        <v>565</v>
      </c>
      <c r="D5" s="858"/>
      <c r="E5" s="858" t="s">
        <v>834</v>
      </c>
      <c r="F5" s="856" t="s">
        <v>833</v>
      </c>
      <c r="G5" s="856" t="s">
        <v>480</v>
      </c>
      <c r="H5" s="435" t="s">
        <v>832</v>
      </c>
    </row>
    <row r="6" spans="1:8" ht="24">
      <c r="A6" s="848"/>
      <c r="B6" s="849"/>
      <c r="C6" s="436" t="s">
        <v>481</v>
      </c>
      <c r="D6" s="436" t="s">
        <v>482</v>
      </c>
      <c r="E6" s="858"/>
      <c r="F6" s="857"/>
      <c r="G6" s="857"/>
      <c r="H6" s="435" t="s">
        <v>831</v>
      </c>
    </row>
    <row r="7" spans="1:8" ht="24">
      <c r="A7" s="433">
        <v>1</v>
      </c>
      <c r="B7" s="421" t="s">
        <v>123</v>
      </c>
      <c r="C7" s="721"/>
      <c r="D7" s="721">
        <v>391362931.82999998</v>
      </c>
      <c r="E7" s="721">
        <v>110367.20999999999</v>
      </c>
      <c r="F7" s="721"/>
      <c r="G7" s="721"/>
      <c r="H7" s="427">
        <f t="shared" ref="H7:H20" si="0">C7+D7-E7-F7</f>
        <v>391252564.62</v>
      </c>
    </row>
    <row r="8" spans="1:8" ht="14.55" customHeight="1">
      <c r="A8" s="433">
        <v>2</v>
      </c>
      <c r="B8" s="421" t="s">
        <v>124</v>
      </c>
      <c r="C8" s="721"/>
      <c r="D8" s="721">
        <v>0</v>
      </c>
      <c r="E8" s="721"/>
      <c r="F8" s="721"/>
      <c r="G8" s="721"/>
      <c r="H8" s="427">
        <f t="shared" si="0"/>
        <v>0</v>
      </c>
    </row>
    <row r="9" spans="1:8">
      <c r="A9" s="433">
        <v>3</v>
      </c>
      <c r="B9" s="421" t="s">
        <v>125</v>
      </c>
      <c r="C9" s="721"/>
      <c r="D9" s="721">
        <v>0</v>
      </c>
      <c r="E9" s="721"/>
      <c r="F9" s="721"/>
      <c r="G9" s="721"/>
      <c r="H9" s="427">
        <f t="shared" si="0"/>
        <v>0</v>
      </c>
    </row>
    <row r="10" spans="1:8">
      <c r="A10" s="433">
        <v>4</v>
      </c>
      <c r="B10" s="421" t="s">
        <v>126</v>
      </c>
      <c r="C10" s="721"/>
      <c r="D10" s="721">
        <v>0</v>
      </c>
      <c r="E10" s="721"/>
      <c r="F10" s="721"/>
      <c r="G10" s="721"/>
      <c r="H10" s="427">
        <f t="shared" si="0"/>
        <v>0</v>
      </c>
    </row>
    <row r="11" spans="1:8">
      <c r="A11" s="433">
        <v>5</v>
      </c>
      <c r="B11" s="421" t="s">
        <v>911</v>
      </c>
      <c r="C11" s="721"/>
      <c r="D11" s="721">
        <v>0</v>
      </c>
      <c r="E11" s="721"/>
      <c r="F11" s="721"/>
      <c r="G11" s="721"/>
      <c r="H11" s="427">
        <f t="shared" si="0"/>
        <v>0</v>
      </c>
    </row>
    <row r="12" spans="1:8">
      <c r="A12" s="433">
        <v>6</v>
      </c>
      <c r="B12" s="421" t="s">
        <v>127</v>
      </c>
      <c r="C12" s="721"/>
      <c r="D12" s="721">
        <v>182154652.61000001</v>
      </c>
      <c r="E12" s="721">
        <v>19261.080000000002</v>
      </c>
      <c r="F12" s="721"/>
      <c r="G12" s="721"/>
      <c r="H12" s="427">
        <f t="shared" si="0"/>
        <v>182135391.53</v>
      </c>
    </row>
    <row r="13" spans="1:8">
      <c r="A13" s="433">
        <v>7</v>
      </c>
      <c r="B13" s="421" t="s">
        <v>71</v>
      </c>
      <c r="C13" s="721">
        <v>2758794.9086417519</v>
      </c>
      <c r="D13" s="721">
        <v>121488765.73004107</v>
      </c>
      <c r="E13" s="721">
        <v>815322.02895039355</v>
      </c>
      <c r="F13" s="721"/>
      <c r="G13" s="721">
        <v>934.39529600000003</v>
      </c>
      <c r="H13" s="427">
        <f t="shared" si="0"/>
        <v>123432238.60973243</v>
      </c>
    </row>
    <row r="14" spans="1:8">
      <c r="A14" s="433">
        <v>8</v>
      </c>
      <c r="B14" s="423" t="s">
        <v>72</v>
      </c>
      <c r="C14" s="721">
        <v>20580956.057733033</v>
      </c>
      <c r="D14" s="721">
        <v>2843733131.8502913</v>
      </c>
      <c r="E14" s="721">
        <v>64730690.6467328</v>
      </c>
      <c r="F14" s="721"/>
      <c r="G14" s="721">
        <v>19733327.513296757</v>
      </c>
      <c r="H14" s="427">
        <f t="shared" si="0"/>
        <v>2799583397.2612915</v>
      </c>
    </row>
    <row r="15" spans="1:8" ht="24">
      <c r="A15" s="433">
        <v>9</v>
      </c>
      <c r="B15" s="421" t="s">
        <v>912</v>
      </c>
      <c r="C15" s="721">
        <v>113442.54976314121</v>
      </c>
      <c r="D15" s="721">
        <v>150088872.18088573</v>
      </c>
      <c r="E15" s="721">
        <v>638410.75027496496</v>
      </c>
      <c r="F15" s="721"/>
      <c r="G15" s="721">
        <v>87594.037500999999</v>
      </c>
      <c r="H15" s="427">
        <f t="shared" si="0"/>
        <v>149563903.98037392</v>
      </c>
    </row>
    <row r="16" spans="1:8">
      <c r="A16" s="433">
        <v>10</v>
      </c>
      <c r="B16" s="425" t="s">
        <v>483</v>
      </c>
      <c r="C16" s="721">
        <v>23442761.235516399</v>
      </c>
      <c r="D16" s="721">
        <v>0</v>
      </c>
      <c r="E16" s="721">
        <v>16078844.047640165</v>
      </c>
      <c r="F16" s="721"/>
      <c r="G16" s="721">
        <v>19821855.946093757</v>
      </c>
      <c r="H16" s="427">
        <f t="shared" si="0"/>
        <v>7363917.1878762338</v>
      </c>
    </row>
    <row r="17" spans="1:8">
      <c r="A17" s="433">
        <v>11</v>
      </c>
      <c r="B17" s="421" t="s">
        <v>68</v>
      </c>
      <c r="C17" s="721"/>
      <c r="D17" s="721"/>
      <c r="E17" s="721"/>
      <c r="F17" s="721"/>
      <c r="G17" s="721"/>
      <c r="H17" s="427">
        <f t="shared" si="0"/>
        <v>0</v>
      </c>
    </row>
    <row r="18" spans="1:8">
      <c r="A18" s="433">
        <v>12</v>
      </c>
      <c r="B18" s="421" t="s">
        <v>69</v>
      </c>
      <c r="C18" s="721"/>
      <c r="D18" s="721"/>
      <c r="E18" s="721"/>
      <c r="F18" s="721"/>
      <c r="G18" s="721"/>
      <c r="H18" s="427">
        <f t="shared" si="0"/>
        <v>0</v>
      </c>
    </row>
    <row r="19" spans="1:8">
      <c r="A19" s="434">
        <v>13</v>
      </c>
      <c r="B19" s="423" t="s">
        <v>70</v>
      </c>
      <c r="C19" s="721"/>
      <c r="D19" s="721"/>
      <c r="E19" s="721"/>
      <c r="F19" s="721"/>
      <c r="G19" s="721"/>
      <c r="H19" s="427">
        <f t="shared" si="0"/>
        <v>0</v>
      </c>
    </row>
    <row r="20" spans="1:8">
      <c r="A20" s="433">
        <v>14</v>
      </c>
      <c r="B20" s="421" t="s">
        <v>469</v>
      </c>
      <c r="C20" s="721"/>
      <c r="D20" s="721">
        <v>264745626.52178815</v>
      </c>
      <c r="E20" s="721">
        <v>6895071.5899999999</v>
      </c>
      <c r="F20" s="721"/>
      <c r="G20" s="721"/>
      <c r="H20" s="427">
        <f t="shared" si="0"/>
        <v>257850554.93178815</v>
      </c>
    </row>
    <row r="21" spans="1:8" s="321" customFormat="1">
      <c r="A21" s="432">
        <v>15</v>
      </c>
      <c r="B21" s="431" t="s">
        <v>66</v>
      </c>
      <c r="C21" s="722">
        <f t="shared" ref="C21:H21" si="1">SUM(C7:C15)+SUM(C17:C20)</f>
        <v>23453193.516137928</v>
      </c>
      <c r="D21" s="722">
        <f t="shared" si="1"/>
        <v>3953573980.7230062</v>
      </c>
      <c r="E21" s="722">
        <f t="shared" si="1"/>
        <v>73209123.305958152</v>
      </c>
      <c r="F21" s="722">
        <f t="shared" si="1"/>
        <v>0</v>
      </c>
      <c r="G21" s="722">
        <f t="shared" si="1"/>
        <v>19821855.946093757</v>
      </c>
      <c r="H21" s="427">
        <f t="shared" si="1"/>
        <v>3903818050.9331856</v>
      </c>
    </row>
    <row r="22" spans="1:8">
      <c r="A22" s="430">
        <v>16</v>
      </c>
      <c r="B22" s="429" t="s">
        <v>484</v>
      </c>
      <c r="C22" s="721">
        <f>C14+C15+C13</f>
        <v>23453193.516137928</v>
      </c>
      <c r="D22" s="721">
        <f>SUM(D13:D15)</f>
        <v>3115310769.7612181</v>
      </c>
      <c r="E22" s="721">
        <f>SUM(E13:E15)</f>
        <v>66184423.425958157</v>
      </c>
      <c r="F22" s="721"/>
      <c r="G22" s="721">
        <f>G16</f>
        <v>19821855.946093757</v>
      </c>
      <c r="H22" s="427">
        <f>C22+D22-E22-F22</f>
        <v>3072579539.851398</v>
      </c>
    </row>
    <row r="23" spans="1:8">
      <c r="A23" s="430">
        <v>17</v>
      </c>
      <c r="B23" s="429" t="s">
        <v>485</v>
      </c>
      <c r="C23" s="721"/>
      <c r="D23" s="721">
        <v>68160411.649999991</v>
      </c>
      <c r="E23" s="721">
        <v>78704.789999999994</v>
      </c>
      <c r="F23" s="721"/>
      <c r="G23" s="721"/>
      <c r="H23" s="427">
        <f>C23+D23-E23-F23</f>
        <v>68081706.859999985</v>
      </c>
    </row>
    <row r="26" spans="1:8" ht="42.45" customHeight="1">
      <c r="B26" s="334"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topLeftCell="A10" zoomScale="80" zoomScaleNormal="80" workbookViewId="0">
      <selection activeCell="C34" sqref="C34:D34"/>
    </sheetView>
  </sheetViews>
  <sheetFormatPr defaultColWidth="9.21875" defaultRowHeight="12"/>
  <cols>
    <col min="1" max="1" width="11" style="317" bestFit="1" customWidth="1"/>
    <col min="2" max="2" width="73.77734375" style="317" customWidth="1"/>
    <col min="3" max="4" width="35" style="317" customWidth="1"/>
    <col min="5" max="7" width="22" style="317" customWidth="1"/>
    <col min="8" max="8" width="35.6640625" style="317" customWidth="1"/>
    <col min="9" max="16384" width="9.21875" style="317"/>
  </cols>
  <sheetData>
    <row r="1" spans="1:8" ht="13.8">
      <c r="A1" s="316" t="s">
        <v>97</v>
      </c>
      <c r="B1" s="248" t="str">
        <f>Info!C2</f>
        <v>სს "კრედო ბანკი"</v>
      </c>
      <c r="C1" s="438"/>
      <c r="D1" s="438"/>
      <c r="E1" s="438"/>
      <c r="F1" s="438"/>
      <c r="G1" s="438"/>
      <c r="H1" s="438"/>
    </row>
    <row r="2" spans="1:8">
      <c r="A2" s="316" t="s">
        <v>98</v>
      </c>
      <c r="B2" s="319">
        <f>'1. key ratios'!B2</f>
        <v>46022</v>
      </c>
      <c r="C2" s="438"/>
      <c r="D2" s="438"/>
      <c r="E2" s="438"/>
      <c r="F2" s="438"/>
      <c r="G2" s="438"/>
      <c r="H2" s="438"/>
    </row>
    <row r="3" spans="1:8">
      <c r="A3" s="318" t="s">
        <v>486</v>
      </c>
      <c r="B3" s="438"/>
      <c r="C3" s="438"/>
      <c r="D3" s="438"/>
      <c r="E3" s="438"/>
      <c r="F3" s="438"/>
      <c r="G3" s="438"/>
      <c r="H3" s="438"/>
    </row>
    <row r="4" spans="1:8">
      <c r="A4" s="438"/>
      <c r="B4" s="438"/>
      <c r="C4" s="437" t="s">
        <v>471</v>
      </c>
      <c r="D4" s="437" t="s">
        <v>472</v>
      </c>
      <c r="E4" s="437" t="s">
        <v>473</v>
      </c>
      <c r="F4" s="437" t="s">
        <v>474</v>
      </c>
      <c r="G4" s="437" t="s">
        <v>475</v>
      </c>
      <c r="H4" s="437" t="s">
        <v>476</v>
      </c>
    </row>
    <row r="5" spans="1:8" ht="41.55" customHeight="1">
      <c r="A5" s="844" t="s">
        <v>837</v>
      </c>
      <c r="B5" s="845"/>
      <c r="C5" s="859" t="s">
        <v>565</v>
      </c>
      <c r="D5" s="860"/>
      <c r="E5" s="856" t="s">
        <v>834</v>
      </c>
      <c r="F5" s="856" t="s">
        <v>833</v>
      </c>
      <c r="G5" s="856" t="s">
        <v>480</v>
      </c>
      <c r="H5" s="435" t="s">
        <v>832</v>
      </c>
    </row>
    <row r="6" spans="1:8" ht="24">
      <c r="A6" s="848"/>
      <c r="B6" s="849"/>
      <c r="C6" s="436" t="s">
        <v>481</v>
      </c>
      <c r="D6" s="436" t="s">
        <v>482</v>
      </c>
      <c r="E6" s="857"/>
      <c r="F6" s="857"/>
      <c r="G6" s="857"/>
      <c r="H6" s="435" t="s">
        <v>831</v>
      </c>
    </row>
    <row r="7" spans="1:8">
      <c r="A7" s="428">
        <v>1</v>
      </c>
      <c r="B7" s="441" t="s">
        <v>487</v>
      </c>
      <c r="C7" s="721">
        <v>84593.94</v>
      </c>
      <c r="D7" s="721">
        <v>418290932.68000001</v>
      </c>
      <c r="E7" s="721">
        <v>540087.19999999995</v>
      </c>
      <c r="F7" s="721"/>
      <c r="G7" s="721">
        <v>113548.46726600008</v>
      </c>
      <c r="H7" s="427">
        <f t="shared" ref="H7:H34" si="0">C7+D7-E7-F7</f>
        <v>417835439.42000002</v>
      </c>
    </row>
    <row r="8" spans="1:8">
      <c r="A8" s="428">
        <v>2</v>
      </c>
      <c r="B8" s="441" t="s">
        <v>488</v>
      </c>
      <c r="C8" s="721">
        <v>25577.32</v>
      </c>
      <c r="D8" s="721">
        <v>208576751.72000003</v>
      </c>
      <c r="E8" s="721">
        <v>303046.98000000004</v>
      </c>
      <c r="F8" s="721"/>
      <c r="G8" s="721">
        <v>3398.57</v>
      </c>
      <c r="H8" s="427">
        <f t="shared" si="0"/>
        <v>208299282.06000003</v>
      </c>
    </row>
    <row r="9" spans="1:8">
      <c r="A9" s="428">
        <v>3</v>
      </c>
      <c r="B9" s="441" t="s">
        <v>836</v>
      </c>
      <c r="C9" s="721">
        <v>112447.17</v>
      </c>
      <c r="D9" s="721">
        <v>8073445.7999999998</v>
      </c>
      <c r="E9" s="721">
        <v>225775.27000000002</v>
      </c>
      <c r="F9" s="721"/>
      <c r="G9" s="721">
        <v>47174.95</v>
      </c>
      <c r="H9" s="427">
        <f t="shared" si="0"/>
        <v>7960117.6999999993</v>
      </c>
    </row>
    <row r="10" spans="1:8">
      <c r="A10" s="428">
        <v>4</v>
      </c>
      <c r="B10" s="441" t="s">
        <v>489</v>
      </c>
      <c r="C10" s="721">
        <v>0</v>
      </c>
      <c r="D10" s="721">
        <v>63138556.259999998</v>
      </c>
      <c r="E10" s="721">
        <v>137231.9</v>
      </c>
      <c r="F10" s="721"/>
      <c r="G10" s="721">
        <v>328.71999999999997</v>
      </c>
      <c r="H10" s="427">
        <f t="shared" si="0"/>
        <v>63001324.359999999</v>
      </c>
    </row>
    <row r="11" spans="1:8">
      <c r="A11" s="428">
        <v>5</v>
      </c>
      <c r="B11" s="441" t="s">
        <v>490</v>
      </c>
      <c r="C11" s="721">
        <v>5785.1</v>
      </c>
      <c r="D11" s="721">
        <v>50502115.07</v>
      </c>
      <c r="E11" s="721">
        <v>182608.93999999997</v>
      </c>
      <c r="F11" s="721"/>
      <c r="G11" s="721">
        <v>44000.122013</v>
      </c>
      <c r="H11" s="427">
        <f t="shared" si="0"/>
        <v>50325291.230000004</v>
      </c>
    </row>
    <row r="12" spans="1:8">
      <c r="A12" s="428">
        <v>6</v>
      </c>
      <c r="B12" s="441" t="s">
        <v>491</v>
      </c>
      <c r="C12" s="721">
        <v>138127.03</v>
      </c>
      <c r="D12" s="721">
        <v>15266505.23</v>
      </c>
      <c r="E12" s="721">
        <v>299646.23</v>
      </c>
      <c r="F12" s="721"/>
      <c r="G12" s="721">
        <v>139194.49999999997</v>
      </c>
      <c r="H12" s="427">
        <f t="shared" si="0"/>
        <v>15104986.029999999</v>
      </c>
    </row>
    <row r="13" spans="1:8">
      <c r="A13" s="428">
        <v>7</v>
      </c>
      <c r="B13" s="441" t="s">
        <v>492</v>
      </c>
      <c r="C13" s="721">
        <v>49420</v>
      </c>
      <c r="D13" s="721">
        <v>6099954.7800000003</v>
      </c>
      <c r="E13" s="721">
        <v>160417.56</v>
      </c>
      <c r="F13" s="721"/>
      <c r="G13" s="721">
        <v>22011.629999999997</v>
      </c>
      <c r="H13" s="427">
        <f t="shared" si="0"/>
        <v>5988957.2200000007</v>
      </c>
    </row>
    <row r="14" spans="1:8">
      <c r="A14" s="428">
        <v>8</v>
      </c>
      <c r="B14" s="441" t="s">
        <v>493</v>
      </c>
      <c r="C14" s="721">
        <v>1248211.79</v>
      </c>
      <c r="D14" s="721">
        <v>217480925.17000002</v>
      </c>
      <c r="E14" s="721">
        <v>3840810.0300000007</v>
      </c>
      <c r="F14" s="721"/>
      <c r="G14" s="721">
        <v>958604.44007200212</v>
      </c>
      <c r="H14" s="427">
        <f t="shared" si="0"/>
        <v>214888326.93000001</v>
      </c>
    </row>
    <row r="15" spans="1:8">
      <c r="A15" s="428">
        <v>9</v>
      </c>
      <c r="B15" s="441" t="s">
        <v>494</v>
      </c>
      <c r="C15" s="721">
        <v>190035.62</v>
      </c>
      <c r="D15" s="721">
        <v>37906260.590000004</v>
      </c>
      <c r="E15" s="721">
        <v>779275.57999999984</v>
      </c>
      <c r="F15" s="721"/>
      <c r="G15" s="721">
        <v>199947.14359800011</v>
      </c>
      <c r="H15" s="427">
        <f t="shared" si="0"/>
        <v>37317020.630000003</v>
      </c>
    </row>
    <row r="16" spans="1:8">
      <c r="A16" s="428">
        <v>10</v>
      </c>
      <c r="B16" s="441" t="s">
        <v>495</v>
      </c>
      <c r="C16" s="721">
        <v>2936352.59</v>
      </c>
      <c r="D16" s="721">
        <v>18255322.390000001</v>
      </c>
      <c r="E16" s="721">
        <v>1015374.3</v>
      </c>
      <c r="F16" s="721"/>
      <c r="G16" s="721">
        <v>57627.23000000001</v>
      </c>
      <c r="H16" s="427">
        <f t="shared" si="0"/>
        <v>20176300.68</v>
      </c>
    </row>
    <row r="17" spans="1:8">
      <c r="A17" s="428">
        <v>11</v>
      </c>
      <c r="B17" s="441" t="s">
        <v>496</v>
      </c>
      <c r="C17" s="721">
        <v>78538.01999999999</v>
      </c>
      <c r="D17" s="721">
        <v>8689025.75</v>
      </c>
      <c r="E17" s="721">
        <v>235727.87</v>
      </c>
      <c r="F17" s="721"/>
      <c r="G17" s="721">
        <v>32272.363871000009</v>
      </c>
      <c r="H17" s="427">
        <f t="shared" si="0"/>
        <v>8531835.9000000004</v>
      </c>
    </row>
    <row r="18" spans="1:8">
      <c r="A18" s="428">
        <v>12</v>
      </c>
      <c r="B18" s="441" t="s">
        <v>497</v>
      </c>
      <c r="C18" s="721">
        <v>592056.6</v>
      </c>
      <c r="D18" s="721">
        <v>162676360.06</v>
      </c>
      <c r="E18" s="721">
        <v>2702546.54</v>
      </c>
      <c r="F18" s="721"/>
      <c r="G18" s="721">
        <v>849187.98533900024</v>
      </c>
      <c r="H18" s="427">
        <f t="shared" si="0"/>
        <v>160565870.12</v>
      </c>
    </row>
    <row r="19" spans="1:8">
      <c r="A19" s="428">
        <v>13</v>
      </c>
      <c r="B19" s="441" t="s">
        <v>498</v>
      </c>
      <c r="C19" s="721">
        <v>333435.32</v>
      </c>
      <c r="D19" s="721">
        <v>28664492.689999998</v>
      </c>
      <c r="E19" s="721">
        <v>650467.52</v>
      </c>
      <c r="F19" s="721"/>
      <c r="G19" s="721">
        <v>176507.26420200005</v>
      </c>
      <c r="H19" s="427">
        <f t="shared" si="0"/>
        <v>28347460.489999998</v>
      </c>
    </row>
    <row r="20" spans="1:8">
      <c r="A20" s="428">
        <v>14</v>
      </c>
      <c r="B20" s="441" t="s">
        <v>499</v>
      </c>
      <c r="C20" s="721">
        <v>162797.44</v>
      </c>
      <c r="D20" s="721">
        <v>94299305.310000002</v>
      </c>
      <c r="E20" s="721">
        <v>733323.98</v>
      </c>
      <c r="F20" s="721"/>
      <c r="G20" s="721">
        <v>93800.62363099998</v>
      </c>
      <c r="H20" s="427">
        <f t="shared" si="0"/>
        <v>93728778.769999996</v>
      </c>
    </row>
    <row r="21" spans="1:8">
      <c r="A21" s="428">
        <v>15</v>
      </c>
      <c r="B21" s="441" t="s">
        <v>500</v>
      </c>
      <c r="C21" s="721">
        <v>355551.35</v>
      </c>
      <c r="D21" s="721">
        <v>61947958.090000004</v>
      </c>
      <c r="E21" s="721">
        <v>1303302.1000000001</v>
      </c>
      <c r="F21" s="721"/>
      <c r="G21" s="721">
        <v>427059.72177899978</v>
      </c>
      <c r="H21" s="427">
        <f t="shared" si="0"/>
        <v>61000207.340000004</v>
      </c>
    </row>
    <row r="22" spans="1:8">
      <c r="A22" s="428">
        <v>16</v>
      </c>
      <c r="B22" s="441" t="s">
        <v>501</v>
      </c>
      <c r="C22" s="721">
        <v>134685.85999999999</v>
      </c>
      <c r="D22" s="721">
        <v>15376456.120000001</v>
      </c>
      <c r="E22" s="721">
        <v>472610.37999999995</v>
      </c>
      <c r="F22" s="721"/>
      <c r="G22" s="721">
        <v>86219.15</v>
      </c>
      <c r="H22" s="427">
        <f t="shared" si="0"/>
        <v>15038531.6</v>
      </c>
    </row>
    <row r="23" spans="1:8">
      <c r="A23" s="428">
        <v>17</v>
      </c>
      <c r="B23" s="441" t="s">
        <v>502</v>
      </c>
      <c r="C23" s="721">
        <v>9320.4</v>
      </c>
      <c r="D23" s="721">
        <v>973927.86</v>
      </c>
      <c r="E23" s="721">
        <v>22228.010000000002</v>
      </c>
      <c r="F23" s="721"/>
      <c r="G23" s="721">
        <v>475.21999999999997</v>
      </c>
      <c r="H23" s="427">
        <f t="shared" si="0"/>
        <v>961020.25</v>
      </c>
    </row>
    <row r="24" spans="1:8">
      <c r="A24" s="428">
        <v>18</v>
      </c>
      <c r="B24" s="441" t="s">
        <v>503</v>
      </c>
      <c r="C24" s="721">
        <v>10693.98</v>
      </c>
      <c r="D24" s="721">
        <v>4464058.57</v>
      </c>
      <c r="E24" s="721">
        <v>76262.53</v>
      </c>
      <c r="F24" s="721"/>
      <c r="G24" s="721">
        <v>15489.550000000003</v>
      </c>
      <c r="H24" s="427">
        <f t="shared" si="0"/>
        <v>4398490.0200000005</v>
      </c>
    </row>
    <row r="25" spans="1:8">
      <c r="A25" s="428">
        <v>19</v>
      </c>
      <c r="B25" s="441" t="s">
        <v>504</v>
      </c>
      <c r="C25" s="721">
        <v>55839.75</v>
      </c>
      <c r="D25" s="721">
        <v>8618111.0700000003</v>
      </c>
      <c r="E25" s="721">
        <v>151310.42000000001</v>
      </c>
      <c r="F25" s="721"/>
      <c r="G25" s="721">
        <v>106008.05999999998</v>
      </c>
      <c r="H25" s="427">
        <f t="shared" si="0"/>
        <v>8522640.4000000004</v>
      </c>
    </row>
    <row r="26" spans="1:8">
      <c r="A26" s="428">
        <v>20</v>
      </c>
      <c r="B26" s="441" t="s">
        <v>505</v>
      </c>
      <c r="C26" s="721">
        <v>11683.45</v>
      </c>
      <c r="D26" s="721">
        <v>23704065.369999997</v>
      </c>
      <c r="E26" s="721">
        <v>216231.66</v>
      </c>
      <c r="F26" s="721"/>
      <c r="G26" s="721">
        <v>25051.780000000006</v>
      </c>
      <c r="H26" s="427">
        <f t="shared" si="0"/>
        <v>23499517.159999996</v>
      </c>
    </row>
    <row r="27" spans="1:8">
      <c r="A27" s="428">
        <v>21</v>
      </c>
      <c r="B27" s="441" t="s">
        <v>506</v>
      </c>
      <c r="C27" s="721">
        <v>15496.08</v>
      </c>
      <c r="D27" s="721">
        <v>3023237.46</v>
      </c>
      <c r="E27" s="721">
        <v>40609.93</v>
      </c>
      <c r="F27" s="721"/>
      <c r="G27" s="721">
        <v>1725.6</v>
      </c>
      <c r="H27" s="427">
        <f t="shared" si="0"/>
        <v>2998123.61</v>
      </c>
    </row>
    <row r="28" spans="1:8">
      <c r="A28" s="428">
        <v>22</v>
      </c>
      <c r="B28" s="441" t="s">
        <v>507</v>
      </c>
      <c r="C28" s="721">
        <v>120.34</v>
      </c>
      <c r="D28" s="721">
        <v>1511469.02</v>
      </c>
      <c r="E28" s="721">
        <v>14061.579999999998</v>
      </c>
      <c r="F28" s="721"/>
      <c r="G28" s="721">
        <v>8169.6799999999994</v>
      </c>
      <c r="H28" s="427">
        <f t="shared" si="0"/>
        <v>1497527.78</v>
      </c>
    </row>
    <row r="29" spans="1:8">
      <c r="A29" s="428">
        <v>23</v>
      </c>
      <c r="B29" s="441" t="s">
        <v>508</v>
      </c>
      <c r="C29" s="721">
        <v>5857385.7000000002</v>
      </c>
      <c r="D29" s="721">
        <v>713757254.55999994</v>
      </c>
      <c r="E29" s="721">
        <v>17457571.219999999</v>
      </c>
      <c r="F29" s="721"/>
      <c r="G29" s="721">
        <v>5514151.972545011</v>
      </c>
      <c r="H29" s="427">
        <f t="shared" si="0"/>
        <v>702157069.03999996</v>
      </c>
    </row>
    <row r="30" spans="1:8">
      <c r="A30" s="428">
        <v>24</v>
      </c>
      <c r="B30" s="441" t="s">
        <v>509</v>
      </c>
      <c r="C30" s="721">
        <v>7738841.3099999996</v>
      </c>
      <c r="D30" s="721">
        <v>1085675153.6099999</v>
      </c>
      <c r="E30" s="721">
        <v>25491495.310000002</v>
      </c>
      <c r="F30" s="721"/>
      <c r="G30" s="721">
        <v>6914355.8904619776</v>
      </c>
      <c r="H30" s="427">
        <f t="shared" si="0"/>
        <v>1067922499.6099999</v>
      </c>
    </row>
    <row r="31" spans="1:8">
      <c r="A31" s="428">
        <v>25</v>
      </c>
      <c r="B31" s="441" t="s">
        <v>510</v>
      </c>
      <c r="C31" s="721">
        <v>2347952.66</v>
      </c>
      <c r="D31" s="721">
        <v>334915672.08000004</v>
      </c>
      <c r="E31" s="721">
        <v>6685389.3299999991</v>
      </c>
      <c r="F31" s="721"/>
      <c r="G31" s="721">
        <v>3270344.8613157645</v>
      </c>
      <c r="H31" s="427">
        <f t="shared" si="0"/>
        <v>330578235.41000009</v>
      </c>
    </row>
    <row r="32" spans="1:8">
      <c r="A32" s="428">
        <v>26</v>
      </c>
      <c r="B32" s="441" t="s">
        <v>511</v>
      </c>
      <c r="C32" s="721">
        <v>958244.74</v>
      </c>
      <c r="D32" s="721">
        <v>96941038.38000001</v>
      </c>
      <c r="E32" s="721">
        <v>2576639.33</v>
      </c>
      <c r="F32" s="721"/>
      <c r="G32" s="721">
        <v>715200.4499999996</v>
      </c>
      <c r="H32" s="427">
        <f t="shared" si="0"/>
        <v>95322643.790000007</v>
      </c>
    </row>
    <row r="33" spans="1:8">
      <c r="A33" s="428">
        <v>27</v>
      </c>
      <c r="B33" s="428" t="s">
        <v>88</v>
      </c>
      <c r="C33" s="721"/>
      <c r="D33" s="721">
        <v>264745626.52178815</v>
      </c>
      <c r="E33" s="721">
        <v>6895071.5899999999</v>
      </c>
      <c r="F33" s="721"/>
      <c r="G33" s="721"/>
      <c r="H33" s="427">
        <f t="shared" si="0"/>
        <v>257850554.93178815</v>
      </c>
    </row>
    <row r="34" spans="1:8">
      <c r="A34" s="428">
        <v>28</v>
      </c>
      <c r="B34" s="431" t="s">
        <v>66</v>
      </c>
      <c r="C34" s="722">
        <f>SUM(C7:C33)</f>
        <v>23453193.559999999</v>
      </c>
      <c r="D34" s="722">
        <f>SUM(D7:D33)</f>
        <v>3953573982.2117877</v>
      </c>
      <c r="E34" s="722">
        <f>SUM(E7:E33)</f>
        <v>73209123.289999992</v>
      </c>
      <c r="F34" s="722">
        <f>SUM(F7:F33)</f>
        <v>0</v>
      </c>
      <c r="G34" s="722">
        <f>SUM(G7:G33)</f>
        <v>19821855.946093757</v>
      </c>
      <c r="H34" s="427">
        <f t="shared" si="0"/>
        <v>3903818052.4817877</v>
      </c>
    </row>
    <row r="36" spans="1:8">
      <c r="B36" s="32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11" sqref="C11:C14"/>
    </sheetView>
  </sheetViews>
  <sheetFormatPr defaultColWidth="9.21875" defaultRowHeight="12"/>
  <cols>
    <col min="1" max="1" width="11.77734375" style="317" bestFit="1" customWidth="1"/>
    <col min="2" max="2" width="108" style="317" bestFit="1" customWidth="1"/>
    <col min="3" max="3" width="35.5546875" style="317" customWidth="1"/>
    <col min="4" max="4" width="38.44140625" style="317" customWidth="1"/>
    <col min="5" max="16384" width="9.21875" style="317"/>
  </cols>
  <sheetData>
    <row r="1" spans="1:4" ht="13.8">
      <c r="A1" s="316" t="s">
        <v>97</v>
      </c>
      <c r="B1" s="248" t="str">
        <f>Info!C2</f>
        <v>სს "კრედო ბანკი"</v>
      </c>
    </row>
    <row r="2" spans="1:4">
      <c r="A2" s="316" t="s">
        <v>98</v>
      </c>
      <c r="B2" s="319">
        <f>'1. key ratios'!B2</f>
        <v>46022</v>
      </c>
    </row>
    <row r="3" spans="1:4">
      <c r="A3" s="318" t="s">
        <v>512</v>
      </c>
    </row>
    <row r="5" spans="1:4" ht="18" customHeight="1">
      <c r="A5" s="861" t="s">
        <v>848</v>
      </c>
      <c r="B5" s="861"/>
      <c r="C5" s="449" t="s">
        <v>531</v>
      </c>
      <c r="D5" s="449" t="s">
        <v>847</v>
      </c>
    </row>
    <row r="6" spans="1:4" ht="18" customHeight="1">
      <c r="A6" s="448">
        <v>1</v>
      </c>
      <c r="B6" s="442" t="s">
        <v>846</v>
      </c>
      <c r="C6" s="723">
        <v>69813170.818901405</v>
      </c>
      <c r="D6" s="723"/>
    </row>
    <row r="7" spans="1:4" ht="18" customHeight="1">
      <c r="A7" s="445">
        <v>2</v>
      </c>
      <c r="B7" s="442" t="s">
        <v>845</v>
      </c>
      <c r="C7" s="724">
        <f>SUM(C8:C9)</f>
        <v>51144401.309567094</v>
      </c>
      <c r="D7" s="723">
        <f>SUM(D8:D9)</f>
        <v>0</v>
      </c>
    </row>
    <row r="8" spans="1:4" ht="18" customHeight="1">
      <c r="A8" s="447">
        <v>2.1</v>
      </c>
      <c r="B8" s="446" t="s">
        <v>844</v>
      </c>
      <c r="C8" s="723">
        <v>8233730.7568577826</v>
      </c>
      <c r="D8" s="723"/>
    </row>
    <row r="9" spans="1:4" ht="18" customHeight="1">
      <c r="A9" s="447">
        <v>2.2000000000000002</v>
      </c>
      <c r="B9" s="446" t="s">
        <v>843</v>
      </c>
      <c r="C9" s="723">
        <v>42910670.552709311</v>
      </c>
      <c r="D9" s="723"/>
    </row>
    <row r="10" spans="1:4" ht="18" customHeight="1">
      <c r="A10" s="448">
        <v>3</v>
      </c>
      <c r="B10" s="442" t="s">
        <v>842</v>
      </c>
      <c r="C10" s="724">
        <f>SUM(C11:C13)</f>
        <v>54761889.915564686</v>
      </c>
      <c r="D10" s="723">
        <f>SUM(D11:D13)</f>
        <v>0</v>
      </c>
    </row>
    <row r="11" spans="1:4" ht="18" customHeight="1">
      <c r="A11" s="447">
        <v>3.1</v>
      </c>
      <c r="B11" s="446" t="s">
        <v>513</v>
      </c>
      <c r="C11" s="723">
        <v>19821862.756094322</v>
      </c>
      <c r="D11" s="723"/>
    </row>
    <row r="12" spans="1:4" ht="18" customHeight="1">
      <c r="A12" s="447">
        <v>3.2</v>
      </c>
      <c r="B12" s="446" t="s">
        <v>841</v>
      </c>
      <c r="C12" s="723">
        <v>12524942.523940843</v>
      </c>
      <c r="D12" s="723"/>
    </row>
    <row r="13" spans="1:4" ht="18" customHeight="1">
      <c r="A13" s="447">
        <v>3.3</v>
      </c>
      <c r="B13" s="446" t="s">
        <v>840</v>
      </c>
      <c r="C13" s="723">
        <v>22415084.635529518</v>
      </c>
      <c r="D13" s="723"/>
    </row>
    <row r="14" spans="1:4" ht="18" customHeight="1">
      <c r="A14" s="445">
        <v>4</v>
      </c>
      <c r="B14" s="444" t="s">
        <v>839</v>
      </c>
      <c r="C14" s="723">
        <v>-11258.771254463114</v>
      </c>
      <c r="D14" s="723"/>
    </row>
    <row r="15" spans="1:4" ht="18" customHeight="1">
      <c r="A15" s="443">
        <v>5</v>
      </c>
      <c r="B15" s="442" t="s">
        <v>838</v>
      </c>
      <c r="C15" s="724">
        <f>C6+C7-C10+C14</f>
        <v>66184423.441649348</v>
      </c>
      <c r="D15" s="724">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16" sqref="C16:C17"/>
    </sheetView>
  </sheetViews>
  <sheetFormatPr defaultColWidth="9.21875" defaultRowHeight="12"/>
  <cols>
    <col min="1" max="1" width="11.77734375" style="438" bestFit="1" customWidth="1"/>
    <col min="2" max="2" width="128.88671875" style="438" bestFit="1" customWidth="1"/>
    <col min="3" max="3" width="37" style="438" customWidth="1"/>
    <col min="4" max="4" width="50.5546875" style="438" customWidth="1"/>
    <col min="5" max="16384" width="9.21875" style="438"/>
  </cols>
  <sheetData>
    <row r="1" spans="1:4" ht="13.8">
      <c r="A1" s="316" t="s">
        <v>97</v>
      </c>
      <c r="B1" s="248" t="str">
        <f>Info!C2</f>
        <v>სს "კრედო ბანკი"</v>
      </c>
    </row>
    <row r="2" spans="1:4">
      <c r="A2" s="316" t="s">
        <v>98</v>
      </c>
      <c r="B2" s="319">
        <f>'1. key ratios'!B2</f>
        <v>46022</v>
      </c>
    </row>
    <row r="3" spans="1:4">
      <c r="A3" s="318" t="s">
        <v>514</v>
      </c>
    </row>
    <row r="4" spans="1:4">
      <c r="A4" s="318"/>
    </row>
    <row r="5" spans="1:4" ht="15" customHeight="1">
      <c r="A5" s="862" t="s">
        <v>515</v>
      </c>
      <c r="B5" s="863"/>
      <c r="C5" s="866" t="s">
        <v>516</v>
      </c>
      <c r="D5" s="866" t="s">
        <v>517</v>
      </c>
    </row>
    <row r="6" spans="1:4">
      <c r="A6" s="864"/>
      <c r="B6" s="865"/>
      <c r="C6" s="866"/>
      <c r="D6" s="866"/>
    </row>
    <row r="7" spans="1:4" ht="18" customHeight="1">
      <c r="A7" s="431">
        <v>1</v>
      </c>
      <c r="B7" s="431" t="s">
        <v>518</v>
      </c>
      <c r="C7" s="725">
        <v>26017845.448062629</v>
      </c>
      <c r="D7" s="450"/>
    </row>
    <row r="8" spans="1:4" ht="18" customHeight="1">
      <c r="A8" s="428">
        <v>2</v>
      </c>
      <c r="B8" s="428" t="s">
        <v>519</v>
      </c>
      <c r="C8" s="726">
        <v>26511617.640017238</v>
      </c>
      <c r="D8" s="450"/>
    </row>
    <row r="9" spans="1:4" ht="18" customHeight="1">
      <c r="A9" s="428">
        <v>3</v>
      </c>
      <c r="B9" s="453" t="s">
        <v>520</v>
      </c>
      <c r="C9" s="726"/>
      <c r="D9" s="450"/>
    </row>
    <row r="10" spans="1:4" ht="18" customHeight="1">
      <c r="A10" s="428">
        <v>4</v>
      </c>
      <c r="B10" s="428" t="s">
        <v>521</v>
      </c>
      <c r="C10" s="725">
        <f>SUM(C11:C17)</f>
        <v>29076269.552075163</v>
      </c>
      <c r="D10" s="450"/>
    </row>
    <row r="11" spans="1:4" ht="18" customHeight="1">
      <c r="A11" s="428">
        <v>5</v>
      </c>
      <c r="B11" s="452" t="s">
        <v>849</v>
      </c>
      <c r="C11" s="726"/>
      <c r="D11" s="450"/>
    </row>
    <row r="12" spans="1:4" ht="18" customHeight="1">
      <c r="A12" s="428">
        <v>6</v>
      </c>
      <c r="B12" s="452" t="s">
        <v>522</v>
      </c>
      <c r="C12" s="726">
        <v>1720574.0900000026</v>
      </c>
      <c r="D12" s="450"/>
    </row>
    <row r="13" spans="1:4" ht="18" customHeight="1">
      <c r="A13" s="428">
        <v>7</v>
      </c>
      <c r="B13" s="452" t="s">
        <v>525</v>
      </c>
      <c r="C13" s="726">
        <v>19821862.756094322</v>
      </c>
      <c r="D13" s="450"/>
    </row>
    <row r="14" spans="1:4" ht="18" customHeight="1">
      <c r="A14" s="428">
        <v>8</v>
      </c>
      <c r="B14" s="452" t="s">
        <v>523</v>
      </c>
      <c r="C14" s="726"/>
      <c r="D14" s="428"/>
    </row>
    <row r="15" spans="1:4" ht="18" customHeight="1">
      <c r="A15" s="428">
        <v>9</v>
      </c>
      <c r="B15" s="452" t="s">
        <v>524</v>
      </c>
      <c r="C15" s="726"/>
      <c r="D15" s="428"/>
    </row>
    <row r="16" spans="1:4" ht="18" customHeight="1">
      <c r="A16" s="428">
        <v>10</v>
      </c>
      <c r="B16" s="452" t="s">
        <v>526</v>
      </c>
      <c r="C16" s="726">
        <v>7519107.6989453081</v>
      </c>
      <c r="D16" s="428"/>
    </row>
    <row r="17" spans="1:4" ht="18" customHeight="1">
      <c r="A17" s="428">
        <v>11</v>
      </c>
      <c r="B17" s="452" t="s">
        <v>527</v>
      </c>
      <c r="C17" s="726">
        <v>14725.007035529476</v>
      </c>
      <c r="D17" s="450"/>
    </row>
    <row r="18" spans="1:4" ht="18" customHeight="1">
      <c r="A18" s="431">
        <v>12</v>
      </c>
      <c r="B18" s="451" t="s">
        <v>528</v>
      </c>
      <c r="C18" s="725">
        <f>C7+C8+C9-C10</f>
        <v>23453193.536004707</v>
      </c>
      <c r="D18" s="450"/>
    </row>
    <row r="21" spans="1:4">
      <c r="B21" s="316"/>
    </row>
    <row r="22" spans="1:4">
      <c r="B22" s="316"/>
    </row>
    <row r="23" spans="1:4">
      <c r="B23" s="318"/>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C28" sqref="C28"/>
    </sheetView>
  </sheetViews>
  <sheetFormatPr defaultColWidth="9.21875" defaultRowHeight="12"/>
  <cols>
    <col min="1" max="1" width="11.77734375" style="438" bestFit="1" customWidth="1"/>
    <col min="2" max="2" width="63.88671875" style="438" customWidth="1"/>
    <col min="3" max="3" width="15.5546875" style="438" customWidth="1"/>
    <col min="4" max="18" width="22.21875" style="438" customWidth="1"/>
    <col min="19" max="19" width="23.21875" style="438" bestFit="1" customWidth="1"/>
    <col min="20" max="26" width="22.21875" style="438" customWidth="1"/>
    <col min="27" max="27" width="23.21875" style="438" bestFit="1" customWidth="1"/>
    <col min="28" max="28" width="20" style="438" customWidth="1"/>
    <col min="29" max="16384" width="9.21875" style="438"/>
  </cols>
  <sheetData>
    <row r="1" spans="1:28" ht="13.8">
      <c r="A1" s="316" t="s">
        <v>97</v>
      </c>
      <c r="B1" s="248" t="str">
        <f>Info!C2</f>
        <v>სს "კრედო ბანკი"</v>
      </c>
    </row>
    <row r="2" spans="1:28">
      <c r="A2" s="316" t="s">
        <v>98</v>
      </c>
      <c r="B2" s="319">
        <f>'1. key ratios'!B2</f>
        <v>46022</v>
      </c>
      <c r="C2" s="439"/>
    </row>
    <row r="3" spans="1:28">
      <c r="A3" s="318" t="s">
        <v>529</v>
      </c>
    </row>
    <row r="5" spans="1:28" ht="15" customHeight="1">
      <c r="A5" s="867" t="s">
        <v>862</v>
      </c>
      <c r="B5" s="868"/>
      <c r="C5" s="859" t="s">
        <v>861</v>
      </c>
      <c r="D5" s="873"/>
      <c r="E5" s="873"/>
      <c r="F5" s="873"/>
      <c r="G5" s="873"/>
      <c r="H5" s="873"/>
      <c r="I5" s="873"/>
      <c r="J5" s="873"/>
      <c r="K5" s="873"/>
      <c r="L5" s="873"/>
      <c r="M5" s="873"/>
      <c r="N5" s="873"/>
      <c r="O5" s="873"/>
      <c r="P5" s="873"/>
      <c r="Q5" s="873"/>
      <c r="R5" s="873"/>
      <c r="S5" s="873"/>
      <c r="T5" s="464"/>
      <c r="U5" s="464"/>
      <c r="V5" s="464"/>
      <c r="W5" s="464"/>
      <c r="X5" s="464"/>
      <c r="Y5" s="464"/>
      <c r="Z5" s="464"/>
      <c r="AA5" s="463"/>
      <c r="AB5" s="456"/>
    </row>
    <row r="6" spans="1:28">
      <c r="A6" s="869"/>
      <c r="B6" s="870"/>
      <c r="C6" s="874" t="s">
        <v>66</v>
      </c>
      <c r="D6" s="876" t="s">
        <v>860</v>
      </c>
      <c r="E6" s="876"/>
      <c r="F6" s="876"/>
      <c r="G6" s="876"/>
      <c r="H6" s="877" t="s">
        <v>859</v>
      </c>
      <c r="I6" s="878"/>
      <c r="J6" s="878"/>
      <c r="K6" s="879"/>
      <c r="L6" s="461"/>
      <c r="M6" s="880" t="s">
        <v>858</v>
      </c>
      <c r="N6" s="880"/>
      <c r="O6" s="880"/>
      <c r="P6" s="880"/>
      <c r="Q6" s="880"/>
      <c r="R6" s="880"/>
      <c r="S6" s="857"/>
      <c r="T6" s="462"/>
      <c r="U6" s="860" t="s">
        <v>857</v>
      </c>
      <c r="V6" s="860"/>
      <c r="W6" s="860"/>
      <c r="X6" s="860"/>
      <c r="Y6" s="860"/>
      <c r="Z6" s="860"/>
      <c r="AA6" s="858"/>
      <c r="AB6" s="461"/>
    </row>
    <row r="7" spans="1:28" ht="24">
      <c r="A7" s="871"/>
      <c r="B7" s="872"/>
      <c r="C7" s="875"/>
      <c r="D7" s="460"/>
      <c r="E7" s="435" t="s">
        <v>530</v>
      </c>
      <c r="F7" s="435" t="s">
        <v>855</v>
      </c>
      <c r="G7" s="435" t="s">
        <v>856</v>
      </c>
      <c r="H7" s="459"/>
      <c r="I7" s="435" t="s">
        <v>530</v>
      </c>
      <c r="J7" s="435" t="s">
        <v>855</v>
      </c>
      <c r="K7" s="435" t="s">
        <v>856</v>
      </c>
      <c r="L7" s="458"/>
      <c r="M7" s="435" t="s">
        <v>530</v>
      </c>
      <c r="N7" s="435" t="s">
        <v>855</v>
      </c>
      <c r="O7" s="435" t="s">
        <v>854</v>
      </c>
      <c r="P7" s="435" t="s">
        <v>853</v>
      </c>
      <c r="Q7" s="435" t="s">
        <v>852</v>
      </c>
      <c r="R7" s="435" t="s">
        <v>851</v>
      </c>
      <c r="S7" s="435" t="s">
        <v>850</v>
      </c>
      <c r="T7" s="457"/>
      <c r="U7" s="435" t="s">
        <v>530</v>
      </c>
      <c r="V7" s="435" t="s">
        <v>855</v>
      </c>
      <c r="W7" s="435" t="s">
        <v>854</v>
      </c>
      <c r="X7" s="435" t="s">
        <v>853</v>
      </c>
      <c r="Y7" s="435" t="s">
        <v>852</v>
      </c>
      <c r="Z7" s="435" t="s">
        <v>851</v>
      </c>
      <c r="AA7" s="435" t="s">
        <v>850</v>
      </c>
      <c r="AB7" s="456"/>
    </row>
    <row r="8" spans="1:28">
      <c r="A8" s="455">
        <v>1</v>
      </c>
      <c r="B8" s="431" t="s">
        <v>531</v>
      </c>
      <c r="C8" s="722">
        <f t="shared" ref="C8:L8" si="0">SUM(C9:C14)</f>
        <v>3138763963.3035297</v>
      </c>
      <c r="D8" s="722">
        <f t="shared" si="0"/>
        <v>2984976952.3698044</v>
      </c>
      <c r="E8" s="722">
        <f t="shared" si="0"/>
        <v>12329950.294318791</v>
      </c>
      <c r="F8" s="722">
        <f t="shared" si="0"/>
        <v>0</v>
      </c>
      <c r="G8" s="722">
        <f t="shared" si="0"/>
        <v>0</v>
      </c>
      <c r="H8" s="722">
        <f t="shared" si="0"/>
        <v>130333817.39772092</v>
      </c>
      <c r="I8" s="722">
        <f t="shared" si="0"/>
        <v>5216824.5595741393</v>
      </c>
      <c r="J8" s="722">
        <f t="shared" si="0"/>
        <v>18731714.920633513</v>
      </c>
      <c r="K8" s="722">
        <f t="shared" si="0"/>
        <v>0</v>
      </c>
      <c r="L8" s="722">
        <f t="shared" si="0"/>
        <v>23442761.255362593</v>
      </c>
      <c r="M8" s="722">
        <f t="shared" ref="M8:S8" si="1">SUM(M9:M14)</f>
        <v>113772.70544623749</v>
      </c>
      <c r="N8" s="722">
        <f t="shared" si="1"/>
        <v>1643372.0981760537</v>
      </c>
      <c r="O8" s="722">
        <f t="shared" si="1"/>
        <v>19853292.04957445</v>
      </c>
      <c r="P8" s="722">
        <f t="shared" si="1"/>
        <v>0</v>
      </c>
      <c r="Q8" s="722">
        <f t="shared" si="1"/>
        <v>0</v>
      </c>
      <c r="R8" s="722">
        <f t="shared" si="1"/>
        <v>0</v>
      </c>
      <c r="S8" s="722">
        <f t="shared" si="1"/>
        <v>0</v>
      </c>
      <c r="T8" s="722">
        <f>SUM(T9:T14)</f>
        <v>10432.280642149</v>
      </c>
      <c r="U8" s="722">
        <f t="shared" ref="U8:AA8" si="2">SUM(U9:U14)</f>
        <v>0</v>
      </c>
      <c r="V8" s="722">
        <f t="shared" si="2"/>
        <v>0</v>
      </c>
      <c r="W8" s="722">
        <f t="shared" si="2"/>
        <v>0</v>
      </c>
      <c r="X8" s="722">
        <f t="shared" si="2"/>
        <v>0</v>
      </c>
      <c r="Y8" s="722">
        <f t="shared" si="2"/>
        <v>0</v>
      </c>
      <c r="Z8" s="722">
        <f t="shared" si="2"/>
        <v>0</v>
      </c>
      <c r="AA8" s="722">
        <f t="shared" si="2"/>
        <v>0</v>
      </c>
    </row>
    <row r="9" spans="1:28">
      <c r="A9" s="428">
        <v>1.1000000000000001</v>
      </c>
      <c r="B9" s="445" t="s">
        <v>532</v>
      </c>
      <c r="C9" s="445"/>
      <c r="D9" s="721"/>
      <c r="E9" s="721"/>
      <c r="F9" s="721"/>
      <c r="G9" s="721"/>
      <c r="H9" s="721"/>
      <c r="I9" s="721"/>
      <c r="J9" s="721"/>
      <c r="K9" s="721"/>
      <c r="L9" s="721"/>
      <c r="M9" s="721"/>
      <c r="N9" s="721"/>
      <c r="O9" s="721"/>
      <c r="P9" s="721"/>
      <c r="Q9" s="721"/>
      <c r="R9" s="721"/>
      <c r="S9" s="721"/>
      <c r="T9" s="721"/>
      <c r="U9" s="721"/>
      <c r="V9" s="721"/>
      <c r="W9" s="721"/>
      <c r="X9" s="721"/>
      <c r="Y9" s="721"/>
      <c r="Z9" s="721"/>
      <c r="AA9" s="721"/>
    </row>
    <row r="10" spans="1:28">
      <c r="A10" s="428">
        <v>1.2</v>
      </c>
      <c r="B10" s="445" t="s">
        <v>533</v>
      </c>
      <c r="C10" s="445"/>
      <c r="D10" s="721"/>
      <c r="E10" s="721"/>
      <c r="F10" s="721"/>
      <c r="G10" s="721"/>
      <c r="H10" s="721"/>
      <c r="I10" s="721"/>
      <c r="J10" s="721"/>
      <c r="K10" s="721"/>
      <c r="L10" s="721"/>
      <c r="M10" s="721"/>
      <c r="N10" s="721"/>
      <c r="O10" s="721"/>
      <c r="P10" s="721"/>
      <c r="Q10" s="721"/>
      <c r="R10" s="721"/>
      <c r="S10" s="721"/>
      <c r="T10" s="721"/>
      <c r="U10" s="721"/>
      <c r="V10" s="721"/>
      <c r="W10" s="721"/>
      <c r="X10" s="721"/>
      <c r="Y10" s="721"/>
      <c r="Z10" s="721"/>
      <c r="AA10" s="721"/>
    </row>
    <row r="11" spans="1:28">
      <c r="A11" s="428">
        <v>1.3</v>
      </c>
      <c r="B11" s="445" t="s">
        <v>534</v>
      </c>
      <c r="C11" s="445"/>
      <c r="D11" s="721"/>
      <c r="E11" s="721"/>
      <c r="F11" s="721"/>
      <c r="G11" s="721"/>
      <c r="H11" s="721"/>
      <c r="I11" s="721"/>
      <c r="J11" s="721"/>
      <c r="K11" s="721"/>
      <c r="L11" s="721"/>
      <c r="M11" s="721"/>
      <c r="N11" s="721"/>
      <c r="O11" s="721"/>
      <c r="P11" s="721"/>
      <c r="Q11" s="721"/>
      <c r="R11" s="721"/>
      <c r="S11" s="721"/>
      <c r="T11" s="721"/>
      <c r="U11" s="721"/>
      <c r="V11" s="721"/>
      <c r="W11" s="721"/>
      <c r="X11" s="721"/>
      <c r="Y11" s="721"/>
      <c r="Z11" s="721"/>
      <c r="AA11" s="721"/>
    </row>
    <row r="12" spans="1:28">
      <c r="A12" s="428">
        <v>1.4</v>
      </c>
      <c r="B12" s="445" t="s">
        <v>535</v>
      </c>
      <c r="C12" s="445"/>
      <c r="D12" s="721"/>
      <c r="E12" s="721"/>
      <c r="F12" s="721"/>
      <c r="G12" s="721"/>
      <c r="H12" s="721"/>
      <c r="I12" s="721"/>
      <c r="J12" s="721"/>
      <c r="K12" s="721"/>
      <c r="L12" s="721"/>
      <c r="M12" s="721"/>
      <c r="N12" s="721"/>
      <c r="O12" s="721"/>
      <c r="P12" s="721"/>
      <c r="Q12" s="721"/>
      <c r="R12" s="721"/>
      <c r="S12" s="721"/>
      <c r="T12" s="721"/>
      <c r="U12" s="721"/>
      <c r="V12" s="721"/>
      <c r="W12" s="721"/>
      <c r="X12" s="721"/>
      <c r="Y12" s="721"/>
      <c r="Z12" s="721"/>
      <c r="AA12" s="721"/>
    </row>
    <row r="13" spans="1:28">
      <c r="A13" s="428">
        <v>1.5</v>
      </c>
      <c r="B13" s="445" t="s">
        <v>536</v>
      </c>
      <c r="C13" s="727">
        <f>D13+H13+L13+T13</f>
        <v>212424395.7849865</v>
      </c>
      <c r="D13" s="721">
        <v>204787185.8442696</v>
      </c>
      <c r="E13" s="721">
        <v>75108.667629429852</v>
      </c>
      <c r="F13" s="721">
        <v>0</v>
      </c>
      <c r="G13" s="721">
        <v>0</v>
      </c>
      <c r="H13" s="721">
        <v>4639325.9781658584</v>
      </c>
      <c r="I13" s="721">
        <v>0</v>
      </c>
      <c r="J13" s="721">
        <v>36843.46</v>
      </c>
      <c r="K13" s="721">
        <v>0</v>
      </c>
      <c r="L13" s="721">
        <v>2997883.9625510368</v>
      </c>
      <c r="M13" s="721">
        <v>0</v>
      </c>
      <c r="N13" s="721">
        <v>0</v>
      </c>
      <c r="O13" s="721">
        <v>2997883.9625510368</v>
      </c>
      <c r="P13" s="721">
        <v>0</v>
      </c>
      <c r="Q13" s="721">
        <v>0</v>
      </c>
      <c r="R13" s="721">
        <v>0</v>
      </c>
      <c r="S13" s="721">
        <v>0</v>
      </c>
      <c r="T13" s="721">
        <v>0</v>
      </c>
      <c r="U13" s="721">
        <v>0</v>
      </c>
      <c r="V13" s="721">
        <v>0</v>
      </c>
      <c r="W13" s="721">
        <v>0</v>
      </c>
      <c r="X13" s="721">
        <v>0</v>
      </c>
      <c r="Y13" s="721">
        <v>0</v>
      </c>
      <c r="Z13" s="721">
        <v>0</v>
      </c>
      <c r="AA13" s="721">
        <v>0</v>
      </c>
    </row>
    <row r="14" spans="1:28">
      <c r="A14" s="428">
        <v>1.6</v>
      </c>
      <c r="B14" s="445" t="s">
        <v>537</v>
      </c>
      <c r="C14" s="727">
        <f>D14+H14+L14+T14</f>
        <v>2926339567.5185432</v>
      </c>
      <c r="D14" s="721">
        <v>2780189766.5255346</v>
      </c>
      <c r="E14" s="721">
        <v>12254841.626689361</v>
      </c>
      <c r="F14" s="721">
        <v>0</v>
      </c>
      <c r="G14" s="721">
        <v>0</v>
      </c>
      <c r="H14" s="721">
        <v>125694491.41955505</v>
      </c>
      <c r="I14" s="721">
        <v>5216824.5595741393</v>
      </c>
      <c r="J14" s="721">
        <v>18694871.460633513</v>
      </c>
      <c r="K14" s="721">
        <v>0</v>
      </c>
      <c r="L14" s="721">
        <v>20444877.292811558</v>
      </c>
      <c r="M14" s="721">
        <v>113772.70544623749</v>
      </c>
      <c r="N14" s="721">
        <v>1643372.0981760537</v>
      </c>
      <c r="O14" s="721">
        <v>16855408.087023415</v>
      </c>
      <c r="P14" s="721">
        <v>0</v>
      </c>
      <c r="Q14" s="721">
        <v>0</v>
      </c>
      <c r="R14" s="721">
        <v>0</v>
      </c>
      <c r="S14" s="721">
        <v>0</v>
      </c>
      <c r="T14" s="721">
        <v>10432.280642149</v>
      </c>
      <c r="U14" s="721">
        <v>0</v>
      </c>
      <c r="V14" s="721">
        <v>0</v>
      </c>
      <c r="W14" s="721">
        <v>0</v>
      </c>
      <c r="X14" s="721">
        <v>0</v>
      </c>
      <c r="Y14" s="721">
        <v>0</v>
      </c>
      <c r="Z14" s="721">
        <v>0</v>
      </c>
      <c r="AA14" s="721">
        <v>0</v>
      </c>
    </row>
    <row r="15" spans="1:28">
      <c r="A15" s="455">
        <v>2</v>
      </c>
      <c r="B15" s="431" t="s">
        <v>538</v>
      </c>
      <c r="C15" s="727">
        <f>D15+H15+L15+T15</f>
        <v>68081706.859999985</v>
      </c>
      <c r="D15" s="728">
        <f>SUM(D16:D21)</f>
        <v>68081706.859999985</v>
      </c>
      <c r="E15" s="428"/>
      <c r="F15" s="428"/>
      <c r="G15" s="428"/>
      <c r="H15" s="428"/>
      <c r="I15" s="428"/>
      <c r="J15" s="428"/>
      <c r="K15" s="428"/>
      <c r="L15" s="428"/>
      <c r="M15" s="428"/>
      <c r="N15" s="428"/>
      <c r="O15" s="428"/>
      <c r="P15" s="428"/>
      <c r="Q15" s="428"/>
      <c r="R15" s="428"/>
      <c r="S15" s="428"/>
      <c r="T15" s="428"/>
      <c r="U15" s="428"/>
      <c r="V15" s="428"/>
      <c r="W15" s="428"/>
      <c r="X15" s="428"/>
      <c r="Y15" s="428"/>
      <c r="Z15" s="428"/>
      <c r="AA15" s="428"/>
    </row>
    <row r="16" spans="1:28">
      <c r="A16" s="428">
        <v>2.1</v>
      </c>
      <c r="B16" s="445" t="s">
        <v>532</v>
      </c>
      <c r="C16" s="727">
        <f t="shared" ref="C16:C17" si="3">D16+H16+L16+T16</f>
        <v>0</v>
      </c>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row>
    <row r="17" spans="1:27">
      <c r="A17" s="428">
        <v>2.2000000000000002</v>
      </c>
      <c r="B17" s="445" t="s">
        <v>533</v>
      </c>
      <c r="C17" s="727">
        <f t="shared" si="3"/>
        <v>68081706.859999985</v>
      </c>
      <c r="D17" s="721">
        <v>68081706.859999985</v>
      </c>
      <c r="E17" s="428"/>
      <c r="F17" s="428"/>
      <c r="G17" s="428"/>
      <c r="H17" s="428"/>
      <c r="I17" s="428"/>
      <c r="J17" s="428"/>
      <c r="K17" s="428"/>
      <c r="L17" s="428"/>
      <c r="M17" s="428"/>
      <c r="N17" s="428"/>
      <c r="O17" s="428"/>
      <c r="P17" s="428"/>
      <c r="Q17" s="428"/>
      <c r="R17" s="428"/>
      <c r="S17" s="428"/>
      <c r="T17" s="428"/>
      <c r="U17" s="428"/>
      <c r="V17" s="428"/>
      <c r="W17" s="428"/>
      <c r="X17" s="428"/>
      <c r="Y17" s="428"/>
      <c r="Z17" s="428"/>
      <c r="AA17" s="428"/>
    </row>
    <row r="18" spans="1:27">
      <c r="A18" s="428">
        <v>2.2999999999999998</v>
      </c>
      <c r="B18" s="445" t="s">
        <v>534</v>
      </c>
      <c r="C18" s="445"/>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row>
    <row r="19" spans="1:27">
      <c r="A19" s="428">
        <v>2.4</v>
      </c>
      <c r="B19" s="445" t="s">
        <v>535</v>
      </c>
      <c r="C19" s="445"/>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row>
    <row r="20" spans="1:27">
      <c r="A20" s="428">
        <v>2.5</v>
      </c>
      <c r="B20" s="445" t="s">
        <v>536</v>
      </c>
      <c r="C20" s="445"/>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row>
    <row r="21" spans="1:27">
      <c r="A21" s="428">
        <v>2.6</v>
      </c>
      <c r="B21" s="445" t="s">
        <v>537</v>
      </c>
      <c r="C21" s="445"/>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row>
    <row r="22" spans="1:27">
      <c r="A22" s="455">
        <v>3</v>
      </c>
      <c r="B22" s="431" t="s">
        <v>539</v>
      </c>
      <c r="C22" s="728">
        <f>C27+C28</f>
        <v>446934782</v>
      </c>
      <c r="D22" s="431"/>
      <c r="E22" s="454"/>
      <c r="F22" s="454"/>
      <c r="G22" s="454"/>
      <c r="H22" s="431"/>
      <c r="I22" s="454"/>
      <c r="J22" s="454"/>
      <c r="K22" s="454"/>
      <c r="L22" s="431"/>
      <c r="M22" s="454"/>
      <c r="N22" s="454"/>
      <c r="O22" s="454"/>
      <c r="P22" s="454"/>
      <c r="Q22" s="454"/>
      <c r="R22" s="454"/>
      <c r="S22" s="454"/>
      <c r="T22" s="431"/>
      <c r="U22" s="454"/>
      <c r="V22" s="454"/>
      <c r="W22" s="454"/>
      <c r="X22" s="454"/>
      <c r="Y22" s="454"/>
      <c r="Z22" s="454"/>
      <c r="AA22" s="454"/>
    </row>
    <row r="23" spans="1:27">
      <c r="A23" s="428">
        <v>3.1</v>
      </c>
      <c r="B23" s="445" t="s">
        <v>532</v>
      </c>
      <c r="C23" s="445"/>
      <c r="D23" s="431"/>
      <c r="E23" s="454"/>
      <c r="F23" s="454"/>
      <c r="G23" s="454"/>
      <c r="H23" s="431"/>
      <c r="I23" s="454"/>
      <c r="J23" s="454"/>
      <c r="K23" s="454"/>
      <c r="L23" s="431"/>
      <c r="M23" s="454"/>
      <c r="N23" s="454"/>
      <c r="O23" s="454"/>
      <c r="P23" s="454"/>
      <c r="Q23" s="454"/>
      <c r="R23" s="454"/>
      <c r="S23" s="454"/>
      <c r="T23" s="431"/>
      <c r="U23" s="454"/>
      <c r="V23" s="454"/>
      <c r="W23" s="454"/>
      <c r="X23" s="454"/>
      <c r="Y23" s="454"/>
      <c r="Z23" s="454"/>
      <c r="AA23" s="454"/>
    </row>
    <row r="24" spans="1:27">
      <c r="A24" s="428">
        <v>3.2</v>
      </c>
      <c r="B24" s="445" t="s">
        <v>533</v>
      </c>
      <c r="C24" s="445"/>
      <c r="D24" s="431"/>
      <c r="E24" s="454"/>
      <c r="F24" s="454"/>
      <c r="G24" s="454"/>
      <c r="H24" s="431"/>
      <c r="I24" s="454"/>
      <c r="J24" s="454"/>
      <c r="K24" s="454"/>
      <c r="L24" s="431"/>
      <c r="M24" s="454"/>
      <c r="N24" s="454"/>
      <c r="O24" s="454"/>
      <c r="P24" s="454"/>
      <c r="Q24" s="454"/>
      <c r="R24" s="454"/>
      <c r="S24" s="454"/>
      <c r="T24" s="431"/>
      <c r="U24" s="454"/>
      <c r="V24" s="454"/>
      <c r="W24" s="454"/>
      <c r="X24" s="454"/>
      <c r="Y24" s="454"/>
      <c r="Z24" s="454"/>
      <c r="AA24" s="454"/>
    </row>
    <row r="25" spans="1:27">
      <c r="A25" s="428">
        <v>3.3</v>
      </c>
      <c r="B25" s="445" t="s">
        <v>534</v>
      </c>
      <c r="C25" s="445"/>
      <c r="D25" s="431"/>
      <c r="E25" s="454"/>
      <c r="F25" s="454"/>
      <c r="G25" s="454"/>
      <c r="H25" s="431"/>
      <c r="I25" s="454"/>
      <c r="J25" s="454"/>
      <c r="K25" s="454"/>
      <c r="L25" s="431"/>
      <c r="M25" s="454"/>
      <c r="N25" s="454"/>
      <c r="O25" s="454"/>
      <c r="P25" s="454"/>
      <c r="Q25" s="454"/>
      <c r="R25" s="454"/>
      <c r="S25" s="454"/>
      <c r="T25" s="431"/>
      <c r="U25" s="454"/>
      <c r="V25" s="454"/>
      <c r="W25" s="454"/>
      <c r="X25" s="454"/>
      <c r="Y25" s="454"/>
      <c r="Z25" s="454"/>
      <c r="AA25" s="454"/>
    </row>
    <row r="26" spans="1:27">
      <c r="A26" s="428">
        <v>3.4</v>
      </c>
      <c r="B26" s="445" t="s">
        <v>535</v>
      </c>
      <c r="C26" s="445"/>
      <c r="D26" s="431"/>
      <c r="E26" s="454"/>
      <c r="F26" s="454"/>
      <c r="G26" s="454"/>
      <c r="H26" s="431"/>
      <c r="I26" s="454"/>
      <c r="J26" s="454"/>
      <c r="K26" s="454"/>
      <c r="L26" s="431"/>
      <c r="M26" s="454"/>
      <c r="N26" s="454"/>
      <c r="O26" s="454"/>
      <c r="P26" s="454"/>
      <c r="Q26" s="454"/>
      <c r="R26" s="454"/>
      <c r="S26" s="454"/>
      <c r="T26" s="431"/>
      <c r="U26" s="454"/>
      <c r="V26" s="454"/>
      <c r="W26" s="454"/>
      <c r="X26" s="454"/>
      <c r="Y26" s="454"/>
      <c r="Z26" s="454"/>
      <c r="AA26" s="454"/>
    </row>
    <row r="27" spans="1:27">
      <c r="A27" s="428">
        <v>3.5</v>
      </c>
      <c r="B27" s="445" t="s">
        <v>536</v>
      </c>
      <c r="C27" s="729">
        <v>20737856</v>
      </c>
      <c r="D27" s="722">
        <v>20737856</v>
      </c>
      <c r="E27" s="454"/>
      <c r="F27" s="454"/>
      <c r="G27" s="454"/>
      <c r="H27" s="431"/>
      <c r="I27" s="454"/>
      <c r="J27" s="454"/>
      <c r="K27" s="454"/>
      <c r="L27" s="431"/>
      <c r="M27" s="454"/>
      <c r="N27" s="454"/>
      <c r="O27" s="454"/>
      <c r="P27" s="454"/>
      <c r="Q27" s="454"/>
      <c r="R27" s="454"/>
      <c r="S27" s="454"/>
      <c r="T27" s="431"/>
      <c r="U27" s="454"/>
      <c r="V27" s="454"/>
      <c r="W27" s="454"/>
      <c r="X27" s="454"/>
      <c r="Y27" s="454"/>
      <c r="Z27" s="454"/>
      <c r="AA27" s="454"/>
    </row>
    <row r="28" spans="1:27">
      <c r="A28" s="428">
        <v>3.6</v>
      </c>
      <c r="B28" s="445" t="s">
        <v>537</v>
      </c>
      <c r="C28" s="729">
        <v>426196926</v>
      </c>
      <c r="D28" s="722"/>
      <c r="E28" s="454"/>
      <c r="F28" s="454"/>
      <c r="G28" s="454"/>
      <c r="H28" s="431"/>
      <c r="I28" s="454"/>
      <c r="J28" s="454"/>
      <c r="K28" s="454"/>
      <c r="L28" s="431"/>
      <c r="M28" s="454"/>
      <c r="N28" s="454"/>
      <c r="O28" s="454"/>
      <c r="P28" s="454"/>
      <c r="Q28" s="454"/>
      <c r="R28" s="454"/>
      <c r="S28" s="454"/>
      <c r="T28" s="431"/>
      <c r="U28" s="454"/>
      <c r="V28" s="454"/>
      <c r="W28" s="454"/>
      <c r="X28" s="454"/>
      <c r="Y28" s="454"/>
      <c r="Z28" s="454"/>
      <c r="AA28" s="45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D10" sqref="D10"/>
    </sheetView>
  </sheetViews>
  <sheetFormatPr defaultColWidth="9.21875" defaultRowHeight="12"/>
  <cols>
    <col min="1" max="1" width="11.77734375" style="438" bestFit="1" customWidth="1"/>
    <col min="2" max="2" width="90.21875" style="438" bestFit="1" customWidth="1"/>
    <col min="3" max="3" width="20.21875" style="438" customWidth="1"/>
    <col min="4" max="4" width="22.21875" style="438" customWidth="1"/>
    <col min="5" max="7" width="17.109375" style="438" customWidth="1"/>
    <col min="8" max="8" width="22.21875" style="438" customWidth="1"/>
    <col min="9" max="10" width="17.109375" style="438" customWidth="1"/>
    <col min="11" max="27" width="22.21875" style="438" customWidth="1"/>
    <col min="28" max="16384" width="9.21875" style="438"/>
  </cols>
  <sheetData>
    <row r="1" spans="1:27" ht="13.8">
      <c r="A1" s="316" t="s">
        <v>97</v>
      </c>
      <c r="B1" s="248" t="str">
        <f>Info!C2</f>
        <v>სს "კრედო ბანკი"</v>
      </c>
    </row>
    <row r="2" spans="1:27">
      <c r="A2" s="316" t="s">
        <v>98</v>
      </c>
      <c r="B2" s="319">
        <f>'1. key ratios'!B2</f>
        <v>46022</v>
      </c>
    </row>
    <row r="3" spans="1:27">
      <c r="A3" s="318" t="s">
        <v>540</v>
      </c>
      <c r="C3" s="440"/>
    </row>
    <row r="4" spans="1:27" ht="12.6" thickBot="1">
      <c r="A4" s="318"/>
      <c r="B4" s="440"/>
      <c r="C4" s="440"/>
    </row>
    <row r="5" spans="1:27" ht="13.5" customHeight="1">
      <c r="A5" s="885" t="s">
        <v>869</v>
      </c>
      <c r="B5" s="886"/>
      <c r="C5" s="882" t="s">
        <v>541</v>
      </c>
      <c r="D5" s="883"/>
      <c r="E5" s="883"/>
      <c r="F5" s="883"/>
      <c r="G5" s="883"/>
      <c r="H5" s="883"/>
      <c r="I5" s="883"/>
      <c r="J5" s="883"/>
      <c r="K5" s="883"/>
      <c r="L5" s="883"/>
      <c r="M5" s="883"/>
      <c r="N5" s="883"/>
      <c r="O5" s="883"/>
      <c r="P5" s="883"/>
      <c r="Q5" s="883"/>
      <c r="R5" s="883"/>
      <c r="S5" s="883"/>
      <c r="T5" s="883"/>
      <c r="U5" s="883"/>
      <c r="V5" s="883"/>
      <c r="W5" s="883"/>
      <c r="X5" s="883"/>
      <c r="Y5" s="883"/>
      <c r="Z5" s="883"/>
      <c r="AA5" s="884"/>
    </row>
    <row r="6" spans="1:27" ht="12" customHeight="1">
      <c r="A6" s="887"/>
      <c r="B6" s="888"/>
      <c r="C6" s="891" t="s">
        <v>66</v>
      </c>
      <c r="D6" s="856" t="s">
        <v>860</v>
      </c>
      <c r="E6" s="856"/>
      <c r="F6" s="856"/>
      <c r="G6" s="856"/>
      <c r="H6" s="877" t="s">
        <v>859</v>
      </c>
      <c r="I6" s="878"/>
      <c r="J6" s="878"/>
      <c r="K6" s="878"/>
      <c r="L6" s="462"/>
      <c r="M6" s="860" t="s">
        <v>858</v>
      </c>
      <c r="N6" s="860"/>
      <c r="O6" s="860"/>
      <c r="P6" s="860"/>
      <c r="Q6" s="860"/>
      <c r="R6" s="860"/>
      <c r="S6" s="858"/>
      <c r="T6" s="462"/>
      <c r="U6" s="860" t="s">
        <v>857</v>
      </c>
      <c r="V6" s="860"/>
      <c r="W6" s="860"/>
      <c r="X6" s="860"/>
      <c r="Y6" s="860"/>
      <c r="Z6" s="860"/>
      <c r="AA6" s="881"/>
    </row>
    <row r="7" spans="1:27" ht="36">
      <c r="A7" s="889"/>
      <c r="B7" s="890"/>
      <c r="C7" s="892"/>
      <c r="D7" s="460"/>
      <c r="E7" s="435" t="s">
        <v>530</v>
      </c>
      <c r="F7" s="435" t="s">
        <v>855</v>
      </c>
      <c r="G7" s="435" t="s">
        <v>856</v>
      </c>
      <c r="H7" s="439"/>
      <c r="I7" s="435" t="s">
        <v>530</v>
      </c>
      <c r="J7" s="435" t="s">
        <v>855</v>
      </c>
      <c r="K7" s="435" t="s">
        <v>856</v>
      </c>
      <c r="L7" s="457"/>
      <c r="M7" s="435" t="s">
        <v>530</v>
      </c>
      <c r="N7" s="435" t="s">
        <v>868</v>
      </c>
      <c r="O7" s="435" t="s">
        <v>867</v>
      </c>
      <c r="P7" s="435" t="s">
        <v>866</v>
      </c>
      <c r="Q7" s="435" t="s">
        <v>865</v>
      </c>
      <c r="R7" s="435" t="s">
        <v>864</v>
      </c>
      <c r="S7" s="435" t="s">
        <v>850</v>
      </c>
      <c r="T7" s="457"/>
      <c r="U7" s="435" t="s">
        <v>530</v>
      </c>
      <c r="V7" s="435" t="s">
        <v>868</v>
      </c>
      <c r="W7" s="435" t="s">
        <v>867</v>
      </c>
      <c r="X7" s="435" t="s">
        <v>866</v>
      </c>
      <c r="Y7" s="435" t="s">
        <v>865</v>
      </c>
      <c r="Z7" s="435" t="s">
        <v>864</v>
      </c>
      <c r="AA7" s="435" t="s">
        <v>850</v>
      </c>
    </row>
    <row r="8" spans="1:27">
      <c r="A8" s="483">
        <v>1</v>
      </c>
      <c r="B8" s="482" t="s">
        <v>531</v>
      </c>
      <c r="C8" s="740">
        <f>D8+H8+L8+T8</f>
        <v>3138763963.3034983</v>
      </c>
      <c r="D8" s="721">
        <v>2984976952.3697729</v>
      </c>
      <c r="E8" s="721">
        <v>12329950.294318851</v>
      </c>
      <c r="F8" s="721">
        <v>0</v>
      </c>
      <c r="G8" s="721">
        <v>0</v>
      </c>
      <c r="H8" s="721">
        <v>130333817.39772072</v>
      </c>
      <c r="I8" s="721">
        <v>5216824.5595741309</v>
      </c>
      <c r="J8" s="721">
        <v>18731714.920633513</v>
      </c>
      <c r="K8" s="721">
        <v>0</v>
      </c>
      <c r="L8" s="721">
        <v>23442761.255362503</v>
      </c>
      <c r="M8" s="721">
        <v>113772.70544623748</v>
      </c>
      <c r="N8" s="721">
        <v>1643372.0981760563</v>
      </c>
      <c r="O8" s="721">
        <v>19853292.04957445</v>
      </c>
      <c r="P8" s="721">
        <v>0</v>
      </c>
      <c r="Q8" s="721">
        <v>0</v>
      </c>
      <c r="R8" s="721">
        <v>0</v>
      </c>
      <c r="S8" s="721">
        <v>0</v>
      </c>
      <c r="T8" s="721">
        <v>10432.280642148999</v>
      </c>
      <c r="U8" s="721"/>
      <c r="V8" s="721"/>
      <c r="W8" s="721"/>
      <c r="X8" s="721"/>
      <c r="Y8" s="721"/>
      <c r="Z8" s="721"/>
      <c r="AA8" s="741"/>
    </row>
    <row r="9" spans="1:27">
      <c r="A9" s="475">
        <v>1.1000000000000001</v>
      </c>
      <c r="B9" s="481" t="s">
        <v>542</v>
      </c>
      <c r="C9" s="742">
        <f>D9+H9+L9+T9</f>
        <v>1293982198.8451722</v>
      </c>
      <c r="D9" s="721">
        <v>1267118968.8821526</v>
      </c>
      <c r="E9" s="721">
        <v>2139458.6956753349</v>
      </c>
      <c r="F9" s="721">
        <v>0</v>
      </c>
      <c r="G9" s="721">
        <v>0</v>
      </c>
      <c r="H9" s="721">
        <v>20765033.190453552</v>
      </c>
      <c r="I9" s="721">
        <v>248187.59081723297</v>
      </c>
      <c r="J9" s="721">
        <v>3032949.7850456843</v>
      </c>
      <c r="K9" s="721">
        <v>0</v>
      </c>
      <c r="L9" s="721">
        <v>6098196.772566176</v>
      </c>
      <c r="M9" s="721">
        <v>1446.8027426629301</v>
      </c>
      <c r="N9" s="721">
        <v>281228.15104452369</v>
      </c>
      <c r="O9" s="721">
        <v>5291232.9950559977</v>
      </c>
      <c r="P9" s="721">
        <v>0</v>
      </c>
      <c r="Q9" s="721">
        <v>0</v>
      </c>
      <c r="R9" s="721">
        <v>0</v>
      </c>
      <c r="S9" s="721">
        <v>0</v>
      </c>
      <c r="T9" s="721"/>
      <c r="U9" s="721"/>
      <c r="V9" s="721"/>
      <c r="W9" s="721"/>
      <c r="X9" s="721"/>
      <c r="Y9" s="721"/>
      <c r="Z9" s="721"/>
      <c r="AA9" s="741"/>
    </row>
    <row r="10" spans="1:27">
      <c r="A10" s="479" t="s">
        <v>146</v>
      </c>
      <c r="B10" s="480" t="s">
        <v>543</v>
      </c>
      <c r="C10" s="743">
        <f>SUM(C11:C14)</f>
        <v>1160316504.1755333</v>
      </c>
      <c r="D10" s="743">
        <f t="shared" ref="D10:AA10" si="0">SUM(D11:D14)</f>
        <v>1137816662.2093027</v>
      </c>
      <c r="E10" s="743">
        <f t="shared" si="0"/>
        <v>1282675.3760681548</v>
      </c>
      <c r="F10" s="743">
        <f t="shared" si="0"/>
        <v>0</v>
      </c>
      <c r="G10" s="743">
        <f t="shared" si="0"/>
        <v>0</v>
      </c>
      <c r="H10" s="743">
        <f t="shared" si="0"/>
        <v>18478433.322233137</v>
      </c>
      <c r="I10" s="743">
        <f t="shared" si="0"/>
        <v>172856.77995713922</v>
      </c>
      <c r="J10" s="743">
        <f t="shared" si="0"/>
        <v>2062123.0473958054</v>
      </c>
      <c r="K10" s="743">
        <f t="shared" si="0"/>
        <v>526096.04907474306</v>
      </c>
      <c r="L10" s="743">
        <f t="shared" si="0"/>
        <v>4021408.6439976785</v>
      </c>
      <c r="M10" s="743">
        <f t="shared" si="0"/>
        <v>0</v>
      </c>
      <c r="N10" s="743">
        <f t="shared" si="0"/>
        <v>133394.69500542938</v>
      </c>
      <c r="O10" s="743">
        <f t="shared" si="0"/>
        <v>3705647.791602876</v>
      </c>
      <c r="P10" s="743">
        <f t="shared" si="0"/>
        <v>0</v>
      </c>
      <c r="Q10" s="743">
        <f t="shared" si="0"/>
        <v>0</v>
      </c>
      <c r="R10" s="743">
        <f t="shared" si="0"/>
        <v>0</v>
      </c>
      <c r="S10" s="743">
        <f t="shared" si="0"/>
        <v>0</v>
      </c>
      <c r="T10" s="743">
        <f t="shared" si="0"/>
        <v>0</v>
      </c>
      <c r="U10" s="743">
        <f t="shared" si="0"/>
        <v>0</v>
      </c>
      <c r="V10" s="743">
        <f t="shared" si="0"/>
        <v>0</v>
      </c>
      <c r="W10" s="743">
        <f t="shared" si="0"/>
        <v>0</v>
      </c>
      <c r="X10" s="743">
        <f t="shared" si="0"/>
        <v>0</v>
      </c>
      <c r="Y10" s="743">
        <f t="shared" si="0"/>
        <v>0</v>
      </c>
      <c r="Z10" s="743">
        <f t="shared" si="0"/>
        <v>0</v>
      </c>
      <c r="AA10" s="743">
        <f t="shared" si="0"/>
        <v>0</v>
      </c>
    </row>
    <row r="11" spans="1:27">
      <c r="A11" s="477" t="s">
        <v>544</v>
      </c>
      <c r="B11" s="478" t="s">
        <v>545</v>
      </c>
      <c r="C11" s="742">
        <f>D11+H11+L11+T11</f>
        <v>656241446.83401155</v>
      </c>
      <c r="D11" s="721">
        <v>646131900.94007015</v>
      </c>
      <c r="E11" s="721">
        <v>1094167.3919053313</v>
      </c>
      <c r="F11" s="721">
        <v>0</v>
      </c>
      <c r="G11" s="721">
        <v>0</v>
      </c>
      <c r="H11" s="721">
        <v>9335219.6547681838</v>
      </c>
      <c r="I11" s="721">
        <v>125270.23489323293</v>
      </c>
      <c r="J11" s="721">
        <v>876397.93643613986</v>
      </c>
      <c r="K11" s="721">
        <v>0</v>
      </c>
      <c r="L11" s="721">
        <v>774326.23917316273</v>
      </c>
      <c r="M11" s="721">
        <v>0</v>
      </c>
      <c r="N11" s="721">
        <v>110630.84863022179</v>
      </c>
      <c r="O11" s="721">
        <v>481329.23315356771</v>
      </c>
      <c r="P11" s="721"/>
      <c r="Q11" s="721"/>
      <c r="R11" s="721"/>
      <c r="S11" s="721"/>
      <c r="T11" s="721"/>
      <c r="U11" s="721"/>
      <c r="V11" s="721"/>
      <c r="W11" s="721"/>
      <c r="X11" s="721"/>
      <c r="Y11" s="721"/>
      <c r="Z11" s="721"/>
      <c r="AA11" s="741"/>
    </row>
    <row r="12" spans="1:27">
      <c r="A12" s="477" t="s">
        <v>546</v>
      </c>
      <c r="B12" s="478" t="s">
        <v>547</v>
      </c>
      <c r="C12" s="742">
        <f t="shared" ref="C12:C15" si="1">D12+H12+L12+T12</f>
        <v>272640543.17787743</v>
      </c>
      <c r="D12" s="721">
        <v>268906142.67230225</v>
      </c>
      <c r="E12" s="721">
        <v>100075.654317404</v>
      </c>
      <c r="F12" s="721">
        <v>0</v>
      </c>
      <c r="G12" s="721">
        <v>0</v>
      </c>
      <c r="H12" s="721">
        <v>2316752.755415088</v>
      </c>
      <c r="I12" s="721">
        <v>0</v>
      </c>
      <c r="J12" s="721">
        <v>184580.5183059854</v>
      </c>
      <c r="K12" s="721">
        <v>0</v>
      </c>
      <c r="L12" s="721">
        <v>1417647.7501601144</v>
      </c>
      <c r="M12" s="721">
        <v>0</v>
      </c>
      <c r="N12" s="721">
        <v>22763.846375207599</v>
      </c>
      <c r="O12" s="721">
        <v>1394883.9037849067</v>
      </c>
      <c r="P12" s="721"/>
      <c r="Q12" s="721"/>
      <c r="R12" s="721"/>
      <c r="S12" s="721"/>
      <c r="T12" s="721"/>
      <c r="U12" s="721"/>
      <c r="V12" s="721"/>
      <c r="W12" s="721"/>
      <c r="X12" s="721"/>
      <c r="Y12" s="721"/>
      <c r="Z12" s="721"/>
      <c r="AA12" s="741"/>
    </row>
    <row r="13" spans="1:27">
      <c r="A13" s="477" t="s">
        <v>548</v>
      </c>
      <c r="B13" s="478" t="s">
        <v>549</v>
      </c>
      <c r="C13" s="742">
        <f t="shared" si="1"/>
        <v>107641311.39269079</v>
      </c>
      <c r="D13" s="721">
        <v>106132801.86864121</v>
      </c>
      <c r="E13" s="721">
        <v>88432.32984541959</v>
      </c>
      <c r="F13" s="721">
        <v>0</v>
      </c>
      <c r="G13" s="721">
        <v>0</v>
      </c>
      <c r="H13" s="721">
        <v>1364857.0505188603</v>
      </c>
      <c r="I13" s="721">
        <v>47586.545063906298</v>
      </c>
      <c r="J13" s="721">
        <v>475048.54357893707</v>
      </c>
      <c r="K13" s="721">
        <v>0</v>
      </c>
      <c r="L13" s="721">
        <v>143652.47353071999</v>
      </c>
      <c r="M13" s="721">
        <v>0</v>
      </c>
      <c r="N13" s="721">
        <v>0</v>
      </c>
      <c r="O13" s="721">
        <v>143652.47353071999</v>
      </c>
      <c r="P13" s="721"/>
      <c r="Q13" s="721"/>
      <c r="R13" s="721"/>
      <c r="S13" s="721"/>
      <c r="T13" s="721"/>
      <c r="U13" s="721"/>
      <c r="V13" s="721"/>
      <c r="W13" s="721"/>
      <c r="X13" s="721"/>
      <c r="Y13" s="721"/>
      <c r="Z13" s="721"/>
      <c r="AA13" s="741"/>
    </row>
    <row r="14" spans="1:27">
      <c r="A14" s="477" t="s">
        <v>550</v>
      </c>
      <c r="B14" s="478" t="s">
        <v>551</v>
      </c>
      <c r="C14" s="742">
        <f t="shared" si="1"/>
        <v>123793202.77095366</v>
      </c>
      <c r="D14" s="721">
        <v>116645816.72828896</v>
      </c>
      <c r="E14" s="721">
        <v>0</v>
      </c>
      <c r="F14" s="721">
        <v>0</v>
      </c>
      <c r="G14" s="721">
        <v>0</v>
      </c>
      <c r="H14" s="721">
        <v>5461603.8615310043</v>
      </c>
      <c r="I14" s="721">
        <v>0</v>
      </c>
      <c r="J14" s="721">
        <v>526096.04907474306</v>
      </c>
      <c r="K14" s="721">
        <v>526096.04907474306</v>
      </c>
      <c r="L14" s="721">
        <v>1685782.1811336817</v>
      </c>
      <c r="M14" s="721">
        <v>0</v>
      </c>
      <c r="N14" s="721">
        <v>0</v>
      </c>
      <c r="O14" s="721">
        <v>1685782.1811336817</v>
      </c>
      <c r="P14" s="721"/>
      <c r="Q14" s="721"/>
      <c r="R14" s="721"/>
      <c r="S14" s="721"/>
      <c r="T14" s="721"/>
      <c r="U14" s="721"/>
      <c r="V14" s="721"/>
      <c r="W14" s="721"/>
      <c r="X14" s="721"/>
      <c r="Y14" s="721"/>
      <c r="Z14" s="721"/>
      <c r="AA14" s="741"/>
    </row>
    <row r="15" spans="1:27">
      <c r="A15" s="476">
        <v>1.2</v>
      </c>
      <c r="B15" s="474" t="s">
        <v>863</v>
      </c>
      <c r="C15" s="742">
        <f t="shared" si="1"/>
        <v>9322007.5544102844</v>
      </c>
      <c r="D15" s="721">
        <v>4891265.0736746052</v>
      </c>
      <c r="E15" s="721">
        <v>294336.16231013025</v>
      </c>
      <c r="F15" s="721">
        <v>0</v>
      </c>
      <c r="G15" s="721">
        <v>0</v>
      </c>
      <c r="H15" s="721">
        <v>2152173.1598756649</v>
      </c>
      <c r="I15" s="721">
        <v>64271.327244792956</v>
      </c>
      <c r="J15" s="721">
        <v>820928.30960285116</v>
      </c>
      <c r="K15" s="721">
        <v>0</v>
      </c>
      <c r="L15" s="721">
        <v>2278569.3208600143</v>
      </c>
      <c r="M15" s="721">
        <v>1139.2643442638669</v>
      </c>
      <c r="N15" s="721">
        <v>154844.08011191379</v>
      </c>
      <c r="O15" s="721">
        <v>1840193.3131455351</v>
      </c>
      <c r="P15" s="721"/>
      <c r="Q15" s="721"/>
      <c r="R15" s="721"/>
      <c r="S15" s="721"/>
      <c r="T15" s="721"/>
      <c r="U15" s="721"/>
      <c r="V15" s="721"/>
      <c r="W15" s="721"/>
      <c r="X15" s="721"/>
      <c r="Y15" s="721"/>
      <c r="Z15" s="721"/>
      <c r="AA15" s="741"/>
    </row>
    <row r="16" spans="1:27">
      <c r="A16" s="475">
        <v>1.3</v>
      </c>
      <c r="B16" s="474" t="s">
        <v>552</v>
      </c>
      <c r="C16" s="744"/>
      <c r="D16" s="745"/>
      <c r="E16" s="745"/>
      <c r="F16" s="745"/>
      <c r="G16" s="745"/>
      <c r="H16" s="745"/>
      <c r="I16" s="745"/>
      <c r="J16" s="745"/>
      <c r="K16" s="745"/>
      <c r="L16" s="745"/>
      <c r="M16" s="745"/>
      <c r="N16" s="745"/>
      <c r="O16" s="745"/>
      <c r="P16" s="745"/>
      <c r="Q16" s="745"/>
      <c r="R16" s="745"/>
      <c r="S16" s="745"/>
      <c r="T16" s="745"/>
      <c r="U16" s="745"/>
      <c r="V16" s="745"/>
      <c r="W16" s="745"/>
      <c r="X16" s="745"/>
      <c r="Y16" s="745"/>
      <c r="Z16" s="745"/>
      <c r="AA16" s="746"/>
    </row>
    <row r="17" spans="1:27" ht="24">
      <c r="A17" s="471" t="s">
        <v>553</v>
      </c>
      <c r="B17" s="473" t="s">
        <v>554</v>
      </c>
      <c r="C17" s="740">
        <f>D17+H17+L17+T17</f>
        <v>1267076066.8534625</v>
      </c>
      <c r="D17" s="721">
        <v>1241364054.3615253</v>
      </c>
      <c r="E17" s="721">
        <v>2136136.5998612172</v>
      </c>
      <c r="F17" s="721">
        <v>0</v>
      </c>
      <c r="G17" s="721">
        <v>0</v>
      </c>
      <c r="H17" s="721">
        <v>20013066.537965409</v>
      </c>
      <c r="I17" s="721">
        <v>248187.59081723297</v>
      </c>
      <c r="J17" s="721">
        <v>2856193.6758229234</v>
      </c>
      <c r="K17" s="721">
        <v>0</v>
      </c>
      <c r="L17" s="721">
        <v>5698945.9539719382</v>
      </c>
      <c r="M17" s="721">
        <v>1446.8027426629301</v>
      </c>
      <c r="N17" s="721">
        <v>279500.36084617174</v>
      </c>
      <c r="O17" s="721">
        <v>4893709.9666601093</v>
      </c>
      <c r="P17" s="721">
        <v>0</v>
      </c>
      <c r="Q17" s="721">
        <v>0</v>
      </c>
      <c r="R17" s="721">
        <v>0</v>
      </c>
      <c r="S17" s="721">
        <v>0</v>
      </c>
      <c r="T17" s="721">
        <v>0</v>
      </c>
      <c r="U17" s="721">
        <v>0</v>
      </c>
      <c r="V17" s="721"/>
      <c r="W17" s="721"/>
      <c r="X17" s="721"/>
      <c r="Y17" s="721"/>
      <c r="Z17" s="721"/>
      <c r="AA17" s="741"/>
    </row>
    <row r="18" spans="1:27" ht="24">
      <c r="A18" s="469" t="s">
        <v>555</v>
      </c>
      <c r="B18" s="470" t="s">
        <v>556</v>
      </c>
      <c r="C18" s="740">
        <f t="shared" ref="C18:C22" si="2">D18+H18+L18+T18</f>
        <v>1127155305.5131011</v>
      </c>
      <c r="D18" s="721">
        <v>1106075266.9473248</v>
      </c>
      <c r="E18" s="721">
        <v>1282675.3760681553</v>
      </c>
      <c r="F18" s="721">
        <v>0</v>
      </c>
      <c r="G18" s="721">
        <v>0</v>
      </c>
      <c r="H18" s="721">
        <v>17558820.737271357</v>
      </c>
      <c r="I18" s="721">
        <v>172856.77995713922</v>
      </c>
      <c r="J18" s="721">
        <v>1904986.1883210628</v>
      </c>
      <c r="K18" s="721">
        <v>0</v>
      </c>
      <c r="L18" s="721">
        <v>3521217.8285050476</v>
      </c>
      <c r="M18" s="721">
        <v>0</v>
      </c>
      <c r="N18" s="721">
        <v>133394.69500542938</v>
      </c>
      <c r="O18" s="721">
        <v>3205456.9761102451</v>
      </c>
      <c r="P18" s="721">
        <v>0</v>
      </c>
      <c r="Q18" s="721">
        <v>0</v>
      </c>
      <c r="R18" s="721">
        <v>0</v>
      </c>
      <c r="S18" s="721">
        <v>0</v>
      </c>
      <c r="T18" s="721">
        <v>0</v>
      </c>
      <c r="U18" s="721">
        <v>0</v>
      </c>
      <c r="V18" s="721"/>
      <c r="W18" s="721"/>
      <c r="X18" s="721"/>
      <c r="Y18" s="721"/>
      <c r="Z18" s="721"/>
      <c r="AA18" s="741"/>
    </row>
    <row r="19" spans="1:27">
      <c r="A19" s="471" t="s">
        <v>557</v>
      </c>
      <c r="B19" s="472" t="s">
        <v>558</v>
      </c>
      <c r="C19" s="740">
        <f t="shared" si="2"/>
        <v>1629827973.1032691</v>
      </c>
      <c r="D19" s="721">
        <v>1610630787.873059</v>
      </c>
      <c r="E19" s="721">
        <v>3098741.3692383477</v>
      </c>
      <c r="F19" s="721">
        <v>0</v>
      </c>
      <c r="G19" s="721">
        <v>0</v>
      </c>
      <c r="H19" s="721">
        <v>15499075.472435765</v>
      </c>
      <c r="I19" s="721">
        <v>206669.14747188933</v>
      </c>
      <c r="J19" s="721">
        <v>1973169.4440654386</v>
      </c>
      <c r="K19" s="721">
        <v>0</v>
      </c>
      <c r="L19" s="721">
        <v>3698109.7577743279</v>
      </c>
      <c r="M19" s="721">
        <v>34953.197257337</v>
      </c>
      <c r="N19" s="721">
        <v>212844.08748600644</v>
      </c>
      <c r="O19" s="721">
        <v>2633201.6440355494</v>
      </c>
      <c r="P19" s="721">
        <v>0</v>
      </c>
      <c r="Q19" s="721">
        <v>0</v>
      </c>
      <c r="R19" s="721">
        <v>0</v>
      </c>
      <c r="S19" s="721">
        <v>0</v>
      </c>
      <c r="T19" s="721">
        <v>0</v>
      </c>
      <c r="U19" s="721">
        <v>0</v>
      </c>
      <c r="V19" s="721"/>
      <c r="W19" s="721"/>
      <c r="X19" s="721"/>
      <c r="Y19" s="721"/>
      <c r="Z19" s="721"/>
      <c r="AA19" s="741"/>
    </row>
    <row r="20" spans="1:27">
      <c r="A20" s="469" t="s">
        <v>559</v>
      </c>
      <c r="B20" s="470" t="s">
        <v>560</v>
      </c>
      <c r="C20" s="740">
        <f t="shared" si="2"/>
        <v>1475255222.7787917</v>
      </c>
      <c r="D20" s="721">
        <v>1458972530.5824206</v>
      </c>
      <c r="E20" s="721">
        <v>2436839.47493141</v>
      </c>
      <c r="F20" s="721">
        <v>0</v>
      </c>
      <c r="G20" s="721">
        <v>0</v>
      </c>
      <c r="H20" s="721">
        <v>13840378.065529827</v>
      </c>
      <c r="I20" s="721">
        <v>170239.95833198307</v>
      </c>
      <c r="J20" s="721">
        <v>1575628.9315672999</v>
      </c>
      <c r="K20" s="721">
        <v>0</v>
      </c>
      <c r="L20" s="721">
        <v>2442314.1308412198</v>
      </c>
      <c r="M20" s="721">
        <v>0</v>
      </c>
      <c r="N20" s="721">
        <v>118739.75332674867</v>
      </c>
      <c r="O20" s="721">
        <v>1699860.8821854177</v>
      </c>
      <c r="P20" s="721">
        <v>0</v>
      </c>
      <c r="Q20" s="721">
        <v>0</v>
      </c>
      <c r="R20" s="721">
        <v>0</v>
      </c>
      <c r="S20" s="721">
        <v>0</v>
      </c>
      <c r="T20" s="721">
        <v>0</v>
      </c>
      <c r="U20" s="721">
        <v>0</v>
      </c>
      <c r="V20" s="721"/>
      <c r="W20" s="721"/>
      <c r="X20" s="721"/>
      <c r="Y20" s="721"/>
      <c r="Z20" s="721"/>
      <c r="AA20" s="741"/>
    </row>
    <row r="21" spans="1:27">
      <c r="A21" s="468">
        <v>1.4</v>
      </c>
      <c r="B21" s="467" t="s">
        <v>649</v>
      </c>
      <c r="C21" s="740">
        <f t="shared" si="2"/>
        <v>36871.54844534181</v>
      </c>
      <c r="D21" s="721">
        <v>36871.54844534181</v>
      </c>
      <c r="E21" s="721">
        <v>0</v>
      </c>
      <c r="F21" s="721">
        <v>0</v>
      </c>
      <c r="G21" s="721">
        <v>0</v>
      </c>
      <c r="H21" s="721"/>
      <c r="I21" s="721"/>
      <c r="J21" s="721"/>
      <c r="K21" s="721">
        <v>0</v>
      </c>
      <c r="L21" s="721">
        <v>0</v>
      </c>
      <c r="M21" s="721">
        <v>0</v>
      </c>
      <c r="N21" s="721">
        <v>0</v>
      </c>
      <c r="O21" s="721">
        <v>0</v>
      </c>
      <c r="P21" s="721">
        <v>0</v>
      </c>
      <c r="Q21" s="721">
        <v>0</v>
      </c>
      <c r="R21" s="721">
        <v>0</v>
      </c>
      <c r="S21" s="721">
        <v>0</v>
      </c>
      <c r="T21" s="721">
        <v>0</v>
      </c>
      <c r="U21" s="721">
        <v>0</v>
      </c>
      <c r="V21" s="721"/>
      <c r="W21" s="721"/>
      <c r="X21" s="721"/>
      <c r="Y21" s="721"/>
      <c r="Z21" s="721"/>
      <c r="AA21" s="741"/>
    </row>
    <row r="22" spans="1:27" ht="12.6" thickBot="1">
      <c r="A22" s="466">
        <v>1.5</v>
      </c>
      <c r="B22" s="465" t="s">
        <v>650</v>
      </c>
      <c r="C22" s="740">
        <f t="shared" si="2"/>
        <v>0</v>
      </c>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O72"/>
  <sheetViews>
    <sheetView topLeftCell="A40" zoomScale="90" zoomScaleNormal="90" workbookViewId="0">
      <selection activeCell="C51" sqref="C51:D51"/>
    </sheetView>
  </sheetViews>
  <sheetFormatPr defaultRowHeight="14.4"/>
  <cols>
    <col min="1" max="1" width="8.77734375" style="390"/>
    <col min="2" max="2" width="69.21875" style="364" customWidth="1"/>
    <col min="3" max="3" width="17.88671875" bestFit="1" customWidth="1"/>
    <col min="4" max="5" width="15" bestFit="1" customWidth="1"/>
    <col min="6" max="6" width="16.6640625" bestFit="1" customWidth="1"/>
    <col min="7" max="7" width="13.21875" customWidth="1"/>
    <col min="8" max="8" width="15" bestFit="1" customWidth="1"/>
    <col min="10" max="12" width="17.77734375" bestFit="1" customWidth="1"/>
    <col min="13" max="15" width="9" bestFit="1" customWidth="1"/>
  </cols>
  <sheetData>
    <row r="1" spans="1:15">
      <c r="A1" s="13" t="s">
        <v>97</v>
      </c>
      <c r="B1" s="248" t="str">
        <f>Info!C2</f>
        <v>სს "კრედო ბანკი"</v>
      </c>
      <c r="C1" s="12"/>
      <c r="D1" s="1"/>
      <c r="E1" s="1"/>
      <c r="F1" s="1"/>
      <c r="G1" s="1"/>
    </row>
    <row r="2" spans="1:15">
      <c r="A2" s="13" t="s">
        <v>98</v>
      </c>
      <c r="B2" s="274">
        <f>'1. key ratios'!B2</f>
        <v>46022</v>
      </c>
      <c r="C2" s="12"/>
      <c r="D2" s="1"/>
      <c r="E2" s="1"/>
      <c r="F2" s="1"/>
      <c r="G2" s="1"/>
    </row>
    <row r="3" spans="1:15">
      <c r="A3" s="13"/>
      <c r="B3" s="12"/>
      <c r="C3" s="12"/>
      <c r="D3" s="1"/>
      <c r="E3" s="1"/>
      <c r="F3" s="1"/>
      <c r="G3" s="1"/>
    </row>
    <row r="4" spans="1:15" ht="21" customHeight="1">
      <c r="A4" s="791" t="s">
        <v>25</v>
      </c>
      <c r="B4" s="792" t="s">
        <v>697</v>
      </c>
      <c r="C4" s="794" t="s">
        <v>103</v>
      </c>
      <c r="D4" s="794"/>
      <c r="E4" s="794"/>
      <c r="F4" s="794" t="s">
        <v>104</v>
      </c>
      <c r="G4" s="794"/>
      <c r="H4" s="795"/>
    </row>
    <row r="5" spans="1:15" ht="21" customHeight="1">
      <c r="A5" s="791"/>
      <c r="B5" s="793"/>
      <c r="C5" s="336" t="s">
        <v>26</v>
      </c>
      <c r="D5" s="336" t="s">
        <v>77</v>
      </c>
      <c r="E5" s="336" t="s">
        <v>66</v>
      </c>
      <c r="F5" s="336" t="s">
        <v>26</v>
      </c>
      <c r="G5" s="336" t="s">
        <v>77</v>
      </c>
      <c r="H5" s="336" t="s">
        <v>66</v>
      </c>
    </row>
    <row r="6" spans="1:15" ht="26.55" customHeight="1">
      <c r="A6" s="791"/>
      <c r="B6" s="337" t="s">
        <v>84</v>
      </c>
      <c r="C6" s="785"/>
      <c r="D6" s="786"/>
      <c r="E6" s="786"/>
      <c r="F6" s="786"/>
      <c r="G6" s="786"/>
      <c r="H6" s="787"/>
    </row>
    <row r="7" spans="1:15" ht="22.95" customHeight="1">
      <c r="A7" s="379">
        <v>1</v>
      </c>
      <c r="B7" s="338" t="s">
        <v>811</v>
      </c>
      <c r="C7" s="656">
        <f>SUM(C8:C10)</f>
        <v>336281160.34999996</v>
      </c>
      <c r="D7" s="656">
        <f>SUM(D8:D10)</f>
        <v>267496923.38146052</v>
      </c>
      <c r="E7" s="657">
        <f>C7+D7</f>
        <v>603778083.73146045</v>
      </c>
      <c r="F7" s="656">
        <f>SUM(F8:F10)</f>
        <v>193809112.13999999</v>
      </c>
      <c r="G7" s="656">
        <f>SUM(G8:G10)</f>
        <v>193960662.11640656</v>
      </c>
      <c r="H7" s="657">
        <f>F7+G7</f>
        <v>387769774.25640655</v>
      </c>
      <c r="K7" s="739"/>
      <c r="L7" s="739"/>
      <c r="M7" s="739"/>
      <c r="N7" s="739"/>
      <c r="O7" s="739"/>
    </row>
    <row r="8" spans="1:15">
      <c r="A8" s="379">
        <v>1.1000000000000001</v>
      </c>
      <c r="B8" s="340" t="s">
        <v>85</v>
      </c>
      <c r="C8" s="660">
        <v>57944442.269999996</v>
      </c>
      <c r="D8" s="660">
        <v>40527390.599999994</v>
      </c>
      <c r="E8" s="657">
        <f t="shared" ref="E8:E36" si="0">C8+D8</f>
        <v>98471832.86999999</v>
      </c>
      <c r="F8" s="654">
        <v>58820315.449999996</v>
      </c>
      <c r="G8" s="654">
        <v>50104169.080000006</v>
      </c>
      <c r="H8" s="657">
        <f t="shared" ref="H8:H36" si="1">F8+G8</f>
        <v>108924484.53</v>
      </c>
      <c r="J8" s="739"/>
      <c r="K8" s="739"/>
      <c r="L8" s="739"/>
      <c r="M8" s="739"/>
      <c r="N8" s="739"/>
      <c r="O8" s="739"/>
    </row>
    <row r="9" spans="1:15">
      <c r="A9" s="379">
        <v>1.2</v>
      </c>
      <c r="B9" s="340" t="s">
        <v>86</v>
      </c>
      <c r="C9" s="660">
        <v>257629621.32999998</v>
      </c>
      <c r="D9" s="660">
        <v>65541236.640000045</v>
      </c>
      <c r="E9" s="657">
        <f t="shared" si="0"/>
        <v>323170857.97000003</v>
      </c>
      <c r="F9" s="654">
        <v>129987638.28</v>
      </c>
      <c r="G9" s="654">
        <v>54120387.800000012</v>
      </c>
      <c r="H9" s="657">
        <f t="shared" si="1"/>
        <v>184108026.08000001</v>
      </c>
      <c r="J9" s="739"/>
      <c r="K9" s="739"/>
      <c r="L9" s="739"/>
      <c r="M9" s="739"/>
      <c r="N9" s="739"/>
      <c r="O9" s="739"/>
    </row>
    <row r="10" spans="1:15">
      <c r="A10" s="379">
        <v>1.3</v>
      </c>
      <c r="B10" s="340" t="s">
        <v>87</v>
      </c>
      <c r="C10" s="660">
        <v>20707096.75</v>
      </c>
      <c r="D10" s="660">
        <v>161428296.14146048</v>
      </c>
      <c r="E10" s="657">
        <f t="shared" si="0"/>
        <v>182135392.89146048</v>
      </c>
      <c r="F10" s="654">
        <v>5001158.41</v>
      </c>
      <c r="G10" s="654">
        <v>89736105.236406535</v>
      </c>
      <c r="H10" s="657">
        <f t="shared" si="1"/>
        <v>94737263.646406531</v>
      </c>
      <c r="J10" s="739"/>
      <c r="K10" s="739"/>
      <c r="L10" s="739"/>
      <c r="M10" s="739"/>
      <c r="N10" s="739"/>
      <c r="O10" s="739"/>
    </row>
    <row r="11" spans="1:15">
      <c r="A11" s="379">
        <v>2</v>
      </c>
      <c r="B11" s="341" t="s">
        <v>698</v>
      </c>
      <c r="C11" s="660">
        <v>584722.38</v>
      </c>
      <c r="D11" s="660"/>
      <c r="E11" s="657">
        <f t="shared" si="0"/>
        <v>584722.38</v>
      </c>
      <c r="F11" s="654">
        <v>566676.57999999996</v>
      </c>
      <c r="G11" s="585"/>
      <c r="H11" s="657">
        <f t="shared" si="1"/>
        <v>566676.57999999996</v>
      </c>
      <c r="J11" s="739"/>
      <c r="K11" s="739"/>
      <c r="L11" s="739"/>
      <c r="M11" s="739"/>
      <c r="N11" s="739"/>
      <c r="O11" s="739"/>
    </row>
    <row r="12" spans="1:15">
      <c r="A12" s="379">
        <v>2.1</v>
      </c>
      <c r="B12" s="342" t="s">
        <v>699</v>
      </c>
      <c r="C12" s="660">
        <v>584722.38</v>
      </c>
      <c r="D12" s="660"/>
      <c r="E12" s="657">
        <f t="shared" si="0"/>
        <v>584722.38</v>
      </c>
      <c r="F12" s="654">
        <v>566676.57999999996</v>
      </c>
      <c r="G12" s="585"/>
      <c r="H12" s="657">
        <f t="shared" si="1"/>
        <v>566676.57999999996</v>
      </c>
      <c r="J12" s="739"/>
      <c r="K12" s="739"/>
      <c r="L12" s="739"/>
      <c r="M12" s="739"/>
      <c r="N12" s="739"/>
      <c r="O12" s="739"/>
    </row>
    <row r="13" spans="1:15" ht="26.55" customHeight="1">
      <c r="A13" s="379">
        <v>3</v>
      </c>
      <c r="B13" s="343" t="s">
        <v>700</v>
      </c>
      <c r="C13" s="660"/>
      <c r="D13" s="660"/>
      <c r="E13" s="657">
        <f t="shared" si="0"/>
        <v>0</v>
      </c>
      <c r="F13" s="339"/>
      <c r="G13" s="339"/>
      <c r="H13" s="657">
        <f t="shared" si="1"/>
        <v>0</v>
      </c>
      <c r="J13" s="739"/>
      <c r="K13" s="739"/>
      <c r="L13" s="739"/>
      <c r="M13" s="739"/>
      <c r="N13" s="739"/>
      <c r="O13" s="739"/>
    </row>
    <row r="14" spans="1:15" ht="26.55" customHeight="1">
      <c r="A14" s="379">
        <v>4</v>
      </c>
      <c r="B14" s="344" t="s">
        <v>701</v>
      </c>
      <c r="C14" s="660"/>
      <c r="D14" s="660"/>
      <c r="E14" s="657">
        <f t="shared" si="0"/>
        <v>0</v>
      </c>
      <c r="F14" s="339"/>
      <c r="G14" s="339"/>
      <c r="H14" s="657">
        <f t="shared" si="1"/>
        <v>0</v>
      </c>
      <c r="J14" s="739"/>
      <c r="K14" s="739"/>
      <c r="L14" s="739"/>
      <c r="M14" s="739"/>
      <c r="N14" s="739"/>
      <c r="O14" s="739"/>
    </row>
    <row r="15" spans="1:15" ht="24.45" customHeight="1">
      <c r="A15" s="379">
        <v>5</v>
      </c>
      <c r="B15" s="344" t="s">
        <v>702</v>
      </c>
      <c r="C15" s="664">
        <f>SUM(C16:C18)</f>
        <v>0</v>
      </c>
      <c r="D15" s="664">
        <f>SUM(D16:D18)</f>
        <v>0</v>
      </c>
      <c r="E15" s="658">
        <f t="shared" si="0"/>
        <v>0</v>
      </c>
      <c r="F15" s="664">
        <f>SUM(F16:F18)</f>
        <v>0</v>
      </c>
      <c r="G15" s="664">
        <f>SUM(G16:G18)</f>
        <v>0</v>
      </c>
      <c r="H15" s="658">
        <f t="shared" si="1"/>
        <v>0</v>
      </c>
      <c r="J15" s="739"/>
      <c r="K15" s="739"/>
      <c r="L15" s="739"/>
      <c r="M15" s="739"/>
      <c r="N15" s="739"/>
      <c r="O15" s="739"/>
    </row>
    <row r="16" spans="1:15">
      <c r="A16" s="379">
        <v>5.0999999999999996</v>
      </c>
      <c r="B16" s="345" t="s">
        <v>703</v>
      </c>
      <c r="C16" s="660"/>
      <c r="D16" s="660"/>
      <c r="E16" s="657">
        <f t="shared" si="0"/>
        <v>0</v>
      </c>
      <c r="F16" s="339"/>
      <c r="G16" s="339"/>
      <c r="H16" s="657">
        <f t="shared" si="1"/>
        <v>0</v>
      </c>
      <c r="J16" s="739"/>
      <c r="K16" s="739"/>
      <c r="L16" s="739"/>
      <c r="M16" s="739"/>
      <c r="N16" s="739"/>
      <c r="O16" s="739"/>
    </row>
    <row r="17" spans="1:15">
      <c r="A17" s="379">
        <v>5.2</v>
      </c>
      <c r="B17" s="345" t="s">
        <v>538</v>
      </c>
      <c r="C17" s="660"/>
      <c r="D17" s="660"/>
      <c r="E17" s="657">
        <f t="shared" si="0"/>
        <v>0</v>
      </c>
      <c r="F17" s="339"/>
      <c r="G17" s="339"/>
      <c r="H17" s="657">
        <f t="shared" si="1"/>
        <v>0</v>
      </c>
      <c r="J17" s="739"/>
      <c r="K17" s="739"/>
      <c r="L17" s="739"/>
      <c r="M17" s="739"/>
      <c r="N17" s="739"/>
      <c r="O17" s="739"/>
    </row>
    <row r="18" spans="1:15">
      <c r="A18" s="379">
        <v>5.3</v>
      </c>
      <c r="B18" s="345" t="s">
        <v>704</v>
      </c>
      <c r="C18" s="660"/>
      <c r="D18" s="660"/>
      <c r="E18" s="657">
        <f t="shared" si="0"/>
        <v>0</v>
      </c>
      <c r="F18" s="339"/>
      <c r="G18" s="339"/>
      <c r="H18" s="657">
        <f t="shared" si="1"/>
        <v>0</v>
      </c>
      <c r="J18" s="739"/>
      <c r="K18" s="739"/>
      <c r="L18" s="739"/>
      <c r="M18" s="739"/>
      <c r="N18" s="739"/>
      <c r="O18" s="739"/>
    </row>
    <row r="19" spans="1:15">
      <c r="A19" s="379">
        <v>6</v>
      </c>
      <c r="B19" s="343" t="s">
        <v>705</v>
      </c>
      <c r="C19" s="656">
        <f>SUM(C20:C21)</f>
        <v>2810796120.9858699</v>
      </c>
      <c r="D19" s="656">
        <f>SUM(D20:D21)</f>
        <v>329865125.73600912</v>
      </c>
      <c r="E19" s="657">
        <f t="shared" si="0"/>
        <v>3140661246.721879</v>
      </c>
      <c r="F19" s="656">
        <f>SUM(F20:F21)</f>
        <v>2284809885.2873859</v>
      </c>
      <c r="G19" s="656">
        <f>SUM(G20:G21)</f>
        <v>262596262.50021744</v>
      </c>
      <c r="H19" s="657">
        <f t="shared" si="1"/>
        <v>2547406147.7876034</v>
      </c>
      <c r="J19" s="739"/>
      <c r="K19" s="739"/>
      <c r="L19" s="739"/>
      <c r="M19" s="739"/>
      <c r="N19" s="739"/>
      <c r="O19" s="739"/>
    </row>
    <row r="20" spans="1:15">
      <c r="A20" s="379">
        <v>6.1</v>
      </c>
      <c r="B20" s="345" t="s">
        <v>538</v>
      </c>
      <c r="C20" s="660">
        <v>68081706.859999985</v>
      </c>
      <c r="D20" s="660"/>
      <c r="E20" s="657">
        <f t="shared" si="0"/>
        <v>68081706.859999985</v>
      </c>
      <c r="F20" s="654">
        <v>57522454.370000005</v>
      </c>
      <c r="G20" s="654"/>
      <c r="H20" s="657">
        <f t="shared" si="1"/>
        <v>57522454.370000005</v>
      </c>
      <c r="J20" s="739"/>
      <c r="K20" s="739"/>
      <c r="L20" s="739"/>
      <c r="M20" s="739"/>
      <c r="N20" s="739"/>
      <c r="O20" s="739"/>
    </row>
    <row r="21" spans="1:15">
      <c r="A21" s="379">
        <v>6.2</v>
      </c>
      <c r="B21" s="345" t="s">
        <v>704</v>
      </c>
      <c r="C21" s="660">
        <v>2742714414.1258698</v>
      </c>
      <c r="D21" s="660">
        <v>329865125.73600912</v>
      </c>
      <c r="E21" s="657">
        <f t="shared" si="0"/>
        <v>3072579539.8618789</v>
      </c>
      <c r="F21" s="654">
        <v>2227287430.9173861</v>
      </c>
      <c r="G21" s="654">
        <v>262596262.50021744</v>
      </c>
      <c r="H21" s="657">
        <f t="shared" si="1"/>
        <v>2489883693.4176035</v>
      </c>
      <c r="J21" s="739"/>
      <c r="K21" s="739"/>
      <c r="L21" s="739"/>
      <c r="M21" s="739"/>
      <c r="N21" s="739"/>
      <c r="O21" s="739"/>
    </row>
    <row r="22" spans="1:15">
      <c r="A22" s="379">
        <v>7</v>
      </c>
      <c r="B22" s="346" t="s">
        <v>706</v>
      </c>
      <c r="C22" s="660">
        <v>3680542.15</v>
      </c>
      <c r="D22" s="660"/>
      <c r="E22" s="657">
        <f t="shared" si="0"/>
        <v>3680542.15</v>
      </c>
      <c r="F22" s="654">
        <v>2463673.85</v>
      </c>
      <c r="G22" s="654"/>
      <c r="H22" s="657">
        <f t="shared" si="1"/>
        <v>2463673.85</v>
      </c>
      <c r="J22" s="739"/>
      <c r="K22" s="739"/>
      <c r="L22" s="739"/>
      <c r="M22" s="739"/>
      <c r="N22" s="739"/>
      <c r="O22" s="739"/>
    </row>
    <row r="23" spans="1:15">
      <c r="A23" s="379">
        <v>8</v>
      </c>
      <c r="B23" s="347" t="s">
        <v>707</v>
      </c>
      <c r="C23" s="660"/>
      <c r="D23" s="660"/>
      <c r="E23" s="657">
        <f t="shared" si="0"/>
        <v>0</v>
      </c>
      <c r="F23" s="339"/>
      <c r="G23" s="339"/>
      <c r="H23" s="657">
        <f t="shared" si="1"/>
        <v>0</v>
      </c>
      <c r="J23" s="739"/>
      <c r="K23" s="739"/>
      <c r="L23" s="739"/>
      <c r="M23" s="739"/>
      <c r="N23" s="739"/>
      <c r="O23" s="739"/>
    </row>
    <row r="24" spans="1:15">
      <c r="A24" s="379">
        <v>9</v>
      </c>
      <c r="B24" s="344" t="s">
        <v>708</v>
      </c>
      <c r="C24" s="655">
        <f>SUM(C25:C26)</f>
        <v>55533762.390000008</v>
      </c>
      <c r="D24" s="655">
        <f>SUM(D25:D26)</f>
        <v>0</v>
      </c>
      <c r="E24" s="657">
        <f t="shared" si="0"/>
        <v>55533762.390000008</v>
      </c>
      <c r="F24" s="656">
        <f>SUM(F25:F26)</f>
        <v>50821188.330000006</v>
      </c>
      <c r="G24" s="656">
        <f>SUM(G25:G26)</f>
        <v>0</v>
      </c>
      <c r="H24" s="657">
        <f t="shared" si="1"/>
        <v>50821188.330000006</v>
      </c>
      <c r="J24" s="739"/>
      <c r="K24" s="739"/>
      <c r="L24" s="739"/>
      <c r="M24" s="739"/>
      <c r="N24" s="739"/>
      <c r="O24" s="739"/>
    </row>
    <row r="25" spans="1:15">
      <c r="A25" s="379">
        <v>9.1</v>
      </c>
      <c r="B25" s="348" t="s">
        <v>709</v>
      </c>
      <c r="C25" s="660">
        <v>55533762.390000008</v>
      </c>
      <c r="D25" s="660"/>
      <c r="E25" s="657">
        <f t="shared" si="0"/>
        <v>55533762.390000008</v>
      </c>
      <c r="F25" s="654">
        <v>50821188.330000006</v>
      </c>
      <c r="G25" s="339"/>
      <c r="H25" s="657">
        <f t="shared" si="1"/>
        <v>50821188.330000006</v>
      </c>
      <c r="J25" s="739"/>
      <c r="K25" s="739"/>
      <c r="L25" s="739"/>
      <c r="M25" s="739"/>
      <c r="N25" s="739"/>
      <c r="O25" s="739"/>
    </row>
    <row r="26" spans="1:15">
      <c r="A26" s="379">
        <v>9.1999999999999993</v>
      </c>
      <c r="B26" s="348" t="s">
        <v>710</v>
      </c>
      <c r="C26" s="660"/>
      <c r="D26" s="660"/>
      <c r="E26" s="657">
        <f t="shared" si="0"/>
        <v>0</v>
      </c>
      <c r="F26" s="339"/>
      <c r="G26" s="339"/>
      <c r="H26" s="657">
        <f t="shared" si="1"/>
        <v>0</v>
      </c>
      <c r="J26" s="739"/>
      <c r="K26" s="739"/>
      <c r="L26" s="739"/>
      <c r="M26" s="739"/>
      <c r="N26" s="739"/>
      <c r="O26" s="739"/>
    </row>
    <row r="27" spans="1:15">
      <c r="A27" s="379">
        <v>10</v>
      </c>
      <c r="B27" s="344" t="s">
        <v>36</v>
      </c>
      <c r="C27" s="656">
        <f>SUM(C28:C29)</f>
        <v>40661044.859999985</v>
      </c>
      <c r="D27" s="656">
        <f>SUM(D28:D29)</f>
        <v>0</v>
      </c>
      <c r="E27" s="657">
        <f t="shared" si="0"/>
        <v>40661044.859999985</v>
      </c>
      <c r="F27" s="656">
        <f>SUM(F28:F29)</f>
        <v>29954496.870000001</v>
      </c>
      <c r="G27" s="656">
        <f>SUM(G28:G29)</f>
        <v>0</v>
      </c>
      <c r="H27" s="657">
        <f t="shared" si="1"/>
        <v>29954496.870000001</v>
      </c>
      <c r="J27" s="739"/>
      <c r="K27" s="739"/>
      <c r="L27" s="739"/>
      <c r="M27" s="739"/>
      <c r="N27" s="739"/>
      <c r="O27" s="739"/>
    </row>
    <row r="28" spans="1:15">
      <c r="A28" s="379">
        <v>10.1</v>
      </c>
      <c r="B28" s="348" t="s">
        <v>711</v>
      </c>
      <c r="C28" s="660"/>
      <c r="D28" s="660"/>
      <c r="E28" s="657">
        <f t="shared" si="0"/>
        <v>0</v>
      </c>
      <c r="F28" s="339"/>
      <c r="G28" s="339"/>
      <c r="H28" s="657">
        <f t="shared" si="1"/>
        <v>0</v>
      </c>
      <c r="J28" s="739"/>
      <c r="K28" s="739"/>
      <c r="L28" s="739"/>
      <c r="M28" s="739"/>
      <c r="N28" s="739"/>
      <c r="O28" s="739"/>
    </row>
    <row r="29" spans="1:15">
      <c r="A29" s="379">
        <v>10.199999999999999</v>
      </c>
      <c r="B29" s="348" t="s">
        <v>712</v>
      </c>
      <c r="C29" s="660">
        <v>40661044.859999985</v>
      </c>
      <c r="D29" s="660"/>
      <c r="E29" s="657">
        <f t="shared" si="0"/>
        <v>40661044.859999985</v>
      </c>
      <c r="F29" s="660">
        <v>29954496.870000001</v>
      </c>
      <c r="G29" s="339"/>
      <c r="H29" s="657">
        <f t="shared" si="1"/>
        <v>29954496.870000001</v>
      </c>
      <c r="J29" s="739"/>
      <c r="K29" s="739"/>
      <c r="L29" s="739"/>
      <c r="M29" s="739"/>
      <c r="N29" s="739"/>
      <c r="O29" s="739"/>
    </row>
    <row r="30" spans="1:15">
      <c r="A30" s="379">
        <v>11</v>
      </c>
      <c r="B30" s="344" t="s">
        <v>713</v>
      </c>
      <c r="C30" s="656">
        <f>SUM(C31:C32)</f>
        <v>0</v>
      </c>
      <c r="D30" s="656">
        <f>SUM(D31:D32)</f>
        <v>0</v>
      </c>
      <c r="E30" s="657">
        <f t="shared" si="0"/>
        <v>0</v>
      </c>
      <c r="F30" s="660">
        <f>SUM(F31:F32)</f>
        <v>0</v>
      </c>
      <c r="G30" s="660">
        <f>SUM(G31:G32)</f>
        <v>0</v>
      </c>
      <c r="H30" s="657">
        <f t="shared" si="1"/>
        <v>0</v>
      </c>
      <c r="J30" s="739"/>
      <c r="K30" s="739"/>
      <c r="L30" s="739"/>
      <c r="M30" s="739"/>
      <c r="N30" s="739"/>
      <c r="O30" s="739"/>
    </row>
    <row r="31" spans="1:15">
      <c r="A31" s="379">
        <v>11.1</v>
      </c>
      <c r="B31" s="348" t="s">
        <v>714</v>
      </c>
      <c r="C31" s="660"/>
      <c r="D31" s="660"/>
      <c r="E31" s="657">
        <f t="shared" si="0"/>
        <v>0</v>
      </c>
      <c r="F31" s="339"/>
      <c r="G31" s="339"/>
      <c r="H31" s="657">
        <f t="shared" si="1"/>
        <v>0</v>
      </c>
      <c r="J31" s="739"/>
      <c r="K31" s="739"/>
      <c r="L31" s="739"/>
      <c r="M31" s="739"/>
      <c r="N31" s="739"/>
      <c r="O31" s="739"/>
    </row>
    <row r="32" spans="1:15">
      <c r="A32" s="379">
        <v>11.2</v>
      </c>
      <c r="B32" s="348" t="s">
        <v>715</v>
      </c>
      <c r="C32" s="660"/>
      <c r="D32" s="660"/>
      <c r="E32" s="657">
        <f t="shared" si="0"/>
        <v>0</v>
      </c>
      <c r="F32" s="339"/>
      <c r="G32" s="339"/>
      <c r="H32" s="657">
        <f t="shared" si="1"/>
        <v>0</v>
      </c>
      <c r="J32" s="739"/>
      <c r="K32" s="739"/>
      <c r="L32" s="739"/>
      <c r="M32" s="739"/>
      <c r="N32" s="739"/>
      <c r="O32" s="739"/>
    </row>
    <row r="33" spans="1:15">
      <c r="A33" s="379">
        <v>13</v>
      </c>
      <c r="B33" s="344" t="s">
        <v>88</v>
      </c>
      <c r="C33" s="656">
        <v>54538110.879999995</v>
      </c>
      <c r="D33" s="656">
        <v>4380539</v>
      </c>
      <c r="E33" s="657">
        <f t="shared" si="0"/>
        <v>58918649.879999995</v>
      </c>
      <c r="F33" s="656">
        <v>46699236.040000007</v>
      </c>
      <c r="G33" s="656">
        <v>3292567.84</v>
      </c>
      <c r="H33" s="657">
        <f t="shared" si="1"/>
        <v>49991803.88000001</v>
      </c>
      <c r="J33" s="739"/>
      <c r="K33" s="739"/>
      <c r="L33" s="739"/>
      <c r="M33" s="739"/>
      <c r="N33" s="739"/>
      <c r="O33" s="739"/>
    </row>
    <row r="34" spans="1:15">
      <c r="A34" s="379">
        <v>13.1</v>
      </c>
      <c r="B34" s="349" t="s">
        <v>716</v>
      </c>
      <c r="C34" s="660">
        <v>32854683.049999997</v>
      </c>
      <c r="D34" s="660"/>
      <c r="E34" s="657">
        <f t="shared" si="0"/>
        <v>32854683.049999997</v>
      </c>
      <c r="F34" s="660">
        <v>19110000.98</v>
      </c>
      <c r="G34" s="660"/>
      <c r="H34" s="657">
        <f t="shared" si="1"/>
        <v>19110000.98</v>
      </c>
      <c r="J34" s="739"/>
      <c r="K34" s="739"/>
      <c r="L34" s="739"/>
      <c r="M34" s="739"/>
      <c r="N34" s="739"/>
      <c r="O34" s="739"/>
    </row>
    <row r="35" spans="1:15">
      <c r="A35" s="379">
        <v>13.2</v>
      </c>
      <c r="B35" s="349" t="s">
        <v>717</v>
      </c>
      <c r="C35" s="660"/>
      <c r="D35" s="660"/>
      <c r="E35" s="657">
        <f t="shared" si="0"/>
        <v>0</v>
      </c>
      <c r="F35" s="339"/>
      <c r="G35" s="339"/>
      <c r="H35" s="657">
        <f t="shared" si="1"/>
        <v>0</v>
      </c>
      <c r="J35" s="739"/>
      <c r="K35" s="739"/>
      <c r="L35" s="739"/>
      <c r="M35" s="739"/>
      <c r="N35" s="739"/>
      <c r="O35" s="739"/>
    </row>
    <row r="36" spans="1:15">
      <c r="A36" s="379">
        <v>14</v>
      </c>
      <c r="B36" s="350" t="s">
        <v>718</v>
      </c>
      <c r="C36" s="656">
        <f>SUM(C7,C11,C13,C14,C15,C19,C22,C23,C24,C27,C30,C33)</f>
        <v>3302075463.9958701</v>
      </c>
      <c r="D36" s="656">
        <f>SUM(D7,D11,D13,D14,D15,D19,D22,D23,D24,D27,D30,D33)</f>
        <v>601742588.11746967</v>
      </c>
      <c r="E36" s="657">
        <f t="shared" si="0"/>
        <v>3903818052.1133399</v>
      </c>
      <c r="F36" s="656">
        <f>SUM(F7,F11,F13,F14,F15,F19,F22,F23,F24,F27,F30,F33)</f>
        <v>2609124269.0973854</v>
      </c>
      <c r="G36" s="656">
        <f>SUM(G7,G11,G13,G14,G15,G19,G22,G23,G24,G27,G30,G33)</f>
        <v>459849492.45662397</v>
      </c>
      <c r="H36" s="657">
        <f t="shared" si="1"/>
        <v>3068973761.5540094</v>
      </c>
      <c r="J36" s="739"/>
      <c r="K36" s="739"/>
      <c r="L36" s="739"/>
      <c r="M36" s="739"/>
      <c r="N36" s="739"/>
      <c r="O36" s="739"/>
    </row>
    <row r="37" spans="1:15" ht="22.5" customHeight="1">
      <c r="A37" s="379"/>
      <c r="B37" s="351" t="s">
        <v>93</v>
      </c>
      <c r="C37" s="785"/>
      <c r="D37" s="786"/>
      <c r="E37" s="786"/>
      <c r="F37" s="786"/>
      <c r="G37" s="786"/>
      <c r="H37" s="787"/>
      <c r="J37" s="739"/>
      <c r="K37" s="739"/>
      <c r="L37" s="739"/>
      <c r="M37" s="739"/>
      <c r="N37" s="739"/>
      <c r="O37" s="739"/>
    </row>
    <row r="38" spans="1:15">
      <c r="A38" s="379">
        <v>15</v>
      </c>
      <c r="B38" s="352" t="s">
        <v>719</v>
      </c>
      <c r="C38" s="661">
        <v>710699.44</v>
      </c>
      <c r="D38" s="353"/>
      <c r="E38" s="659">
        <f>C38+D38</f>
        <v>710699.44</v>
      </c>
      <c r="F38" s="661">
        <v>1571658.95</v>
      </c>
      <c r="G38" s="353"/>
      <c r="H38" s="659">
        <f>F38+G38</f>
        <v>1571658.95</v>
      </c>
      <c r="J38" s="739"/>
      <c r="K38" s="739"/>
      <c r="L38" s="739"/>
      <c r="M38" s="739"/>
      <c r="N38" s="739"/>
      <c r="O38" s="739"/>
    </row>
    <row r="39" spans="1:15">
      <c r="A39" s="379">
        <v>15.1</v>
      </c>
      <c r="B39" s="354" t="s">
        <v>699</v>
      </c>
      <c r="C39" s="661">
        <v>710699.44</v>
      </c>
      <c r="D39" s="353"/>
      <c r="E39" s="659">
        <f t="shared" ref="E39:E53" si="2">C39+D39</f>
        <v>710699.44</v>
      </c>
      <c r="F39" s="661">
        <v>1571658.95</v>
      </c>
      <c r="G39" s="353"/>
      <c r="H39" s="659">
        <f t="shared" ref="H39:H53" si="3">F39+G39</f>
        <v>1571658.95</v>
      </c>
      <c r="J39" s="739"/>
      <c r="K39" s="739"/>
      <c r="L39" s="739"/>
      <c r="M39" s="739"/>
      <c r="N39" s="739"/>
      <c r="O39" s="739"/>
    </row>
    <row r="40" spans="1:15" ht="24" customHeight="1">
      <c r="A40" s="379">
        <v>16</v>
      </c>
      <c r="B40" s="346" t="s">
        <v>720</v>
      </c>
      <c r="C40" s="353"/>
      <c r="D40" s="353"/>
      <c r="E40" s="659">
        <f t="shared" si="2"/>
        <v>0</v>
      </c>
      <c r="F40" s="353"/>
      <c r="G40" s="353"/>
      <c r="H40" s="659">
        <f t="shared" si="3"/>
        <v>0</v>
      </c>
      <c r="J40" s="739"/>
      <c r="K40" s="739"/>
      <c r="L40" s="739"/>
      <c r="M40" s="739"/>
      <c r="N40" s="739"/>
      <c r="O40" s="739"/>
    </row>
    <row r="41" spans="1:15">
      <c r="A41" s="379">
        <v>17</v>
      </c>
      <c r="B41" s="346" t="s">
        <v>721</v>
      </c>
      <c r="C41" s="663">
        <f>SUM(C42:C45)</f>
        <v>2305522914.1199999</v>
      </c>
      <c r="D41" s="663">
        <f>SUM(D42:D45)</f>
        <v>829865765.04000008</v>
      </c>
      <c r="E41" s="659">
        <f t="shared" si="2"/>
        <v>3135388679.1599998</v>
      </c>
      <c r="F41" s="662">
        <f>SUM(F42:F45)</f>
        <v>1846516107.6300149</v>
      </c>
      <c r="G41" s="662">
        <f>SUM(G42:G45)</f>
        <v>630990732.37190127</v>
      </c>
      <c r="H41" s="659">
        <f t="shared" si="3"/>
        <v>2477506840.0019159</v>
      </c>
      <c r="J41" s="739"/>
      <c r="K41" s="739"/>
      <c r="L41" s="739"/>
      <c r="M41" s="739"/>
      <c r="N41" s="739"/>
      <c r="O41" s="739"/>
    </row>
    <row r="42" spans="1:15">
      <c r="A42" s="379">
        <v>17.100000000000001</v>
      </c>
      <c r="B42" s="355" t="s">
        <v>722</v>
      </c>
      <c r="C42" s="661">
        <v>1252399882</v>
      </c>
      <c r="D42" s="661">
        <v>511069515</v>
      </c>
      <c r="E42" s="659">
        <f t="shared" si="2"/>
        <v>1763469397</v>
      </c>
      <c r="F42" s="654">
        <v>858108084.43001485</v>
      </c>
      <c r="G42" s="654">
        <v>395637166.81190133</v>
      </c>
      <c r="H42" s="659">
        <f t="shared" si="3"/>
        <v>1253745251.2419162</v>
      </c>
      <c r="J42" s="739"/>
      <c r="K42" s="739"/>
      <c r="L42" s="739"/>
      <c r="M42" s="739"/>
      <c r="N42" s="739"/>
      <c r="O42" s="739"/>
    </row>
    <row r="43" spans="1:15">
      <c r="A43" s="379">
        <v>17.2</v>
      </c>
      <c r="B43" s="356" t="s">
        <v>89</v>
      </c>
      <c r="C43" s="661">
        <v>1030953987.73</v>
      </c>
      <c r="D43" s="661">
        <v>315242574.62000012</v>
      </c>
      <c r="E43" s="659">
        <f t="shared" si="2"/>
        <v>1346196562.3500001</v>
      </c>
      <c r="F43" s="654">
        <v>970843752.55999994</v>
      </c>
      <c r="G43" s="654">
        <v>229576034</v>
      </c>
      <c r="H43" s="659">
        <f t="shared" si="3"/>
        <v>1200419786.5599999</v>
      </c>
      <c r="J43" s="739"/>
      <c r="K43" s="739"/>
      <c r="L43" s="739"/>
      <c r="M43" s="739"/>
      <c r="N43" s="739"/>
      <c r="O43" s="739"/>
    </row>
    <row r="44" spans="1:15">
      <c r="A44" s="379">
        <v>17.3</v>
      </c>
      <c r="B44" s="355" t="s">
        <v>723</v>
      </c>
      <c r="C44" s="661"/>
      <c r="D44" s="661"/>
      <c r="E44" s="659">
        <f t="shared" si="2"/>
        <v>0</v>
      </c>
      <c r="F44" s="654"/>
      <c r="G44" s="654"/>
      <c r="H44" s="659">
        <f t="shared" si="3"/>
        <v>0</v>
      </c>
      <c r="J44" s="739"/>
      <c r="K44" s="739"/>
      <c r="L44" s="739"/>
      <c r="M44" s="739"/>
      <c r="N44" s="739"/>
      <c r="O44" s="739"/>
    </row>
    <row r="45" spans="1:15">
      <c r="A45" s="379">
        <v>17.399999999999999</v>
      </c>
      <c r="B45" s="355" t="s">
        <v>724</v>
      </c>
      <c r="C45" s="661">
        <v>22169044.390000001</v>
      </c>
      <c r="D45" s="661">
        <v>3553675.42</v>
      </c>
      <c r="E45" s="659">
        <f t="shared" si="2"/>
        <v>25722719.810000002</v>
      </c>
      <c r="F45" s="654">
        <v>17564270.640000001</v>
      </c>
      <c r="G45" s="654">
        <v>5777531.5599999996</v>
      </c>
      <c r="H45" s="659">
        <f t="shared" si="3"/>
        <v>23341802.199999999</v>
      </c>
      <c r="J45" s="739"/>
      <c r="K45" s="739"/>
      <c r="L45" s="739"/>
      <c r="M45" s="739"/>
      <c r="N45" s="739"/>
      <c r="O45" s="739"/>
    </row>
    <row r="46" spans="1:15">
      <c r="A46" s="379">
        <v>18</v>
      </c>
      <c r="B46" s="344" t="s">
        <v>725</v>
      </c>
      <c r="C46" s="661">
        <v>2130807.94</v>
      </c>
      <c r="D46" s="661"/>
      <c r="E46" s="659">
        <f t="shared" si="2"/>
        <v>2130807.94</v>
      </c>
      <c r="F46" s="661">
        <v>777588.58</v>
      </c>
      <c r="G46" s="353"/>
      <c r="H46" s="659">
        <f t="shared" si="3"/>
        <v>777588.58</v>
      </c>
      <c r="J46" s="739"/>
      <c r="K46" s="739"/>
      <c r="L46" s="739"/>
      <c r="M46" s="739"/>
      <c r="N46" s="739"/>
      <c r="O46" s="739"/>
    </row>
    <row r="47" spans="1:15">
      <c r="A47" s="379">
        <v>19</v>
      </c>
      <c r="B47" s="344" t="s">
        <v>726</v>
      </c>
      <c r="C47" s="663">
        <f>SUM(C48:C49)</f>
        <v>9440614.3900000043</v>
      </c>
      <c r="D47" s="663">
        <f>SUM(D48:D49)</f>
        <v>0</v>
      </c>
      <c r="E47" s="659">
        <f t="shared" si="2"/>
        <v>9440614.3900000043</v>
      </c>
      <c r="F47" s="662">
        <f>SUM(F48:F49)</f>
        <v>11994737.749999989</v>
      </c>
      <c r="G47" s="353">
        <f>SUM(G48:G49)</f>
        <v>0</v>
      </c>
      <c r="H47" s="659">
        <f t="shared" si="3"/>
        <v>11994737.749999989</v>
      </c>
      <c r="J47" s="739"/>
      <c r="K47" s="739"/>
      <c r="L47" s="739"/>
      <c r="M47" s="739"/>
      <c r="N47" s="739"/>
      <c r="O47" s="739"/>
    </row>
    <row r="48" spans="1:15">
      <c r="A48" s="379">
        <v>19.100000000000001</v>
      </c>
      <c r="B48" s="357" t="s">
        <v>727</v>
      </c>
      <c r="C48" s="661">
        <v>2985916.9400000051</v>
      </c>
      <c r="D48" s="661"/>
      <c r="E48" s="659">
        <f t="shared" si="2"/>
        <v>2985916.9400000051</v>
      </c>
      <c r="F48" s="654">
        <v>6428919.5399999898</v>
      </c>
      <c r="G48" s="353"/>
      <c r="H48" s="659">
        <f t="shared" si="3"/>
        <v>6428919.5399999898</v>
      </c>
      <c r="J48" s="739"/>
      <c r="K48" s="739"/>
      <c r="L48" s="739"/>
      <c r="M48" s="739"/>
      <c r="N48" s="739"/>
      <c r="O48" s="739"/>
    </row>
    <row r="49" spans="1:15">
      <c r="A49" s="379">
        <v>19.2</v>
      </c>
      <c r="B49" s="358" t="s">
        <v>728</v>
      </c>
      <c r="C49" s="661">
        <v>6454697.4500000002</v>
      </c>
      <c r="D49" s="661"/>
      <c r="E49" s="659">
        <f t="shared" si="2"/>
        <v>6454697.4500000002</v>
      </c>
      <c r="F49" s="654">
        <v>5565818.21</v>
      </c>
      <c r="G49" s="353"/>
      <c r="H49" s="659">
        <f t="shared" si="3"/>
        <v>5565818.21</v>
      </c>
      <c r="J49" s="739"/>
      <c r="K49" s="739"/>
      <c r="L49" s="739"/>
      <c r="M49" s="739"/>
      <c r="N49" s="739"/>
      <c r="O49" s="739"/>
    </row>
    <row r="50" spans="1:15">
      <c r="A50" s="379">
        <v>20</v>
      </c>
      <c r="B50" s="359" t="s">
        <v>90</v>
      </c>
      <c r="C50" s="661">
        <v>49281095.369999997</v>
      </c>
      <c r="D50" s="661">
        <v>177308335.13999999</v>
      </c>
      <c r="E50" s="659">
        <f t="shared" si="2"/>
        <v>226589430.50999999</v>
      </c>
      <c r="F50" s="654">
        <v>61073662.649999999</v>
      </c>
      <c r="G50" s="654">
        <v>91522491.519999981</v>
      </c>
      <c r="H50" s="659">
        <f t="shared" si="3"/>
        <v>152596154.16999999</v>
      </c>
      <c r="J50" s="739"/>
      <c r="K50" s="739"/>
      <c r="L50" s="739"/>
      <c r="M50" s="739"/>
      <c r="N50" s="739"/>
      <c r="O50" s="739"/>
    </row>
    <row r="51" spans="1:15">
      <c r="A51" s="379">
        <v>21</v>
      </c>
      <c r="B51" s="360" t="s">
        <v>78</v>
      </c>
      <c r="C51" s="661">
        <v>53201209.099999987</v>
      </c>
      <c r="D51" s="661">
        <v>3661756</v>
      </c>
      <c r="E51" s="659">
        <f t="shared" si="2"/>
        <v>56862965.099999987</v>
      </c>
      <c r="F51" s="654">
        <v>42459959.030000009</v>
      </c>
      <c r="G51" s="654">
        <v>4463908.1399999997</v>
      </c>
      <c r="H51" s="659">
        <f t="shared" si="3"/>
        <v>46923867.170000009</v>
      </c>
      <c r="J51" s="739"/>
      <c r="K51" s="739"/>
      <c r="L51" s="739"/>
      <c r="M51" s="739"/>
      <c r="N51" s="739"/>
      <c r="O51" s="739"/>
    </row>
    <row r="52" spans="1:15">
      <c r="A52" s="379">
        <v>21.1</v>
      </c>
      <c r="B52" s="356" t="s">
        <v>729</v>
      </c>
      <c r="C52" s="661"/>
      <c r="D52" s="661"/>
      <c r="E52" s="659">
        <f t="shared" si="2"/>
        <v>0</v>
      </c>
      <c r="F52" s="353"/>
      <c r="G52" s="353"/>
      <c r="H52" s="659">
        <f t="shared" si="3"/>
        <v>0</v>
      </c>
      <c r="J52" s="739"/>
      <c r="K52" s="739"/>
      <c r="L52" s="739"/>
      <c r="M52" s="739"/>
      <c r="N52" s="739"/>
      <c r="O52" s="739"/>
    </row>
    <row r="53" spans="1:15">
      <c r="A53" s="379">
        <v>22</v>
      </c>
      <c r="B53" s="359" t="s">
        <v>730</v>
      </c>
      <c r="C53" s="663">
        <f>SUM(C38,C40,C41,C46,C47,C50,C51)</f>
        <v>2420287340.3599997</v>
      </c>
      <c r="D53" s="663">
        <f>SUM(D38,D40,D41,D46,D47,D50,D51)</f>
        <v>1010835856.1800001</v>
      </c>
      <c r="E53" s="659">
        <f t="shared" si="2"/>
        <v>3431123196.54</v>
      </c>
      <c r="F53" s="663">
        <f>SUM(F38,F40,F41,F46,F47,F50,F51)</f>
        <v>1964393714.5900149</v>
      </c>
      <c r="G53" s="663">
        <f>SUM(G38,G40,G41,G46,G47,G50,G51)</f>
        <v>726977132.03190124</v>
      </c>
      <c r="H53" s="659">
        <f t="shared" si="3"/>
        <v>2691370846.6219163</v>
      </c>
      <c r="J53" s="739"/>
      <c r="K53" s="739"/>
      <c r="L53" s="739"/>
      <c r="M53" s="739"/>
      <c r="N53" s="739"/>
      <c r="O53" s="739"/>
    </row>
    <row r="54" spans="1:15" ht="24" customHeight="1">
      <c r="A54" s="379"/>
      <c r="B54" s="361" t="s">
        <v>731</v>
      </c>
      <c r="C54" s="788"/>
      <c r="D54" s="789"/>
      <c r="E54" s="789"/>
      <c r="F54" s="789"/>
      <c r="G54" s="789"/>
      <c r="H54" s="790"/>
      <c r="J54" s="739"/>
      <c r="K54" s="739"/>
      <c r="L54" s="739"/>
      <c r="M54" s="739"/>
      <c r="N54" s="739"/>
      <c r="O54" s="739"/>
    </row>
    <row r="55" spans="1:15">
      <c r="A55" s="379">
        <v>23</v>
      </c>
      <c r="B55" s="584" t="s">
        <v>959</v>
      </c>
      <c r="C55" s="661">
        <v>5270620</v>
      </c>
      <c r="D55" s="661"/>
      <c r="E55" s="659">
        <f>C55+D55</f>
        <v>5270620</v>
      </c>
      <c r="F55" s="661">
        <v>5239960</v>
      </c>
      <c r="G55" s="353"/>
      <c r="H55" s="659">
        <f>F55+G55</f>
        <v>5239960</v>
      </c>
      <c r="J55" s="739"/>
      <c r="K55" s="739"/>
      <c r="L55" s="739"/>
      <c r="M55" s="739"/>
      <c r="N55" s="739"/>
      <c r="O55" s="739"/>
    </row>
    <row r="56" spans="1:15">
      <c r="A56" s="379">
        <v>24</v>
      </c>
      <c r="B56" s="359" t="s">
        <v>732</v>
      </c>
      <c r="C56" s="661"/>
      <c r="D56" s="661"/>
      <c r="E56" s="659">
        <f t="shared" ref="E56:E69" si="4">C56+D56</f>
        <v>0</v>
      </c>
      <c r="F56" s="661"/>
      <c r="G56" s="353"/>
      <c r="H56" s="659">
        <f t="shared" ref="H56:H69" si="5">F56+G56</f>
        <v>0</v>
      </c>
      <c r="J56" s="739"/>
      <c r="K56" s="739"/>
      <c r="L56" s="739"/>
      <c r="M56" s="739"/>
      <c r="N56" s="739"/>
      <c r="O56" s="739"/>
    </row>
    <row r="57" spans="1:15">
      <c r="A57" s="379">
        <v>25</v>
      </c>
      <c r="B57" s="359" t="s">
        <v>91</v>
      </c>
      <c r="C57" s="661">
        <v>41797124.479999997</v>
      </c>
      <c r="D57" s="661"/>
      <c r="E57" s="659">
        <f t="shared" si="4"/>
        <v>41797124.479999997</v>
      </c>
      <c r="F57" s="661">
        <v>39150769.530000001</v>
      </c>
      <c r="G57" s="353"/>
      <c r="H57" s="659">
        <f t="shared" si="5"/>
        <v>39150769.530000001</v>
      </c>
      <c r="J57" s="739"/>
      <c r="K57" s="739"/>
      <c r="L57" s="739"/>
      <c r="M57" s="739"/>
      <c r="N57" s="739"/>
      <c r="O57" s="739"/>
    </row>
    <row r="58" spans="1:15">
      <c r="A58" s="379">
        <v>26</v>
      </c>
      <c r="B58" s="344" t="s">
        <v>733</v>
      </c>
      <c r="C58" s="661"/>
      <c r="D58" s="661"/>
      <c r="E58" s="659">
        <f t="shared" si="4"/>
        <v>0</v>
      </c>
      <c r="F58" s="353"/>
      <c r="G58" s="353"/>
      <c r="H58" s="659">
        <f t="shared" si="5"/>
        <v>0</v>
      </c>
      <c r="J58" s="739"/>
      <c r="K58" s="739"/>
      <c r="L58" s="739"/>
      <c r="M58" s="739"/>
      <c r="N58" s="739"/>
      <c r="O58" s="739"/>
    </row>
    <row r="59" spans="1:15">
      <c r="A59" s="379">
        <v>27</v>
      </c>
      <c r="B59" s="344" t="s">
        <v>734</v>
      </c>
      <c r="C59" s="661"/>
      <c r="D59" s="661">
        <f>SUM(D60:D61)</f>
        <v>0</v>
      </c>
      <c r="E59" s="659">
        <f t="shared" si="4"/>
        <v>0</v>
      </c>
      <c r="F59" s="353"/>
      <c r="G59" s="353"/>
      <c r="H59" s="659">
        <f t="shared" si="5"/>
        <v>0</v>
      </c>
      <c r="J59" s="739"/>
      <c r="K59" s="739"/>
      <c r="L59" s="739"/>
      <c r="M59" s="739"/>
      <c r="N59" s="739"/>
      <c r="O59" s="739"/>
    </row>
    <row r="60" spans="1:15">
      <c r="A60" s="379">
        <v>27.1</v>
      </c>
      <c r="B60" s="357" t="s">
        <v>735</v>
      </c>
      <c r="C60" s="661"/>
      <c r="D60" s="661"/>
      <c r="E60" s="659">
        <f t="shared" si="4"/>
        <v>0</v>
      </c>
      <c r="F60" s="353"/>
      <c r="G60" s="353"/>
      <c r="H60" s="659">
        <f t="shared" si="5"/>
        <v>0</v>
      </c>
      <c r="J60" s="739"/>
      <c r="K60" s="739"/>
      <c r="L60" s="739"/>
      <c r="M60" s="739"/>
      <c r="N60" s="739"/>
      <c r="O60" s="739"/>
    </row>
    <row r="61" spans="1:15">
      <c r="A61" s="379">
        <v>27.2</v>
      </c>
      <c r="B61" s="355" t="s">
        <v>736</v>
      </c>
      <c r="C61" s="661"/>
      <c r="D61" s="661"/>
      <c r="E61" s="659">
        <f t="shared" si="4"/>
        <v>0</v>
      </c>
      <c r="F61" s="353"/>
      <c r="G61" s="353"/>
      <c r="H61" s="659">
        <f t="shared" si="5"/>
        <v>0</v>
      </c>
      <c r="J61" s="739"/>
      <c r="K61" s="739"/>
      <c r="L61" s="739"/>
      <c r="M61" s="739"/>
      <c r="N61" s="739"/>
      <c r="O61" s="739"/>
    </row>
    <row r="62" spans="1:15">
      <c r="A62" s="379">
        <v>28</v>
      </c>
      <c r="B62" s="360" t="s">
        <v>737</v>
      </c>
      <c r="C62" s="661"/>
      <c r="D62" s="661"/>
      <c r="E62" s="659">
        <f t="shared" si="4"/>
        <v>0</v>
      </c>
      <c r="F62" s="353"/>
      <c r="G62" s="353"/>
      <c r="H62" s="659">
        <f t="shared" si="5"/>
        <v>0</v>
      </c>
      <c r="J62" s="739"/>
      <c r="K62" s="739"/>
      <c r="L62" s="739"/>
      <c r="M62" s="739"/>
      <c r="N62" s="739"/>
      <c r="O62" s="739"/>
    </row>
    <row r="63" spans="1:15">
      <c r="A63" s="379">
        <v>29</v>
      </c>
      <c r="B63" s="344" t="s">
        <v>738</v>
      </c>
      <c r="C63" s="661"/>
      <c r="D63" s="661">
        <f>SUM(D64:D66)</f>
        <v>0</v>
      </c>
      <c r="E63" s="659">
        <f t="shared" si="4"/>
        <v>0</v>
      </c>
      <c r="F63" s="353"/>
      <c r="G63" s="353"/>
      <c r="H63" s="659">
        <f t="shared" si="5"/>
        <v>0</v>
      </c>
      <c r="J63" s="739"/>
      <c r="K63" s="739"/>
      <c r="L63" s="739"/>
      <c r="M63" s="739"/>
      <c r="N63" s="739"/>
      <c r="O63" s="739"/>
    </row>
    <row r="64" spans="1:15">
      <c r="A64" s="379">
        <v>29.1</v>
      </c>
      <c r="B64" s="345" t="s">
        <v>739</v>
      </c>
      <c r="C64" s="661"/>
      <c r="D64" s="661"/>
      <c r="E64" s="659">
        <f t="shared" si="4"/>
        <v>0</v>
      </c>
      <c r="F64" s="353"/>
      <c r="G64" s="353"/>
      <c r="H64" s="659">
        <f t="shared" si="5"/>
        <v>0</v>
      </c>
      <c r="J64" s="739"/>
      <c r="K64" s="739"/>
      <c r="L64" s="739"/>
      <c r="M64" s="739"/>
      <c r="N64" s="739"/>
      <c r="O64" s="739"/>
    </row>
    <row r="65" spans="1:15" ht="25.05" customHeight="1">
      <c r="A65" s="379">
        <v>29.2</v>
      </c>
      <c r="B65" s="357" t="s">
        <v>740</v>
      </c>
      <c r="C65" s="661"/>
      <c r="D65" s="661"/>
      <c r="E65" s="659">
        <f t="shared" si="4"/>
        <v>0</v>
      </c>
      <c r="F65" s="353"/>
      <c r="G65" s="353"/>
      <c r="H65" s="659">
        <f t="shared" si="5"/>
        <v>0</v>
      </c>
      <c r="J65" s="739"/>
      <c r="K65" s="739"/>
      <c r="L65" s="739"/>
      <c r="M65" s="739"/>
      <c r="N65" s="739"/>
      <c r="O65" s="739"/>
    </row>
    <row r="66" spans="1:15" ht="22.5" customHeight="1">
      <c r="A66" s="379">
        <v>29.3</v>
      </c>
      <c r="B66" s="348" t="s">
        <v>741</v>
      </c>
      <c r="C66" s="661"/>
      <c r="D66" s="661"/>
      <c r="E66" s="659">
        <f t="shared" si="4"/>
        <v>0</v>
      </c>
      <c r="F66" s="353"/>
      <c r="G66" s="353"/>
      <c r="H66" s="659">
        <f t="shared" si="5"/>
        <v>0</v>
      </c>
      <c r="J66" s="739"/>
      <c r="K66" s="739"/>
      <c r="L66" s="739"/>
      <c r="M66" s="739"/>
      <c r="N66" s="739"/>
      <c r="O66" s="739"/>
    </row>
    <row r="67" spans="1:15">
      <c r="A67" s="379">
        <v>30</v>
      </c>
      <c r="B67" s="344" t="s">
        <v>92</v>
      </c>
      <c r="C67" s="661">
        <v>425627111.43520498</v>
      </c>
      <c r="D67" s="661"/>
      <c r="E67" s="659">
        <f t="shared" si="4"/>
        <v>425627111.43520498</v>
      </c>
      <c r="F67" s="654">
        <v>333212185.71641445</v>
      </c>
      <c r="G67" s="353"/>
      <c r="H67" s="659">
        <f t="shared" si="5"/>
        <v>333212185.71641445</v>
      </c>
      <c r="J67" s="739"/>
      <c r="K67" s="739"/>
      <c r="L67" s="739"/>
      <c r="M67" s="739"/>
      <c r="N67" s="739"/>
      <c r="O67" s="739"/>
    </row>
    <row r="68" spans="1:15">
      <c r="A68" s="379">
        <v>31</v>
      </c>
      <c r="B68" s="362" t="s">
        <v>999</v>
      </c>
      <c r="C68" s="663">
        <f>SUM(C55,C56,C57,C58,C59,C62,C63,C67)</f>
        <v>472694855.915205</v>
      </c>
      <c r="D68" s="663">
        <f>SUM(D55,D56,D57,D58,D59,D62,D63,D67)</f>
        <v>0</v>
      </c>
      <c r="E68" s="659">
        <f t="shared" si="4"/>
        <v>472694855.915205</v>
      </c>
      <c r="F68" s="662">
        <f>SUM(F55,F56,F57,F58,F59,F62,F63,F67)</f>
        <v>377602915.24641442</v>
      </c>
      <c r="G68" s="353">
        <f>SUM(G55,G56,G57,G58,G59,G62,G63,G67)</f>
        <v>0</v>
      </c>
      <c r="H68" s="659">
        <f t="shared" si="5"/>
        <v>377602915.24641442</v>
      </c>
      <c r="J68" s="739"/>
      <c r="K68" s="739"/>
      <c r="L68" s="739"/>
      <c r="M68" s="739"/>
      <c r="N68" s="739"/>
      <c r="O68" s="739"/>
    </row>
    <row r="69" spans="1:15">
      <c r="A69" s="379">
        <v>32</v>
      </c>
      <c r="B69" s="363" t="s">
        <v>743</v>
      </c>
      <c r="C69" s="663">
        <f>SUM(C53,C68)</f>
        <v>2892982196.2752047</v>
      </c>
      <c r="D69" s="663">
        <f>SUM(D53,D68)</f>
        <v>1010835856.1800001</v>
      </c>
      <c r="E69" s="659">
        <f t="shared" si="4"/>
        <v>3903818052.455205</v>
      </c>
      <c r="F69" s="662">
        <f>SUM(F53,F68)</f>
        <v>2341996629.8364296</v>
      </c>
      <c r="G69" s="662">
        <f>SUM(G53,G68)</f>
        <v>726977132.03190124</v>
      </c>
      <c r="H69" s="659">
        <f t="shared" si="5"/>
        <v>3068973761.868331</v>
      </c>
      <c r="J69" s="739"/>
      <c r="K69" s="739"/>
      <c r="L69" s="739"/>
      <c r="M69" s="739"/>
      <c r="N69" s="739"/>
      <c r="O69" s="739"/>
    </row>
    <row r="70" spans="1:15">
      <c r="J70" s="739"/>
    </row>
    <row r="72" spans="1:15" ht="25.05" customHeight="1">
      <c r="B72" s="636" t="s">
        <v>1000</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topLeftCell="A6" zoomScale="80" zoomScaleNormal="80" workbookViewId="0">
      <selection activeCell="I7" sqref="I7:L32"/>
    </sheetView>
  </sheetViews>
  <sheetFormatPr defaultColWidth="9.21875" defaultRowHeight="12"/>
  <cols>
    <col min="1" max="1" width="11.77734375" style="438" bestFit="1" customWidth="1"/>
    <col min="2" max="2" width="63.109375" style="438" customWidth="1"/>
    <col min="3" max="3" width="14.6640625" style="438" customWidth="1"/>
    <col min="4" max="5" width="16.109375" style="438" customWidth="1"/>
    <col min="6" max="6" width="16.109375" style="456" customWidth="1"/>
    <col min="7" max="7" width="25.21875" style="456" customWidth="1"/>
    <col min="8" max="8" width="16.109375" style="438" customWidth="1"/>
    <col min="9" max="11" width="16.109375" style="456" customWidth="1"/>
    <col min="12" max="12" width="26.21875" style="456" customWidth="1"/>
    <col min="13" max="16384" width="9.21875" style="438"/>
  </cols>
  <sheetData>
    <row r="1" spans="1:12" ht="13.8">
      <c r="A1" s="316" t="s">
        <v>97</v>
      </c>
      <c r="B1" s="248" t="str">
        <f>Info!C2</f>
        <v>სს "კრედო ბანკი"</v>
      </c>
      <c r="F1" s="438"/>
      <c r="G1" s="438"/>
      <c r="I1" s="438"/>
      <c r="J1" s="438"/>
      <c r="K1" s="438"/>
      <c r="L1" s="438"/>
    </row>
    <row r="2" spans="1:12">
      <c r="A2" s="316" t="s">
        <v>98</v>
      </c>
      <c r="B2" s="319">
        <f>'1. key ratios'!B2</f>
        <v>46022</v>
      </c>
      <c r="F2" s="438"/>
      <c r="G2" s="438"/>
      <c r="I2" s="438"/>
      <c r="J2" s="438"/>
      <c r="K2" s="438"/>
      <c r="L2" s="438"/>
    </row>
    <row r="3" spans="1:12">
      <c r="A3" s="318" t="s">
        <v>563</v>
      </c>
      <c r="F3" s="438"/>
      <c r="G3" s="438"/>
      <c r="I3" s="438"/>
      <c r="J3" s="438"/>
      <c r="K3" s="438"/>
      <c r="L3" s="438"/>
    </row>
    <row r="4" spans="1:12">
      <c r="F4" s="438"/>
      <c r="G4" s="438"/>
      <c r="I4" s="438"/>
      <c r="J4" s="438"/>
      <c r="K4" s="438"/>
      <c r="L4" s="438"/>
    </row>
    <row r="5" spans="1:12" ht="37.5" customHeight="1">
      <c r="A5" s="844" t="s">
        <v>564</v>
      </c>
      <c r="B5" s="845"/>
      <c r="C5" s="893" t="s">
        <v>565</v>
      </c>
      <c r="D5" s="894"/>
      <c r="E5" s="894"/>
      <c r="F5" s="894"/>
      <c r="G5" s="894"/>
      <c r="H5" s="893" t="s">
        <v>875</v>
      </c>
      <c r="I5" s="895"/>
      <c r="J5" s="895"/>
      <c r="K5" s="895"/>
      <c r="L5" s="896"/>
    </row>
    <row r="6" spans="1:12" ht="39.450000000000003" customHeight="1">
      <c r="A6" s="848"/>
      <c r="B6" s="849"/>
      <c r="C6" s="323"/>
      <c r="D6" s="436" t="s">
        <v>860</v>
      </c>
      <c r="E6" s="436" t="s">
        <v>859</v>
      </c>
      <c r="F6" s="436" t="s">
        <v>858</v>
      </c>
      <c r="G6" s="436" t="s">
        <v>857</v>
      </c>
      <c r="H6" s="457"/>
      <c r="I6" s="436" t="s">
        <v>860</v>
      </c>
      <c r="J6" s="436" t="s">
        <v>859</v>
      </c>
      <c r="K6" s="436" t="s">
        <v>858</v>
      </c>
      <c r="L6" s="436" t="s">
        <v>857</v>
      </c>
    </row>
    <row r="7" spans="1:12">
      <c r="A7" s="428">
        <v>1</v>
      </c>
      <c r="B7" s="441" t="s">
        <v>487</v>
      </c>
      <c r="C7" s="732">
        <f>SUM(D7:G7)</f>
        <v>27012594.789999999</v>
      </c>
      <c r="D7" s="721">
        <v>26347155.039999999</v>
      </c>
      <c r="E7" s="721">
        <v>580845.81000000006</v>
      </c>
      <c r="F7" s="721">
        <v>84593.94</v>
      </c>
      <c r="G7" s="721">
        <v>0</v>
      </c>
      <c r="H7" s="728">
        <f>SUM(I7:L7)</f>
        <v>429719.99</v>
      </c>
      <c r="I7" s="721">
        <v>243886.7</v>
      </c>
      <c r="J7" s="721">
        <v>120765.26</v>
      </c>
      <c r="K7" s="721">
        <v>65068.03</v>
      </c>
      <c r="L7" s="721">
        <v>0</v>
      </c>
    </row>
    <row r="8" spans="1:12">
      <c r="A8" s="428">
        <v>2</v>
      </c>
      <c r="B8" s="441" t="s">
        <v>488</v>
      </c>
      <c r="C8" s="732">
        <f t="shared" ref="C8:C32" si="0">SUM(D8:G8)</f>
        <v>26447674.93</v>
      </c>
      <c r="D8" s="721">
        <v>26233133.059999999</v>
      </c>
      <c r="E8" s="721">
        <v>188964.55</v>
      </c>
      <c r="F8" s="730">
        <v>25577.32</v>
      </c>
      <c r="G8" s="730">
        <v>0</v>
      </c>
      <c r="H8" s="728">
        <f t="shared" ref="H8:H32" si="1">SUM(I8:L8)</f>
        <v>283785.90000000002</v>
      </c>
      <c r="I8" s="730">
        <v>221579.39</v>
      </c>
      <c r="J8" s="730">
        <v>42024.32</v>
      </c>
      <c r="K8" s="730">
        <v>20182.189999999999</v>
      </c>
      <c r="L8" s="730">
        <v>0</v>
      </c>
    </row>
    <row r="9" spans="1:12">
      <c r="A9" s="428">
        <v>3</v>
      </c>
      <c r="B9" s="441" t="s">
        <v>836</v>
      </c>
      <c r="C9" s="732">
        <f t="shared" si="0"/>
        <v>8185892.9699999997</v>
      </c>
      <c r="D9" s="721">
        <v>7685893.9100000001</v>
      </c>
      <c r="E9" s="721">
        <v>387551.89</v>
      </c>
      <c r="F9" s="731">
        <v>112447.17</v>
      </c>
      <c r="G9" s="731">
        <v>0</v>
      </c>
      <c r="H9" s="728">
        <f t="shared" si="1"/>
        <v>225775.27000000002</v>
      </c>
      <c r="I9" s="731">
        <v>66103.759999999995</v>
      </c>
      <c r="J9" s="731">
        <v>74567.44</v>
      </c>
      <c r="K9" s="731">
        <v>85104.07</v>
      </c>
      <c r="L9" s="731">
        <v>0</v>
      </c>
    </row>
    <row r="10" spans="1:12">
      <c r="A10" s="428">
        <v>4</v>
      </c>
      <c r="B10" s="441" t="s">
        <v>489</v>
      </c>
      <c r="C10" s="732">
        <f t="shared" si="0"/>
        <v>63138556.259999998</v>
      </c>
      <c r="D10" s="721">
        <v>60868888.369999997</v>
      </c>
      <c r="E10" s="721">
        <v>2269667.89</v>
      </c>
      <c r="F10" s="731">
        <v>0</v>
      </c>
      <c r="G10" s="731">
        <v>0</v>
      </c>
      <c r="H10" s="728">
        <f t="shared" si="1"/>
        <v>137231.9</v>
      </c>
      <c r="I10" s="731">
        <v>109672.13</v>
      </c>
      <c r="J10" s="731">
        <v>27559.77</v>
      </c>
      <c r="K10" s="731">
        <v>0</v>
      </c>
      <c r="L10" s="731">
        <v>0</v>
      </c>
    </row>
    <row r="11" spans="1:12">
      <c r="A11" s="428">
        <v>5</v>
      </c>
      <c r="B11" s="441" t="s">
        <v>490</v>
      </c>
      <c r="C11" s="732">
        <f t="shared" si="0"/>
        <v>50507900.170000002</v>
      </c>
      <c r="D11" s="721">
        <v>49965193.75</v>
      </c>
      <c r="E11" s="721">
        <v>536921.31999999995</v>
      </c>
      <c r="F11" s="731">
        <v>5785.1</v>
      </c>
      <c r="G11" s="731">
        <v>0</v>
      </c>
      <c r="H11" s="728">
        <f t="shared" si="1"/>
        <v>182608.93999999997</v>
      </c>
      <c r="I11" s="731">
        <v>143035.85999999999</v>
      </c>
      <c r="J11" s="731">
        <v>34980.22</v>
      </c>
      <c r="K11" s="731">
        <v>4592.8599999999997</v>
      </c>
      <c r="L11" s="731">
        <v>0</v>
      </c>
    </row>
    <row r="12" spans="1:12">
      <c r="A12" s="428">
        <v>6</v>
      </c>
      <c r="B12" s="441" t="s">
        <v>491</v>
      </c>
      <c r="C12" s="732">
        <f t="shared" si="0"/>
        <v>15404632.26</v>
      </c>
      <c r="D12" s="721">
        <v>14655031.6</v>
      </c>
      <c r="E12" s="721">
        <v>611473.63</v>
      </c>
      <c r="F12" s="731">
        <v>138127.03</v>
      </c>
      <c r="G12" s="731">
        <v>0</v>
      </c>
      <c r="H12" s="728">
        <f t="shared" si="1"/>
        <v>299646.23</v>
      </c>
      <c r="I12" s="731">
        <v>91914.75</v>
      </c>
      <c r="J12" s="731">
        <v>104919.84</v>
      </c>
      <c r="K12" s="731">
        <v>102811.64</v>
      </c>
      <c r="L12" s="731">
        <v>0</v>
      </c>
    </row>
    <row r="13" spans="1:12">
      <c r="A13" s="428">
        <v>7</v>
      </c>
      <c r="B13" s="441" t="s">
        <v>492</v>
      </c>
      <c r="C13" s="732">
        <f t="shared" si="0"/>
        <v>6149374.7800000003</v>
      </c>
      <c r="D13" s="721">
        <v>5737397.8700000001</v>
      </c>
      <c r="E13" s="721">
        <v>362556.91</v>
      </c>
      <c r="F13" s="731">
        <v>49420</v>
      </c>
      <c r="G13" s="731">
        <v>0</v>
      </c>
      <c r="H13" s="728">
        <f t="shared" si="1"/>
        <v>160417.56</v>
      </c>
      <c r="I13" s="731">
        <v>40103.269999999997</v>
      </c>
      <c r="J13" s="731">
        <v>82401.78</v>
      </c>
      <c r="K13" s="731">
        <v>37912.51</v>
      </c>
      <c r="L13" s="731">
        <v>0</v>
      </c>
    </row>
    <row r="14" spans="1:12">
      <c r="A14" s="428">
        <v>8</v>
      </c>
      <c r="B14" s="441" t="s">
        <v>493</v>
      </c>
      <c r="C14" s="732">
        <f t="shared" si="0"/>
        <v>218729136.96000004</v>
      </c>
      <c r="D14" s="721">
        <v>209027167.34</v>
      </c>
      <c r="E14" s="721">
        <v>8453757.8300000001</v>
      </c>
      <c r="F14" s="731">
        <v>1243438.33</v>
      </c>
      <c r="G14" s="731">
        <v>4773.46</v>
      </c>
      <c r="H14" s="728">
        <f t="shared" si="1"/>
        <v>3840810.0300000007</v>
      </c>
      <c r="I14" s="731">
        <v>1584105.35</v>
      </c>
      <c r="J14" s="731">
        <v>1323576.26</v>
      </c>
      <c r="K14" s="731">
        <v>933066.99</v>
      </c>
      <c r="L14" s="731">
        <v>61.43</v>
      </c>
    </row>
    <row r="15" spans="1:12">
      <c r="A15" s="428">
        <v>9</v>
      </c>
      <c r="B15" s="441" t="s">
        <v>494</v>
      </c>
      <c r="C15" s="732">
        <f t="shared" si="0"/>
        <v>38096296.210000001</v>
      </c>
      <c r="D15" s="721">
        <v>36299993.850000001</v>
      </c>
      <c r="E15" s="721">
        <v>1606266.74</v>
      </c>
      <c r="F15" s="731">
        <v>190035.62</v>
      </c>
      <c r="G15" s="731">
        <v>0</v>
      </c>
      <c r="H15" s="728">
        <f t="shared" si="1"/>
        <v>779275.57999999984</v>
      </c>
      <c r="I15" s="731">
        <v>303950.05</v>
      </c>
      <c r="J15" s="731">
        <v>325166.34999999998</v>
      </c>
      <c r="K15" s="731">
        <v>150159.18</v>
      </c>
      <c r="L15" s="731">
        <v>0</v>
      </c>
    </row>
    <row r="16" spans="1:12">
      <c r="A16" s="428">
        <v>10</v>
      </c>
      <c r="B16" s="441" t="s">
        <v>495</v>
      </c>
      <c r="C16" s="732">
        <f t="shared" si="0"/>
        <v>21191674.98</v>
      </c>
      <c r="D16" s="721">
        <v>17351772.09</v>
      </c>
      <c r="E16" s="721">
        <v>903550.3</v>
      </c>
      <c r="F16" s="731">
        <v>2936352.59</v>
      </c>
      <c r="G16" s="731">
        <v>0</v>
      </c>
      <c r="H16" s="728">
        <f t="shared" si="1"/>
        <v>1015374.3</v>
      </c>
      <c r="I16" s="731">
        <v>140868.03</v>
      </c>
      <c r="J16" s="731">
        <v>155753.73000000001</v>
      </c>
      <c r="K16" s="731">
        <v>718752.54</v>
      </c>
      <c r="L16" s="731">
        <v>0</v>
      </c>
    </row>
    <row r="17" spans="1:12">
      <c r="A17" s="428">
        <v>11</v>
      </c>
      <c r="B17" s="441" t="s">
        <v>496</v>
      </c>
      <c r="C17" s="732">
        <f t="shared" si="0"/>
        <v>8767563.7699999996</v>
      </c>
      <c r="D17" s="721">
        <v>8293200.2199999997</v>
      </c>
      <c r="E17" s="721">
        <v>395825.53</v>
      </c>
      <c r="F17" s="731">
        <v>76263.899999999994</v>
      </c>
      <c r="G17" s="731">
        <v>2274.12</v>
      </c>
      <c r="H17" s="728">
        <f t="shared" si="1"/>
        <v>235727.87</v>
      </c>
      <c r="I17" s="731">
        <v>94662.54</v>
      </c>
      <c r="J17" s="731">
        <v>80870.98</v>
      </c>
      <c r="K17" s="731">
        <v>60165.09</v>
      </c>
      <c r="L17" s="731">
        <v>29.26</v>
      </c>
    </row>
    <row r="18" spans="1:12">
      <c r="A18" s="428">
        <v>12</v>
      </c>
      <c r="B18" s="441" t="s">
        <v>497</v>
      </c>
      <c r="C18" s="732">
        <f t="shared" si="0"/>
        <v>163268416.66</v>
      </c>
      <c r="D18" s="721">
        <v>156544486.84</v>
      </c>
      <c r="E18" s="721">
        <v>6131873.2199999997</v>
      </c>
      <c r="F18" s="731">
        <v>592056.6</v>
      </c>
      <c r="G18" s="731">
        <v>0</v>
      </c>
      <c r="H18" s="728">
        <f t="shared" si="1"/>
        <v>2702546.54</v>
      </c>
      <c r="I18" s="731">
        <v>1170608.1499999999</v>
      </c>
      <c r="J18" s="731">
        <v>1081222.92</v>
      </c>
      <c r="K18" s="731">
        <v>450715.47</v>
      </c>
      <c r="L18" s="731">
        <v>0</v>
      </c>
    </row>
    <row r="19" spans="1:12">
      <c r="A19" s="428">
        <v>13</v>
      </c>
      <c r="B19" s="441" t="s">
        <v>498</v>
      </c>
      <c r="C19" s="732">
        <f t="shared" si="0"/>
        <v>28997928.009999998</v>
      </c>
      <c r="D19" s="721">
        <v>27259364.199999999</v>
      </c>
      <c r="E19" s="721">
        <v>1405128.49</v>
      </c>
      <c r="F19" s="731">
        <v>333435.32</v>
      </c>
      <c r="G19" s="731">
        <v>0</v>
      </c>
      <c r="H19" s="728">
        <f t="shared" si="1"/>
        <v>650467.52</v>
      </c>
      <c r="I19" s="731">
        <v>223483.25</v>
      </c>
      <c r="J19" s="731">
        <v>289680.44</v>
      </c>
      <c r="K19" s="731">
        <v>137303.82999999999</v>
      </c>
      <c r="L19" s="731">
        <v>0</v>
      </c>
    </row>
    <row r="20" spans="1:12">
      <c r="A20" s="428">
        <v>14</v>
      </c>
      <c r="B20" s="441" t="s">
        <v>499</v>
      </c>
      <c r="C20" s="732">
        <f t="shared" si="0"/>
        <v>94462102.75</v>
      </c>
      <c r="D20" s="721">
        <v>90206291.25</v>
      </c>
      <c r="E20" s="721">
        <v>4093014.06</v>
      </c>
      <c r="F20" s="731">
        <v>162797.44</v>
      </c>
      <c r="G20" s="731">
        <v>0</v>
      </c>
      <c r="H20" s="728">
        <f t="shared" si="1"/>
        <v>733323.98</v>
      </c>
      <c r="I20" s="731">
        <v>380726.78</v>
      </c>
      <c r="J20" s="731">
        <v>282530.15999999997</v>
      </c>
      <c r="K20" s="731">
        <v>70067.039999999994</v>
      </c>
      <c r="L20" s="731">
        <v>0</v>
      </c>
    </row>
    <row r="21" spans="1:12">
      <c r="A21" s="428">
        <v>15</v>
      </c>
      <c r="B21" s="441" t="s">
        <v>500</v>
      </c>
      <c r="C21" s="732">
        <f t="shared" si="0"/>
        <v>62303509.440000005</v>
      </c>
      <c r="D21" s="721">
        <v>59159390.130000003</v>
      </c>
      <c r="E21" s="721">
        <v>2788567.96</v>
      </c>
      <c r="F21" s="731">
        <v>355551.35</v>
      </c>
      <c r="G21" s="731">
        <v>0</v>
      </c>
      <c r="H21" s="728">
        <f t="shared" si="1"/>
        <v>1303302.1000000001</v>
      </c>
      <c r="I21" s="731">
        <v>500501.56</v>
      </c>
      <c r="J21" s="731">
        <v>526448.5</v>
      </c>
      <c r="K21" s="731">
        <v>276352.03999999998</v>
      </c>
      <c r="L21" s="731">
        <v>0</v>
      </c>
    </row>
    <row r="22" spans="1:12">
      <c r="A22" s="428">
        <v>16</v>
      </c>
      <c r="B22" s="441" t="s">
        <v>501</v>
      </c>
      <c r="C22" s="732">
        <f t="shared" si="0"/>
        <v>15511141.98</v>
      </c>
      <c r="D22" s="721">
        <v>13955307.720000001</v>
      </c>
      <c r="E22" s="721">
        <v>1421148.4</v>
      </c>
      <c r="F22" s="731">
        <v>134685.85999999999</v>
      </c>
      <c r="G22" s="731">
        <v>0</v>
      </c>
      <c r="H22" s="728">
        <f t="shared" si="1"/>
        <v>472610.37999999995</v>
      </c>
      <c r="I22" s="731">
        <v>108157.22</v>
      </c>
      <c r="J22" s="731">
        <v>265900.84999999998</v>
      </c>
      <c r="K22" s="731">
        <v>98552.31</v>
      </c>
      <c r="L22" s="731">
        <v>0</v>
      </c>
    </row>
    <row r="23" spans="1:12">
      <c r="A23" s="428">
        <v>17</v>
      </c>
      <c r="B23" s="441" t="s">
        <v>502</v>
      </c>
      <c r="C23" s="732">
        <f t="shared" si="0"/>
        <v>983248.26</v>
      </c>
      <c r="D23" s="721">
        <v>953143.24</v>
      </c>
      <c r="E23" s="721">
        <v>20784.62</v>
      </c>
      <c r="F23" s="731">
        <v>9320.4</v>
      </c>
      <c r="G23" s="731">
        <v>0</v>
      </c>
      <c r="H23" s="728">
        <f t="shared" si="1"/>
        <v>22228.010000000002</v>
      </c>
      <c r="I23" s="731">
        <v>10641.78</v>
      </c>
      <c r="J23" s="731">
        <v>4151.6499999999996</v>
      </c>
      <c r="K23" s="731">
        <v>7434.58</v>
      </c>
      <c r="L23" s="731">
        <v>0</v>
      </c>
    </row>
    <row r="24" spans="1:12">
      <c r="A24" s="428">
        <v>18</v>
      </c>
      <c r="B24" s="441" t="s">
        <v>503</v>
      </c>
      <c r="C24" s="732">
        <f t="shared" si="0"/>
        <v>4474752.5500000007</v>
      </c>
      <c r="D24" s="721">
        <v>4363602.82</v>
      </c>
      <c r="E24" s="721">
        <v>100455.75</v>
      </c>
      <c r="F24" s="731">
        <v>10693.98</v>
      </c>
      <c r="G24" s="731">
        <v>0</v>
      </c>
      <c r="H24" s="728">
        <f t="shared" si="1"/>
        <v>76262.53</v>
      </c>
      <c r="I24" s="731">
        <v>48834.57</v>
      </c>
      <c r="J24" s="731">
        <v>18924.990000000002</v>
      </c>
      <c r="K24" s="731">
        <v>8502.9699999999993</v>
      </c>
      <c r="L24" s="731">
        <v>0</v>
      </c>
    </row>
    <row r="25" spans="1:12">
      <c r="A25" s="428">
        <v>19</v>
      </c>
      <c r="B25" s="441" t="s">
        <v>504</v>
      </c>
      <c r="C25" s="732">
        <f t="shared" si="0"/>
        <v>8673950.8200000003</v>
      </c>
      <c r="D25" s="721">
        <v>8314570.6600000001</v>
      </c>
      <c r="E25" s="721">
        <v>303540.40999999997</v>
      </c>
      <c r="F25" s="731">
        <v>55839.75</v>
      </c>
      <c r="G25" s="731">
        <v>0</v>
      </c>
      <c r="H25" s="728">
        <f t="shared" si="1"/>
        <v>151310.42000000001</v>
      </c>
      <c r="I25" s="731">
        <v>59011.31</v>
      </c>
      <c r="J25" s="731">
        <v>56367.76</v>
      </c>
      <c r="K25" s="731">
        <v>35931.35</v>
      </c>
      <c r="L25" s="731">
        <v>0</v>
      </c>
    </row>
    <row r="26" spans="1:12">
      <c r="A26" s="428">
        <v>20</v>
      </c>
      <c r="B26" s="441" t="s">
        <v>505</v>
      </c>
      <c r="C26" s="732">
        <f t="shared" si="0"/>
        <v>23715748.819999997</v>
      </c>
      <c r="D26" s="721">
        <v>23180074.629999999</v>
      </c>
      <c r="E26" s="721">
        <v>523990.74</v>
      </c>
      <c r="F26" s="731">
        <v>11683.45</v>
      </c>
      <c r="G26" s="731">
        <v>0</v>
      </c>
      <c r="H26" s="728">
        <f t="shared" si="1"/>
        <v>216231.66</v>
      </c>
      <c r="I26" s="731">
        <v>157096.16</v>
      </c>
      <c r="J26" s="731">
        <v>49906.02</v>
      </c>
      <c r="K26" s="731">
        <v>9229.48</v>
      </c>
      <c r="L26" s="731">
        <v>0</v>
      </c>
    </row>
    <row r="27" spans="1:12">
      <c r="A27" s="428">
        <v>21</v>
      </c>
      <c r="B27" s="441" t="s">
        <v>506</v>
      </c>
      <c r="C27" s="732">
        <f t="shared" si="0"/>
        <v>3038733.54</v>
      </c>
      <c r="D27" s="721">
        <v>3011927.29</v>
      </c>
      <c r="E27" s="721">
        <v>11310.17</v>
      </c>
      <c r="F27" s="731">
        <v>15496.08</v>
      </c>
      <c r="G27" s="731">
        <v>0</v>
      </c>
      <c r="H27" s="728">
        <f t="shared" si="1"/>
        <v>40609.93</v>
      </c>
      <c r="I27" s="731">
        <v>26463.97</v>
      </c>
      <c r="J27" s="731">
        <v>1938.24</v>
      </c>
      <c r="K27" s="731">
        <v>12207.72</v>
      </c>
      <c r="L27" s="731">
        <v>0</v>
      </c>
    </row>
    <row r="28" spans="1:12">
      <c r="A28" s="428">
        <v>22</v>
      </c>
      <c r="B28" s="441" t="s">
        <v>507</v>
      </c>
      <c r="C28" s="732">
        <f t="shared" si="0"/>
        <v>1511589.36</v>
      </c>
      <c r="D28" s="721">
        <v>1493195.8</v>
      </c>
      <c r="E28" s="721">
        <v>18273.22</v>
      </c>
      <c r="F28" s="731">
        <v>120.34</v>
      </c>
      <c r="G28" s="731">
        <v>0</v>
      </c>
      <c r="H28" s="728">
        <f t="shared" si="1"/>
        <v>14061.579999999998</v>
      </c>
      <c r="I28" s="731">
        <v>10943.47</v>
      </c>
      <c r="J28" s="731">
        <v>3022.13</v>
      </c>
      <c r="K28" s="731">
        <v>95.98</v>
      </c>
      <c r="L28" s="731">
        <v>0</v>
      </c>
    </row>
    <row r="29" spans="1:12">
      <c r="A29" s="428">
        <v>23</v>
      </c>
      <c r="B29" s="441" t="s">
        <v>508</v>
      </c>
      <c r="C29" s="732">
        <f t="shared" si="0"/>
        <v>719614640.25999999</v>
      </c>
      <c r="D29" s="721">
        <v>680128883.55999994</v>
      </c>
      <c r="E29" s="721">
        <v>33628371</v>
      </c>
      <c r="F29" s="731">
        <v>5857385.7000000002</v>
      </c>
      <c r="G29" s="731">
        <v>0</v>
      </c>
      <c r="H29" s="728">
        <f t="shared" si="1"/>
        <v>17457571.219999999</v>
      </c>
      <c r="I29" s="731">
        <v>6445388.4199999999</v>
      </c>
      <c r="J29" s="731">
        <v>6581147.9000000004</v>
      </c>
      <c r="K29" s="731">
        <v>4431034.9000000004</v>
      </c>
      <c r="L29" s="731">
        <v>0</v>
      </c>
    </row>
    <row r="30" spans="1:12">
      <c r="A30" s="428">
        <v>24</v>
      </c>
      <c r="B30" s="441" t="s">
        <v>509</v>
      </c>
      <c r="C30" s="732">
        <f t="shared" si="0"/>
        <v>1093413994.9199998</v>
      </c>
      <c r="D30" s="721">
        <v>1035615694.66</v>
      </c>
      <c r="E30" s="721">
        <v>50059458.950000003</v>
      </c>
      <c r="F30" s="731">
        <v>7738841.3099999996</v>
      </c>
      <c r="G30" s="731">
        <v>0</v>
      </c>
      <c r="H30" s="728">
        <f t="shared" si="1"/>
        <v>25491495.310000002</v>
      </c>
      <c r="I30" s="731">
        <v>9877732.5899999999</v>
      </c>
      <c r="J30" s="731">
        <v>9806382.2300000004</v>
      </c>
      <c r="K30" s="731">
        <v>5807380.4900000002</v>
      </c>
      <c r="L30" s="731">
        <v>0</v>
      </c>
    </row>
    <row r="31" spans="1:12">
      <c r="A31" s="428">
        <v>25</v>
      </c>
      <c r="B31" s="441" t="s">
        <v>510</v>
      </c>
      <c r="C31" s="732">
        <f t="shared" si="0"/>
        <v>337263624.74000001</v>
      </c>
      <c r="D31" s="721">
        <v>325442512.97000003</v>
      </c>
      <c r="E31" s="721">
        <v>9473159.1099999994</v>
      </c>
      <c r="F31" s="731">
        <v>2344567.9500000002</v>
      </c>
      <c r="G31" s="731">
        <v>3384.71</v>
      </c>
      <c r="H31" s="728">
        <f t="shared" si="1"/>
        <v>6685389.3299999991</v>
      </c>
      <c r="I31" s="731">
        <v>2786930.63</v>
      </c>
      <c r="J31" s="731">
        <v>2098115.62</v>
      </c>
      <c r="K31" s="731">
        <v>1800299.52</v>
      </c>
      <c r="L31" s="731">
        <v>43.56</v>
      </c>
    </row>
    <row r="32" spans="1:12">
      <c r="A32" s="428">
        <v>26</v>
      </c>
      <c r="B32" s="441" t="s">
        <v>566</v>
      </c>
      <c r="C32" s="732">
        <f t="shared" si="0"/>
        <v>97899283.120000005</v>
      </c>
      <c r="D32" s="721">
        <v>92883679.510000005</v>
      </c>
      <c r="E32" s="721">
        <v>4057358.87</v>
      </c>
      <c r="F32" s="731">
        <v>958244.74</v>
      </c>
      <c r="G32" s="731">
        <v>0</v>
      </c>
      <c r="H32" s="728">
        <f t="shared" si="1"/>
        <v>2576639.33</v>
      </c>
      <c r="I32" s="731">
        <v>983562.48</v>
      </c>
      <c r="J32" s="731">
        <v>837155.56</v>
      </c>
      <c r="K32" s="731">
        <v>755921.29</v>
      </c>
      <c r="L32" s="731">
        <v>0</v>
      </c>
    </row>
    <row r="33" spans="1:12">
      <c r="A33" s="428">
        <v>27</v>
      </c>
      <c r="B33" s="485" t="s">
        <v>66</v>
      </c>
      <c r="C33" s="732">
        <f>SUM(C7:C32)</f>
        <v>3138763963.3099995</v>
      </c>
      <c r="D33" s="732">
        <f t="shared" ref="D33:G33" si="2">SUM(D7:D32)</f>
        <v>2984976952.3800001</v>
      </c>
      <c r="E33" s="732">
        <f t="shared" si="2"/>
        <v>130333817.37</v>
      </c>
      <c r="F33" s="732">
        <f t="shared" si="2"/>
        <v>23442761.27</v>
      </c>
      <c r="G33" s="732">
        <f t="shared" si="2"/>
        <v>10432.290000000001</v>
      </c>
      <c r="H33" s="728">
        <f>SUM(H7:H32)</f>
        <v>66184423.409999996</v>
      </c>
      <c r="I33" s="728">
        <f t="shared" ref="I33:L33" si="3">SUM(I7:I32)</f>
        <v>25829964.169999998</v>
      </c>
      <c r="J33" s="728">
        <f t="shared" si="3"/>
        <v>24275480.920000002</v>
      </c>
      <c r="K33" s="728">
        <f t="shared" si="3"/>
        <v>16078844.07</v>
      </c>
      <c r="L33" s="728">
        <f t="shared" si="3"/>
        <v>134.25</v>
      </c>
    </row>
    <row r="35" spans="1:12">
      <c r="B35" s="484"/>
      <c r="C35" s="484"/>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1" zoomScale="80" zoomScaleNormal="80" workbookViewId="0">
      <selection activeCell="B13" sqref="B13"/>
    </sheetView>
  </sheetViews>
  <sheetFormatPr defaultColWidth="8.77734375" defaultRowHeight="12"/>
  <cols>
    <col min="1" max="1" width="9.5546875" style="324" customWidth="1"/>
    <col min="2" max="2" width="78" style="324" customWidth="1"/>
    <col min="3" max="11" width="18.77734375" style="324" customWidth="1"/>
    <col min="12" max="16384" width="8.77734375" style="324"/>
  </cols>
  <sheetData>
    <row r="1" spans="1:11" s="317" customFormat="1" ht="13.8">
      <c r="A1" s="316" t="s">
        <v>97</v>
      </c>
      <c r="B1" s="248" t="str">
        <f>Info!C2</f>
        <v>სს "კრედო ბანკი"</v>
      </c>
      <c r="C1" s="438"/>
      <c r="D1" s="438"/>
      <c r="E1" s="438"/>
      <c r="F1" s="438"/>
      <c r="G1" s="438"/>
      <c r="H1" s="438"/>
      <c r="I1" s="438"/>
      <c r="J1" s="438"/>
      <c r="K1" s="438"/>
    </row>
    <row r="2" spans="1:11" s="317" customFormat="1">
      <c r="A2" s="316" t="s">
        <v>98</v>
      </c>
      <c r="B2" s="319">
        <f>'1. key ratios'!B2</f>
        <v>46022</v>
      </c>
      <c r="C2" s="438"/>
      <c r="D2" s="438"/>
      <c r="E2" s="438"/>
      <c r="F2" s="438"/>
      <c r="G2" s="438"/>
      <c r="H2" s="438"/>
      <c r="I2" s="438"/>
      <c r="J2" s="438"/>
      <c r="K2" s="438"/>
    </row>
    <row r="3" spans="1:11" s="317" customFormat="1">
      <c r="A3" s="318" t="s">
        <v>567</v>
      </c>
      <c r="B3" s="438"/>
      <c r="C3" s="438"/>
      <c r="D3" s="438"/>
      <c r="E3" s="438"/>
      <c r="F3" s="438"/>
      <c r="G3" s="438"/>
      <c r="H3" s="438"/>
      <c r="I3" s="438"/>
      <c r="J3" s="438"/>
      <c r="K3" s="438"/>
    </row>
    <row r="4" spans="1:11">
      <c r="A4" s="489"/>
      <c r="B4" s="489"/>
      <c r="C4" s="488" t="s">
        <v>471</v>
      </c>
      <c r="D4" s="488" t="s">
        <v>472</v>
      </c>
      <c r="E4" s="488" t="s">
        <v>473</v>
      </c>
      <c r="F4" s="488" t="s">
        <v>474</v>
      </c>
      <c r="G4" s="488" t="s">
        <v>475</v>
      </c>
      <c r="H4" s="488" t="s">
        <v>476</v>
      </c>
      <c r="I4" s="488" t="s">
        <v>477</v>
      </c>
      <c r="J4" s="488" t="s">
        <v>478</v>
      </c>
      <c r="K4" s="488" t="s">
        <v>479</v>
      </c>
    </row>
    <row r="5" spans="1:11" ht="103.95" customHeight="1">
      <c r="A5" s="897" t="s">
        <v>874</v>
      </c>
      <c r="B5" s="898"/>
      <c r="C5" s="487" t="s">
        <v>568</v>
      </c>
      <c r="D5" s="487" t="s">
        <v>561</v>
      </c>
      <c r="E5" s="487" t="s">
        <v>562</v>
      </c>
      <c r="F5" s="487" t="s">
        <v>873</v>
      </c>
      <c r="G5" s="487" t="s">
        <v>569</v>
      </c>
      <c r="H5" s="487" t="s">
        <v>570</v>
      </c>
      <c r="I5" s="487" t="s">
        <v>571</v>
      </c>
      <c r="J5" s="487" t="s">
        <v>572</v>
      </c>
      <c r="K5" s="487" t="s">
        <v>573</v>
      </c>
    </row>
    <row r="6" spans="1:11">
      <c r="A6" s="428">
        <v>1</v>
      </c>
      <c r="B6" s="428" t="s">
        <v>574</v>
      </c>
      <c r="C6" s="721">
        <v>7069192.422701247</v>
      </c>
      <c r="D6" s="721">
        <v>36871.54844534181</v>
      </c>
      <c r="E6" s="721"/>
      <c r="F6" s="721"/>
      <c r="G6" s="721">
        <v>1127155305.5131011</v>
      </c>
      <c r="H6" s="721"/>
      <c r="I6" s="721">
        <v>132851568.91766202</v>
      </c>
      <c r="J6" s="721">
        <v>330271320.91705608</v>
      </c>
      <c r="K6" s="721">
        <v>1541379703.9844956</v>
      </c>
    </row>
    <row r="7" spans="1:11">
      <c r="A7" s="428">
        <v>2</v>
      </c>
      <c r="B7" s="428" t="s">
        <v>575</v>
      </c>
      <c r="C7" s="721"/>
      <c r="D7" s="721"/>
      <c r="E7" s="721"/>
      <c r="F7" s="721"/>
      <c r="G7" s="721"/>
      <c r="H7" s="721"/>
      <c r="I7" s="721"/>
      <c r="J7" s="721"/>
      <c r="K7" s="721"/>
    </row>
    <row r="8" spans="1:11">
      <c r="A8" s="428">
        <v>3</v>
      </c>
      <c r="B8" s="428" t="s">
        <v>539</v>
      </c>
      <c r="C8" s="721">
        <v>0</v>
      </c>
      <c r="D8" s="721">
        <v>0</v>
      </c>
      <c r="E8" s="721"/>
      <c r="F8" s="721"/>
      <c r="G8" s="721">
        <v>26202112.901160385</v>
      </c>
      <c r="H8" s="721"/>
      <c r="I8" s="721">
        <v>427886.41344948392</v>
      </c>
      <c r="J8" s="721">
        <v>11346690.203653265</v>
      </c>
      <c r="K8" s="721">
        <v>408958096.57173693</v>
      </c>
    </row>
    <row r="9" spans="1:11">
      <c r="A9" s="428">
        <v>4</v>
      </c>
      <c r="B9" s="445" t="s">
        <v>872</v>
      </c>
      <c r="C9" s="733">
        <v>963.49826687698203</v>
      </c>
      <c r="D9" s="733">
        <v>0</v>
      </c>
      <c r="E9" s="733"/>
      <c r="F9" s="733"/>
      <c r="G9" s="733">
        <v>3521217.8285050476</v>
      </c>
      <c r="H9" s="733"/>
      <c r="I9" s="733">
        <v>2176764.627200014</v>
      </c>
      <c r="J9" s="733">
        <v>2217173.9650604888</v>
      </c>
      <c r="K9" s="733">
        <v>15537073.616972225</v>
      </c>
    </row>
    <row r="10" spans="1:11">
      <c r="A10" s="428">
        <v>5</v>
      </c>
      <c r="B10" s="445" t="s">
        <v>871</v>
      </c>
      <c r="C10" s="733"/>
      <c r="D10" s="733"/>
      <c r="E10" s="733"/>
      <c r="F10" s="733"/>
      <c r="G10" s="733"/>
      <c r="H10" s="733"/>
      <c r="I10" s="733"/>
      <c r="J10" s="733"/>
      <c r="K10" s="733"/>
    </row>
    <row r="11" spans="1:11">
      <c r="A11" s="428">
        <v>6</v>
      </c>
      <c r="B11" s="445" t="s">
        <v>870</v>
      </c>
      <c r="C11" s="733"/>
      <c r="D11" s="733"/>
      <c r="E11" s="733"/>
      <c r="F11" s="733"/>
      <c r="G11" s="733"/>
      <c r="H11" s="733"/>
      <c r="I11" s="733"/>
      <c r="J11" s="733"/>
      <c r="K11" s="733"/>
    </row>
    <row r="13" spans="1:11" ht="13.8">
      <c r="B13" s="486"/>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1"/>
  <sheetViews>
    <sheetView showGridLines="0" zoomScale="80" zoomScaleNormal="80" workbookViewId="0">
      <selection activeCell="S25" sqref="S25"/>
    </sheetView>
  </sheetViews>
  <sheetFormatPr defaultColWidth="8.77734375" defaultRowHeight="14.4"/>
  <cols>
    <col min="1" max="1" width="10" style="490" bestFit="1" customWidth="1"/>
    <col min="2" max="2" width="71.77734375" style="490" customWidth="1"/>
    <col min="3" max="3" width="13.88671875" style="490" bestFit="1" customWidth="1"/>
    <col min="4" max="5" width="15.33203125" style="490" bestFit="1" customWidth="1"/>
    <col min="6" max="6" width="20.109375" style="490" bestFit="1" customWidth="1"/>
    <col min="7" max="7" width="37.77734375" style="490" bestFit="1" customWidth="1"/>
    <col min="8" max="8" width="11.6640625" style="490" bestFit="1" customWidth="1"/>
    <col min="9" max="10" width="15.33203125" style="490" bestFit="1" customWidth="1"/>
    <col min="11" max="11" width="20.109375" style="490" bestFit="1" customWidth="1"/>
    <col min="12" max="12" width="37.77734375" style="490" bestFit="1" customWidth="1"/>
    <col min="13" max="13" width="10.77734375" style="490" bestFit="1" customWidth="1"/>
    <col min="14" max="15" width="15.33203125" style="490" bestFit="1" customWidth="1"/>
    <col min="16" max="16" width="20.109375" style="490" bestFit="1" customWidth="1"/>
    <col min="17" max="17" width="37.77734375" style="490" bestFit="1" customWidth="1"/>
    <col min="18" max="18" width="18" style="490" bestFit="1" customWidth="1"/>
    <col min="19" max="19" width="48" style="490" bestFit="1" customWidth="1"/>
    <col min="20" max="20" width="45.77734375" style="490" bestFit="1" customWidth="1"/>
    <col min="21" max="21" width="48" style="490" bestFit="1" customWidth="1"/>
    <col min="22" max="22" width="44.33203125" style="490" bestFit="1" customWidth="1"/>
    <col min="23" max="16384" width="8.77734375" style="490"/>
  </cols>
  <sheetData>
    <row r="1" spans="1:22">
      <c r="A1" s="316" t="s">
        <v>97</v>
      </c>
      <c r="B1" s="248" t="str">
        <f>Info!C2</f>
        <v>სს "კრედო ბანკი"</v>
      </c>
    </row>
    <row r="2" spans="1:22">
      <c r="A2" s="316" t="s">
        <v>98</v>
      </c>
      <c r="B2" s="319">
        <f>'1. key ratios'!B2</f>
        <v>46022</v>
      </c>
    </row>
    <row r="3" spans="1:22">
      <c r="A3" s="318" t="s">
        <v>657</v>
      </c>
      <c r="B3" s="438"/>
    </row>
    <row r="4" spans="1:22">
      <c r="A4" s="318"/>
      <c r="B4" s="438"/>
    </row>
    <row r="5" spans="1:22" ht="24" customHeight="1">
      <c r="A5" s="899" t="s">
        <v>684</v>
      </c>
      <c r="B5" s="899"/>
      <c r="C5" s="901" t="s">
        <v>876</v>
      </c>
      <c r="D5" s="901"/>
      <c r="E5" s="901"/>
      <c r="F5" s="901"/>
      <c r="G5" s="901"/>
      <c r="H5" s="901" t="s">
        <v>565</v>
      </c>
      <c r="I5" s="901"/>
      <c r="J5" s="901"/>
      <c r="K5" s="901"/>
      <c r="L5" s="901"/>
      <c r="M5" s="901" t="s">
        <v>875</v>
      </c>
      <c r="N5" s="901"/>
      <c r="O5" s="901"/>
      <c r="P5" s="901"/>
      <c r="Q5" s="901"/>
      <c r="R5" s="900" t="s">
        <v>683</v>
      </c>
      <c r="S5" s="900" t="s">
        <v>687</v>
      </c>
      <c r="T5" s="900" t="s">
        <v>686</v>
      </c>
      <c r="U5" s="900" t="s">
        <v>914</v>
      </c>
      <c r="V5" s="900" t="s">
        <v>915</v>
      </c>
    </row>
    <row r="6" spans="1:22" ht="36" customHeight="1">
      <c r="A6" s="899"/>
      <c r="B6" s="899"/>
      <c r="C6" s="499"/>
      <c r="D6" s="436" t="s">
        <v>860</v>
      </c>
      <c r="E6" s="436" t="s">
        <v>859</v>
      </c>
      <c r="F6" s="436" t="s">
        <v>858</v>
      </c>
      <c r="G6" s="436" t="s">
        <v>857</v>
      </c>
      <c r="H6" s="499"/>
      <c r="I6" s="436" t="s">
        <v>860</v>
      </c>
      <c r="J6" s="436" t="s">
        <v>859</v>
      </c>
      <c r="K6" s="436" t="s">
        <v>858</v>
      </c>
      <c r="L6" s="436" t="s">
        <v>857</v>
      </c>
      <c r="M6" s="499"/>
      <c r="N6" s="436" t="s">
        <v>860</v>
      </c>
      <c r="O6" s="436" t="s">
        <v>859</v>
      </c>
      <c r="P6" s="436" t="s">
        <v>858</v>
      </c>
      <c r="Q6" s="436" t="s">
        <v>857</v>
      </c>
      <c r="R6" s="900"/>
      <c r="S6" s="900"/>
      <c r="T6" s="900"/>
      <c r="U6" s="900"/>
      <c r="V6" s="900"/>
    </row>
    <row r="7" spans="1:22">
      <c r="A7" s="494">
        <v>1</v>
      </c>
      <c r="B7" s="498" t="s">
        <v>658</v>
      </c>
      <c r="C7" s="749">
        <f>SUM(D7:G7)</f>
        <v>26230178.425100058</v>
      </c>
      <c r="D7" s="733">
        <v>25002897.70510006</v>
      </c>
      <c r="E7" s="733">
        <v>521334.06999999995</v>
      </c>
      <c r="F7" s="733">
        <v>705946.65000000037</v>
      </c>
      <c r="G7" s="733">
        <v>0</v>
      </c>
      <c r="H7" s="749">
        <f>SUM(I7:L7)</f>
        <v>26616767.027376983</v>
      </c>
      <c r="I7" s="733">
        <v>25229566.651809011</v>
      </c>
      <c r="J7" s="733">
        <v>547411.21268263133</v>
      </c>
      <c r="K7" s="733">
        <v>839789.16288534331</v>
      </c>
      <c r="L7" s="733">
        <v>0</v>
      </c>
      <c r="M7" s="749">
        <f>SUM(N7:Q7)</f>
        <v>1076387.6050322833</v>
      </c>
      <c r="N7" s="733">
        <v>344224.42824954708</v>
      </c>
      <c r="O7" s="733">
        <v>212123.16726040203</v>
      </c>
      <c r="P7" s="733">
        <v>520040.00952233409</v>
      </c>
      <c r="Q7" s="733">
        <v>0</v>
      </c>
      <c r="R7" s="733">
        <v>29419</v>
      </c>
      <c r="S7" s="754">
        <v>0.193</v>
      </c>
      <c r="T7" s="754">
        <v>0.30057</v>
      </c>
      <c r="U7" s="754">
        <v>0.22</v>
      </c>
      <c r="V7" s="750">
        <v>33.344999999999999</v>
      </c>
    </row>
    <row r="8" spans="1:22">
      <c r="A8" s="494">
        <v>2</v>
      </c>
      <c r="B8" s="497" t="s">
        <v>659</v>
      </c>
      <c r="C8" s="749">
        <f t="shared" ref="C8:C18" si="0">SUM(D8:G8)</f>
        <v>1217564124.6523929</v>
      </c>
      <c r="D8" s="733">
        <v>1123729055.1438928</v>
      </c>
      <c r="E8" s="733">
        <v>86155142.388500214</v>
      </c>
      <c r="F8" s="733">
        <v>7679927.1199999982</v>
      </c>
      <c r="G8" s="733">
        <v>0</v>
      </c>
      <c r="H8" s="749">
        <f t="shared" ref="H8:H18" si="1">SUM(I8:L8)</f>
        <v>1212298809.2199268</v>
      </c>
      <c r="I8" s="733">
        <v>1119950042.9531629</v>
      </c>
      <c r="J8" s="733">
        <v>83147601.224931642</v>
      </c>
      <c r="K8" s="733">
        <v>9201165.0418323036</v>
      </c>
      <c r="L8" s="733">
        <v>0</v>
      </c>
      <c r="M8" s="749">
        <f t="shared" ref="M8:M18" si="2">SUM(N8:Q8)</f>
        <v>34520102.605411187</v>
      </c>
      <c r="N8" s="733">
        <v>12107179.918455411</v>
      </c>
      <c r="O8" s="733">
        <v>15390787.12420997</v>
      </c>
      <c r="P8" s="733">
        <v>7022135.5627458049</v>
      </c>
      <c r="Q8" s="733">
        <v>0</v>
      </c>
      <c r="R8" s="733">
        <v>163360</v>
      </c>
      <c r="S8" s="754">
        <v>0.22339999999999999</v>
      </c>
      <c r="T8" s="754">
        <v>0.28945199999999999</v>
      </c>
      <c r="U8" s="754">
        <v>0.21</v>
      </c>
      <c r="V8" s="750">
        <v>42.577199999999998</v>
      </c>
    </row>
    <row r="9" spans="1:22">
      <c r="A9" s="494">
        <v>3</v>
      </c>
      <c r="B9" s="497" t="s">
        <v>660</v>
      </c>
      <c r="C9" s="749">
        <f t="shared" si="0"/>
        <v>0</v>
      </c>
      <c r="D9" s="733">
        <v>0</v>
      </c>
      <c r="E9" s="733">
        <v>0</v>
      </c>
      <c r="F9" s="733">
        <v>0</v>
      </c>
      <c r="G9" s="733">
        <v>0</v>
      </c>
      <c r="H9" s="749">
        <f t="shared" si="1"/>
        <v>0</v>
      </c>
      <c r="I9" s="733">
        <v>0</v>
      </c>
      <c r="J9" s="733">
        <v>0</v>
      </c>
      <c r="K9" s="733">
        <v>0</v>
      </c>
      <c r="L9" s="733">
        <v>0</v>
      </c>
      <c r="M9" s="749">
        <f t="shared" si="2"/>
        <v>0</v>
      </c>
      <c r="N9" s="733">
        <v>0</v>
      </c>
      <c r="O9" s="733">
        <v>0</v>
      </c>
      <c r="P9" s="733">
        <v>0</v>
      </c>
      <c r="Q9" s="733">
        <v>0</v>
      </c>
      <c r="R9" s="733">
        <v>0</v>
      </c>
      <c r="S9" s="754">
        <v>0</v>
      </c>
      <c r="T9" s="754">
        <v>0</v>
      </c>
      <c r="U9" s="754">
        <v>0</v>
      </c>
      <c r="V9" s="750">
        <v>0</v>
      </c>
    </row>
    <row r="10" spans="1:22">
      <c r="A10" s="494">
        <v>4</v>
      </c>
      <c r="B10" s="497" t="s">
        <v>661</v>
      </c>
      <c r="C10" s="749">
        <f t="shared" si="0"/>
        <v>304569613.28001189</v>
      </c>
      <c r="D10" s="733">
        <v>295180453.92001188</v>
      </c>
      <c r="E10" s="733">
        <v>6918164.2399999965</v>
      </c>
      <c r="F10" s="733">
        <v>2470995.1199999987</v>
      </c>
      <c r="G10" s="733">
        <v>0</v>
      </c>
      <c r="H10" s="749">
        <f t="shared" si="1"/>
        <v>329277942.73518676</v>
      </c>
      <c r="I10" s="733">
        <v>316907653.45713842</v>
      </c>
      <c r="J10" s="733">
        <v>8415168.1185787544</v>
      </c>
      <c r="K10" s="733">
        <v>3955121.1594696138</v>
      </c>
      <c r="L10" s="733">
        <v>0</v>
      </c>
      <c r="M10" s="749">
        <f t="shared" si="2"/>
        <v>9668582.0627007708</v>
      </c>
      <c r="N10" s="733">
        <v>4324930.3526778398</v>
      </c>
      <c r="O10" s="733">
        <v>2189199.0600513816</v>
      </c>
      <c r="P10" s="733">
        <v>3154452.6499715503</v>
      </c>
      <c r="Q10" s="733">
        <v>0</v>
      </c>
      <c r="R10" s="733">
        <v>328689</v>
      </c>
      <c r="S10" s="754">
        <v>9.9400000000000002E-2</v>
      </c>
      <c r="T10" s="754">
        <v>0.20191600000000001</v>
      </c>
      <c r="U10" s="754">
        <v>0.15</v>
      </c>
      <c r="V10" s="750">
        <v>17.774899999999999</v>
      </c>
    </row>
    <row r="11" spans="1:22">
      <c r="A11" s="494">
        <v>5</v>
      </c>
      <c r="B11" s="497" t="s">
        <v>662</v>
      </c>
      <c r="C11" s="749">
        <f t="shared" si="0"/>
        <v>1908030.3206</v>
      </c>
      <c r="D11" s="733">
        <v>1908030.3206</v>
      </c>
      <c r="E11" s="733">
        <v>0</v>
      </c>
      <c r="F11" s="733">
        <v>0</v>
      </c>
      <c r="G11" s="733">
        <v>0</v>
      </c>
      <c r="H11" s="749">
        <f t="shared" si="1"/>
        <v>1969562.0240319662</v>
      </c>
      <c r="I11" s="733">
        <v>1969562.0240319662</v>
      </c>
      <c r="J11" s="733">
        <v>0</v>
      </c>
      <c r="K11" s="733">
        <v>0</v>
      </c>
      <c r="L11" s="733">
        <v>0</v>
      </c>
      <c r="M11" s="749">
        <f t="shared" si="2"/>
        <v>11989.580955966674</v>
      </c>
      <c r="N11" s="733">
        <v>11989.580955966674</v>
      </c>
      <c r="O11" s="733">
        <v>0</v>
      </c>
      <c r="P11" s="733">
        <v>0</v>
      </c>
      <c r="Q11" s="733">
        <v>0</v>
      </c>
      <c r="R11" s="733">
        <v>22</v>
      </c>
      <c r="S11" s="754">
        <v>0.1052</v>
      </c>
      <c r="T11" s="754">
        <v>0.12296600000000001</v>
      </c>
      <c r="U11" s="754">
        <v>0.12</v>
      </c>
      <c r="V11" s="750">
        <v>9.4189000000000007</v>
      </c>
    </row>
    <row r="12" spans="1:22">
      <c r="A12" s="494">
        <v>6</v>
      </c>
      <c r="B12" s="497" t="s">
        <v>663</v>
      </c>
      <c r="C12" s="749">
        <f t="shared" si="0"/>
        <v>87654535.49999918</v>
      </c>
      <c r="D12" s="733">
        <v>84043450.159999177</v>
      </c>
      <c r="E12" s="733">
        <v>2187559.7799999979</v>
      </c>
      <c r="F12" s="733">
        <v>1423525.5600000022</v>
      </c>
      <c r="G12" s="733">
        <v>0</v>
      </c>
      <c r="H12" s="749">
        <f t="shared" si="1"/>
        <v>87895239.947336659</v>
      </c>
      <c r="I12" s="733">
        <v>84272827.917575344</v>
      </c>
      <c r="J12" s="733">
        <v>2194728.1889877245</v>
      </c>
      <c r="K12" s="733">
        <v>1427683.8407736036</v>
      </c>
      <c r="L12" s="733">
        <v>0</v>
      </c>
      <c r="M12" s="749">
        <f t="shared" si="2"/>
        <v>3065470.3226951761</v>
      </c>
      <c r="N12" s="733">
        <v>1194871.0424341811</v>
      </c>
      <c r="O12" s="733">
        <v>731933.51168722718</v>
      </c>
      <c r="P12" s="733">
        <v>1138665.7685737677</v>
      </c>
      <c r="Q12" s="733">
        <v>0</v>
      </c>
      <c r="R12" s="733">
        <v>137593</v>
      </c>
      <c r="S12" s="754">
        <v>0.34010000000000001</v>
      </c>
      <c r="T12" s="754">
        <v>0.40600799999999998</v>
      </c>
      <c r="U12" s="754">
        <v>0.34</v>
      </c>
      <c r="V12" s="750">
        <v>321.01299999999998</v>
      </c>
    </row>
    <row r="13" spans="1:22">
      <c r="A13" s="494">
        <v>7</v>
      </c>
      <c r="B13" s="497" t="s">
        <v>664</v>
      </c>
      <c r="C13" s="749">
        <f t="shared" si="0"/>
        <v>358191030.44730026</v>
      </c>
      <c r="D13" s="749">
        <f>SUM(D14:D16)</f>
        <v>354829975.90730023</v>
      </c>
      <c r="E13" s="749">
        <f t="shared" ref="E13:G13" si="3">SUM(E14:E16)</f>
        <v>2916712.799999998</v>
      </c>
      <c r="F13" s="749">
        <f t="shared" si="3"/>
        <v>439590.97000000003</v>
      </c>
      <c r="G13" s="749">
        <f t="shared" si="3"/>
        <v>4750.7700000000004</v>
      </c>
      <c r="H13" s="749">
        <f t="shared" si="1"/>
        <v>362494780.75515437</v>
      </c>
      <c r="I13" s="749">
        <f>SUM(I14:I16)</f>
        <v>359063289.75215495</v>
      </c>
      <c r="J13" s="749">
        <f t="shared" ref="J13:L13" si="4">SUM(J14:J16)</f>
        <v>2933028.9163187733</v>
      </c>
      <c r="K13" s="749">
        <f t="shared" si="4"/>
        <v>493688.62888836022</v>
      </c>
      <c r="L13" s="749">
        <f t="shared" si="4"/>
        <v>4773.4577922882199</v>
      </c>
      <c r="M13" s="749">
        <f t="shared" si="2"/>
        <v>2493264.5289928033</v>
      </c>
      <c r="N13" s="749">
        <f>SUM(N14:N16)</f>
        <v>1516380.6224779247</v>
      </c>
      <c r="O13" s="749">
        <f t="shared" ref="O13:Q13" si="5">SUM(O14:O16)</f>
        <v>587609.72245910089</v>
      </c>
      <c r="P13" s="749">
        <f t="shared" si="5"/>
        <v>389212.75595691946</v>
      </c>
      <c r="Q13" s="749">
        <f t="shared" si="5"/>
        <v>61.428098858438197</v>
      </c>
      <c r="R13" s="749">
        <v>9938</v>
      </c>
      <c r="S13" s="754">
        <v>0.14119999999999999</v>
      </c>
      <c r="T13" s="754">
        <v>0.170455</v>
      </c>
      <c r="U13" s="754">
        <v>0.1444</v>
      </c>
      <c r="V13" s="750">
        <v>107.5211</v>
      </c>
    </row>
    <row r="14" spans="1:22">
      <c r="A14" s="492">
        <v>7.1</v>
      </c>
      <c r="B14" s="491" t="s">
        <v>665</v>
      </c>
      <c r="C14" s="749">
        <f t="shared" si="0"/>
        <v>278049950.92680025</v>
      </c>
      <c r="D14" s="733">
        <v>277724777.24680024</v>
      </c>
      <c r="E14" s="733">
        <v>302533.80999999994</v>
      </c>
      <c r="F14" s="733">
        <v>22639.87</v>
      </c>
      <c r="G14" s="733">
        <v>0</v>
      </c>
      <c r="H14" s="749">
        <f t="shared" si="1"/>
        <v>282355779.82321119</v>
      </c>
      <c r="I14" s="733">
        <v>282011854.13178456</v>
      </c>
      <c r="J14" s="733">
        <v>317204.00131870038</v>
      </c>
      <c r="K14" s="733">
        <v>26721.690107945</v>
      </c>
      <c r="L14" s="733">
        <v>0</v>
      </c>
      <c r="M14" s="749">
        <f t="shared" si="2"/>
        <v>999688.30526378797</v>
      </c>
      <c r="N14" s="733">
        <v>886696.67100595741</v>
      </c>
      <c r="O14" s="733">
        <v>93035.918637951036</v>
      </c>
      <c r="P14" s="733">
        <v>19955.7156198796</v>
      </c>
      <c r="Q14" s="733">
        <v>0</v>
      </c>
      <c r="R14" s="733">
        <v>2876</v>
      </c>
      <c r="S14" s="754">
        <v>0.1361</v>
      </c>
      <c r="T14" s="754">
        <v>0.162657</v>
      </c>
      <c r="U14" s="754">
        <v>0.13</v>
      </c>
      <c r="V14" s="750">
        <v>121.62990000000001</v>
      </c>
    </row>
    <row r="15" spans="1:22" ht="24">
      <c r="A15" s="492">
        <v>7.2</v>
      </c>
      <c r="B15" s="491" t="s">
        <v>666</v>
      </c>
      <c r="C15" s="749">
        <f t="shared" si="0"/>
        <v>4294661.4177000001</v>
      </c>
      <c r="D15" s="733">
        <v>4220650.8977000006</v>
      </c>
      <c r="E15" s="733">
        <v>74010.52</v>
      </c>
      <c r="F15" s="733">
        <v>0</v>
      </c>
      <c r="G15" s="733">
        <v>0</v>
      </c>
      <c r="H15" s="749">
        <f t="shared" si="1"/>
        <v>4325405.212684527</v>
      </c>
      <c r="I15" s="733">
        <v>4254700.9215397285</v>
      </c>
      <c r="J15" s="733">
        <v>70704.291144798524</v>
      </c>
      <c r="K15" s="733">
        <v>0</v>
      </c>
      <c r="L15" s="733">
        <v>0</v>
      </c>
      <c r="M15" s="749">
        <f t="shared" si="2"/>
        <v>34063.335807107651</v>
      </c>
      <c r="N15" s="733">
        <v>11508.116387827416</v>
      </c>
      <c r="O15" s="733">
        <v>22555.219419280231</v>
      </c>
      <c r="P15" s="733">
        <v>0</v>
      </c>
      <c r="Q15" s="733">
        <v>0</v>
      </c>
      <c r="R15" s="733">
        <v>57</v>
      </c>
      <c r="S15" s="754">
        <v>0.13039999999999999</v>
      </c>
      <c r="T15" s="754">
        <v>0.15382499999999999</v>
      </c>
      <c r="U15" s="754">
        <v>0.12</v>
      </c>
      <c r="V15" s="750">
        <v>95.316500000000005</v>
      </c>
    </row>
    <row r="16" spans="1:22">
      <c r="A16" s="492">
        <v>7.3</v>
      </c>
      <c r="B16" s="491" t="s">
        <v>667</v>
      </c>
      <c r="C16" s="749">
        <f t="shared" si="0"/>
        <v>75846418.102799997</v>
      </c>
      <c r="D16" s="733">
        <v>72884547.762800008</v>
      </c>
      <c r="E16" s="733">
        <v>2540168.4699999979</v>
      </c>
      <c r="F16" s="733">
        <v>416951.10000000003</v>
      </c>
      <c r="G16" s="733">
        <v>4750.7700000000004</v>
      </c>
      <c r="H16" s="749">
        <f t="shared" si="1"/>
        <v>75813595.719258621</v>
      </c>
      <c r="I16" s="733">
        <v>72796734.698830649</v>
      </c>
      <c r="J16" s="733">
        <v>2545120.6238552746</v>
      </c>
      <c r="K16" s="733">
        <v>466966.93878041522</v>
      </c>
      <c r="L16" s="733">
        <v>4773.4577922882199</v>
      </c>
      <c r="M16" s="749">
        <f t="shared" si="2"/>
        <v>1459512.8879219077</v>
      </c>
      <c r="N16" s="733">
        <v>618175.83508413984</v>
      </c>
      <c r="O16" s="733">
        <v>472018.58440186968</v>
      </c>
      <c r="P16" s="733">
        <v>369257.04033703986</v>
      </c>
      <c r="Q16" s="733">
        <v>61.428098858438197</v>
      </c>
      <c r="R16" s="733">
        <v>7005</v>
      </c>
      <c r="S16" s="754">
        <v>0.1789</v>
      </c>
      <c r="T16" s="754">
        <v>0.22788800000000001</v>
      </c>
      <c r="U16" s="754">
        <v>0.18</v>
      </c>
      <c r="V16" s="750">
        <v>56.49</v>
      </c>
    </row>
    <row r="17" spans="1:22">
      <c r="A17" s="494">
        <v>8</v>
      </c>
      <c r="B17" s="497" t="s">
        <v>668</v>
      </c>
      <c r="C17" s="749">
        <f t="shared" si="0"/>
        <v>0</v>
      </c>
      <c r="D17" s="733">
        <v>0</v>
      </c>
      <c r="E17" s="733">
        <v>0</v>
      </c>
      <c r="F17" s="733">
        <v>0</v>
      </c>
      <c r="G17" s="733">
        <v>0</v>
      </c>
      <c r="H17" s="749">
        <f t="shared" si="1"/>
        <v>0</v>
      </c>
      <c r="I17" s="733">
        <v>0</v>
      </c>
      <c r="J17" s="733">
        <v>0</v>
      </c>
      <c r="K17" s="733">
        <v>0</v>
      </c>
      <c r="L17" s="733">
        <v>0</v>
      </c>
      <c r="M17" s="749">
        <f t="shared" si="2"/>
        <v>0</v>
      </c>
      <c r="N17" s="733">
        <v>0</v>
      </c>
      <c r="O17" s="733">
        <v>0</v>
      </c>
      <c r="P17" s="733">
        <v>0</v>
      </c>
      <c r="Q17" s="733">
        <v>0</v>
      </c>
      <c r="R17" s="733">
        <v>0</v>
      </c>
      <c r="S17" s="754">
        <v>0</v>
      </c>
      <c r="T17" s="754">
        <v>0</v>
      </c>
      <c r="U17" s="754">
        <v>0</v>
      </c>
      <c r="V17" s="750">
        <v>0</v>
      </c>
    </row>
    <row r="18" spans="1:22">
      <c r="A18" s="496">
        <v>9</v>
      </c>
      <c r="B18" s="495" t="s">
        <v>669</v>
      </c>
      <c r="C18" s="749">
        <f t="shared" si="0"/>
        <v>7549140.5163000012</v>
      </c>
      <c r="D18" s="752">
        <v>7475881.1563000018</v>
      </c>
      <c r="E18" s="752">
        <v>65926.59</v>
      </c>
      <c r="F18" s="752">
        <v>7332.77</v>
      </c>
      <c r="G18" s="752">
        <v>0</v>
      </c>
      <c r="H18" s="749">
        <f t="shared" si="1"/>
        <v>8180595.7482470004</v>
      </c>
      <c r="I18" s="752">
        <v>8097391.6375157665</v>
      </c>
      <c r="J18" s="752">
        <v>74236.254895840451</v>
      </c>
      <c r="K18" s="752">
        <v>8967.8558353931494</v>
      </c>
      <c r="L18" s="752">
        <v>0</v>
      </c>
      <c r="M18" s="749">
        <f t="shared" si="2"/>
        <v>139099.07110639193</v>
      </c>
      <c r="N18" s="752">
        <v>107174.87858858393</v>
      </c>
      <c r="O18" s="752">
        <v>24862.581355143571</v>
      </c>
      <c r="P18" s="752">
        <v>7061.6111626644342</v>
      </c>
      <c r="Q18" s="752">
        <v>0</v>
      </c>
      <c r="R18" s="752">
        <v>2474</v>
      </c>
      <c r="S18" s="754">
        <v>9.3399999999999997E-2</v>
      </c>
      <c r="T18" s="754">
        <v>0.120266</v>
      </c>
      <c r="U18" s="754">
        <v>0.04</v>
      </c>
      <c r="V18" s="751">
        <v>42.637099999999997</v>
      </c>
    </row>
    <row r="19" spans="1:22">
      <c r="A19" s="494">
        <v>10</v>
      </c>
      <c r="B19" s="493" t="s">
        <v>685</v>
      </c>
      <c r="C19" s="749">
        <f>SUM(C7:C13)+C17+C18</f>
        <v>2003666653.1417043</v>
      </c>
      <c r="D19" s="749">
        <f t="shared" ref="D19:G19" si="6">SUM(D7:D13)+D17+D18</f>
        <v>1892169744.3132043</v>
      </c>
      <c r="E19" s="749">
        <f t="shared" si="6"/>
        <v>98764839.868500203</v>
      </c>
      <c r="F19" s="749">
        <f t="shared" si="6"/>
        <v>12727318.189999999</v>
      </c>
      <c r="G19" s="749">
        <f t="shared" si="6"/>
        <v>4750.7700000000004</v>
      </c>
      <c r="H19" s="749">
        <f>SUM(H7:H13)+H17+H18</f>
        <v>2028733697.4572604</v>
      </c>
      <c r="I19" s="749">
        <f t="shared" ref="I19:L19" si="7">SUM(I7:I13)+I17+I18</f>
        <v>1915490334.3933885</v>
      </c>
      <c r="J19" s="749">
        <f t="shared" si="7"/>
        <v>97312173.916395366</v>
      </c>
      <c r="K19" s="749">
        <f t="shared" si="7"/>
        <v>15926415.689684618</v>
      </c>
      <c r="L19" s="749">
        <f t="shared" si="7"/>
        <v>4773.4577922882199</v>
      </c>
      <c r="M19" s="749">
        <f>SUM(M7:M13)+M17+M18</f>
        <v>50974895.776894569</v>
      </c>
      <c r="N19" s="749">
        <f t="shared" ref="N19:Q19" si="8">SUM(N7:N13)+N17+N18</f>
        <v>19606750.823839456</v>
      </c>
      <c r="O19" s="749">
        <f t="shared" si="8"/>
        <v>19136515.167023223</v>
      </c>
      <c r="P19" s="749">
        <f t="shared" si="8"/>
        <v>12231568.357933041</v>
      </c>
      <c r="Q19" s="749">
        <f t="shared" si="8"/>
        <v>61.428098858438197</v>
      </c>
      <c r="R19" s="749">
        <v>671495</v>
      </c>
      <c r="S19" s="754">
        <v>0.18</v>
      </c>
      <c r="T19" s="754">
        <v>0.25</v>
      </c>
      <c r="U19" s="754">
        <v>0.19520000000000001</v>
      </c>
      <c r="V19" s="750">
        <v>62.445500000000003</v>
      </c>
    </row>
    <row r="20" spans="1:22" ht="24">
      <c r="A20" s="492">
        <v>10.1</v>
      </c>
      <c r="B20" s="491" t="s">
        <v>688</v>
      </c>
      <c r="C20" s="749">
        <f>SUM(D20:G20)</f>
        <v>3943168.3330000001</v>
      </c>
      <c r="D20" s="733">
        <v>3712824.8530000001</v>
      </c>
      <c r="E20" s="733">
        <v>203846.47000000003</v>
      </c>
      <c r="F20" s="733">
        <v>26497.010000000002</v>
      </c>
      <c r="G20" s="733">
        <v>0</v>
      </c>
      <c r="H20" s="749">
        <f>SUM(I20:L20)</f>
        <v>3984645.1175062279</v>
      </c>
      <c r="I20" s="733">
        <v>3745609.0414478621</v>
      </c>
      <c r="J20" s="733">
        <v>199735.20775758807</v>
      </c>
      <c r="K20" s="733">
        <v>39300.86830077802</v>
      </c>
      <c r="L20" s="733">
        <v>0</v>
      </c>
      <c r="M20" s="749">
        <f>SUM(N20:Q20)</f>
        <v>121848.077903582</v>
      </c>
      <c r="N20" s="733">
        <v>44343.212963251062</v>
      </c>
      <c r="O20" s="733">
        <v>46154.074516566667</v>
      </c>
      <c r="P20" s="733">
        <v>31350.79042376428</v>
      </c>
      <c r="Q20" s="733">
        <v>0</v>
      </c>
      <c r="R20" s="733">
        <v>1460</v>
      </c>
      <c r="S20" s="754">
        <v>0.17380000000000001</v>
      </c>
      <c r="T20" s="754">
        <v>0.234648</v>
      </c>
      <c r="U20" s="754">
        <v>0.2006</v>
      </c>
      <c r="V20" s="750">
        <v>38.856299999999997</v>
      </c>
    </row>
    <row r="21" spans="1:22">
      <c r="C21" s="753"/>
      <c r="D21" s="753"/>
      <c r="E21" s="753"/>
      <c r="F21" s="753"/>
      <c r="G21" s="753"/>
      <c r="H21" s="753"/>
      <c r="I21" s="753"/>
      <c r="J21" s="753"/>
      <c r="K21" s="753"/>
      <c r="L21" s="753"/>
      <c r="M21" s="753"/>
      <c r="N21" s="753"/>
      <c r="O21" s="753"/>
      <c r="P21" s="753"/>
      <c r="Q21" s="75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5546875" defaultRowHeight="12"/>
  <cols>
    <col min="1" max="1" width="8" style="128" customWidth="1"/>
    <col min="2" max="2" width="66.21875" style="129" customWidth="1"/>
    <col min="3" max="3" width="131.44140625" style="130" customWidth="1"/>
    <col min="4" max="5" width="10.21875" style="121" customWidth="1"/>
    <col min="6" max="6" width="67.6640625" style="121" customWidth="1"/>
    <col min="7" max="16384" width="43.5546875" style="121"/>
  </cols>
  <sheetData>
    <row r="1" spans="1:3" ht="13.2" thickTop="1" thickBot="1">
      <c r="A1" s="953" t="s">
        <v>176</v>
      </c>
      <c r="B1" s="954"/>
      <c r="C1" s="955"/>
    </row>
    <row r="2" spans="1:3" ht="26.25" customHeight="1">
      <c r="A2" s="325"/>
      <c r="B2" s="956" t="s">
        <v>177</v>
      </c>
      <c r="C2" s="956"/>
    </row>
    <row r="3" spans="1:3" s="126" customFormat="1" ht="11.25" customHeight="1">
      <c r="A3" s="125"/>
      <c r="B3" s="956" t="s">
        <v>251</v>
      </c>
      <c r="C3" s="956"/>
    </row>
    <row r="4" spans="1:3" ht="12" customHeight="1" thickBot="1">
      <c r="A4" s="935" t="s">
        <v>255</v>
      </c>
      <c r="B4" s="936"/>
      <c r="C4" s="937"/>
    </row>
    <row r="5" spans="1:3" ht="12.6" thickTop="1">
      <c r="A5" s="122"/>
      <c r="B5" s="938" t="s">
        <v>178</v>
      </c>
      <c r="C5" s="939"/>
    </row>
    <row r="6" spans="1:3">
      <c r="A6" s="325"/>
      <c r="B6" s="917" t="s">
        <v>252</v>
      </c>
      <c r="C6" s="918"/>
    </row>
    <row r="7" spans="1:3">
      <c r="A7" s="325"/>
      <c r="B7" s="917" t="s">
        <v>179</v>
      </c>
      <c r="C7" s="918"/>
    </row>
    <row r="8" spans="1:3">
      <c r="A8" s="325"/>
      <c r="B8" s="917" t="s">
        <v>253</v>
      </c>
      <c r="C8" s="918"/>
    </row>
    <row r="9" spans="1:3">
      <c r="A9" s="325"/>
      <c r="B9" s="959" t="s">
        <v>254</v>
      </c>
      <c r="C9" s="960"/>
    </row>
    <row r="10" spans="1:3">
      <c r="A10" s="325"/>
      <c r="B10" s="951" t="s">
        <v>180</v>
      </c>
      <c r="C10" s="952" t="s">
        <v>180</v>
      </c>
    </row>
    <row r="11" spans="1:3">
      <c r="A11" s="325"/>
      <c r="B11" s="951" t="s">
        <v>181</v>
      </c>
      <c r="C11" s="952" t="s">
        <v>181</v>
      </c>
    </row>
    <row r="12" spans="1:3">
      <c r="A12" s="325"/>
      <c r="B12" s="951" t="s">
        <v>182</v>
      </c>
      <c r="C12" s="952" t="s">
        <v>182</v>
      </c>
    </row>
    <row r="13" spans="1:3">
      <c r="A13" s="325"/>
      <c r="B13" s="951" t="s">
        <v>183</v>
      </c>
      <c r="C13" s="952" t="s">
        <v>183</v>
      </c>
    </row>
    <row r="14" spans="1:3">
      <c r="A14" s="325"/>
      <c r="B14" s="951" t="s">
        <v>184</v>
      </c>
      <c r="C14" s="952" t="s">
        <v>184</v>
      </c>
    </row>
    <row r="15" spans="1:3" ht="21.75" customHeight="1">
      <c r="A15" s="325"/>
      <c r="B15" s="951" t="s">
        <v>185</v>
      </c>
      <c r="C15" s="952" t="s">
        <v>185</v>
      </c>
    </row>
    <row r="16" spans="1:3">
      <c r="A16" s="325"/>
      <c r="B16" s="951" t="s">
        <v>186</v>
      </c>
      <c r="C16" s="952" t="s">
        <v>187</v>
      </c>
    </row>
    <row r="17" spans="1:6">
      <c r="A17" s="325"/>
      <c r="B17" s="951" t="s">
        <v>188</v>
      </c>
      <c r="C17" s="952" t="s">
        <v>189</v>
      </c>
    </row>
    <row r="18" spans="1:6">
      <c r="A18" s="325"/>
      <c r="B18" s="951" t="s">
        <v>190</v>
      </c>
      <c r="C18" s="952" t="s">
        <v>191</v>
      </c>
    </row>
    <row r="19" spans="1:6">
      <c r="A19" s="580"/>
      <c r="B19" s="957" t="s">
        <v>192</v>
      </c>
      <c r="C19" s="958" t="s">
        <v>192</v>
      </c>
    </row>
    <row r="20" spans="1:6">
      <c r="A20" s="580"/>
      <c r="B20" s="957" t="s">
        <v>917</v>
      </c>
      <c r="C20" s="958" t="s">
        <v>193</v>
      </c>
    </row>
    <row r="21" spans="1:6">
      <c r="A21" s="325"/>
      <c r="B21" s="957" t="s">
        <v>960</v>
      </c>
      <c r="C21" s="958" t="s">
        <v>194</v>
      </c>
    </row>
    <row r="22" spans="1:6" ht="23.25" customHeight="1">
      <c r="A22" s="325"/>
      <c r="B22" s="951" t="s">
        <v>195</v>
      </c>
      <c r="C22" s="952" t="s">
        <v>196</v>
      </c>
      <c r="F22" s="544"/>
    </row>
    <row r="23" spans="1:6">
      <c r="A23" s="325"/>
      <c r="B23" s="951" t="s">
        <v>197</v>
      </c>
      <c r="C23" s="952" t="s">
        <v>197</v>
      </c>
    </row>
    <row r="24" spans="1:6">
      <c r="A24" s="325"/>
      <c r="B24" s="951" t="s">
        <v>198</v>
      </c>
      <c r="C24" s="952" t="s">
        <v>199</v>
      </c>
    </row>
    <row r="25" spans="1:6" ht="12.6" thickBot="1">
      <c r="A25" s="123"/>
      <c r="B25" s="945" t="s">
        <v>200</v>
      </c>
      <c r="C25" s="946"/>
    </row>
    <row r="26" spans="1:6" ht="13.2" thickTop="1" thickBot="1">
      <c r="A26" s="935" t="s">
        <v>812</v>
      </c>
      <c r="B26" s="936"/>
      <c r="C26" s="937"/>
    </row>
    <row r="27" spans="1:6" ht="13.2" thickTop="1" thickBot="1">
      <c r="A27" s="124"/>
      <c r="B27" s="947" t="s">
        <v>813</v>
      </c>
      <c r="C27" s="948"/>
    </row>
    <row r="28" spans="1:6" ht="13.2" thickTop="1" thickBot="1">
      <c r="A28" s="935" t="s">
        <v>256</v>
      </c>
      <c r="B28" s="936"/>
      <c r="C28" s="937"/>
    </row>
    <row r="29" spans="1:6" ht="12.6" thickTop="1">
      <c r="A29" s="122"/>
      <c r="B29" s="949" t="s">
        <v>816</v>
      </c>
      <c r="C29" s="950" t="s">
        <v>201</v>
      </c>
    </row>
    <row r="30" spans="1:6">
      <c r="A30" s="325"/>
      <c r="B30" s="926" t="s">
        <v>205</v>
      </c>
      <c r="C30" s="927" t="s">
        <v>202</v>
      </c>
    </row>
    <row r="31" spans="1:6">
      <c r="A31" s="325"/>
      <c r="B31" s="926" t="s">
        <v>814</v>
      </c>
      <c r="C31" s="927" t="s">
        <v>203</v>
      </c>
    </row>
    <row r="32" spans="1:6">
      <c r="A32" s="325"/>
      <c r="B32" s="926" t="s">
        <v>815</v>
      </c>
      <c r="C32" s="927" t="s">
        <v>204</v>
      </c>
    </row>
    <row r="33" spans="1:3">
      <c r="A33" s="325"/>
      <c r="B33" s="926" t="s">
        <v>208</v>
      </c>
      <c r="C33" s="927" t="s">
        <v>209</v>
      </c>
    </row>
    <row r="34" spans="1:3">
      <c r="A34" s="325"/>
      <c r="B34" s="926" t="s">
        <v>817</v>
      </c>
      <c r="C34" s="927" t="s">
        <v>206</v>
      </c>
    </row>
    <row r="35" spans="1:3">
      <c r="A35" s="325"/>
      <c r="B35" s="926" t="s">
        <v>818</v>
      </c>
      <c r="C35" s="927" t="s">
        <v>207</v>
      </c>
    </row>
    <row r="36" spans="1:3">
      <c r="A36" s="325"/>
      <c r="B36" s="942" t="s">
        <v>819</v>
      </c>
      <c r="C36" s="943"/>
    </row>
    <row r="37" spans="1:3" ht="24.75" customHeight="1">
      <c r="A37" s="325"/>
      <c r="B37" s="926" t="s">
        <v>820</v>
      </c>
      <c r="C37" s="927" t="s">
        <v>210</v>
      </c>
    </row>
    <row r="38" spans="1:3" ht="23.25" customHeight="1">
      <c r="A38" s="325"/>
      <c r="B38" s="926" t="s">
        <v>821</v>
      </c>
      <c r="C38" s="927" t="s">
        <v>211</v>
      </c>
    </row>
    <row r="39" spans="1:3" ht="23.25" customHeight="1">
      <c r="A39" s="392"/>
      <c r="B39" s="942" t="s">
        <v>822</v>
      </c>
      <c r="C39" s="944"/>
    </row>
    <row r="40" spans="1:3" ht="12" customHeight="1">
      <c r="A40" s="325"/>
      <c r="B40" s="926" t="s">
        <v>823</v>
      </c>
      <c r="C40" s="927"/>
    </row>
    <row r="41" spans="1:3" ht="12.6" thickBot="1">
      <c r="A41" s="935" t="s">
        <v>257</v>
      </c>
      <c r="B41" s="936"/>
      <c r="C41" s="937"/>
    </row>
    <row r="42" spans="1:3" ht="12.6" thickTop="1">
      <c r="A42" s="122"/>
      <c r="B42" s="938" t="s">
        <v>287</v>
      </c>
      <c r="C42" s="939" t="s">
        <v>212</v>
      </c>
    </row>
    <row r="43" spans="1:3">
      <c r="A43" s="325"/>
      <c r="B43" s="917" t="s">
        <v>286</v>
      </c>
      <c r="C43" s="918"/>
    </row>
    <row r="44" spans="1:3" ht="23.25" customHeight="1" thickBot="1">
      <c r="A44" s="123"/>
      <c r="B44" s="933" t="s">
        <v>213</v>
      </c>
      <c r="C44" s="934" t="s">
        <v>214</v>
      </c>
    </row>
    <row r="45" spans="1:3" ht="11.25" customHeight="1" thickTop="1" thickBot="1">
      <c r="A45" s="935" t="s">
        <v>258</v>
      </c>
      <c r="B45" s="936"/>
      <c r="C45" s="937"/>
    </row>
    <row r="46" spans="1:3" ht="26.25" customHeight="1" thickTop="1">
      <c r="A46" s="325"/>
      <c r="B46" s="917" t="s">
        <v>259</v>
      </c>
      <c r="C46" s="918"/>
    </row>
    <row r="47" spans="1:3" ht="12.6" thickBot="1">
      <c r="A47" s="935" t="s">
        <v>260</v>
      </c>
      <c r="B47" s="936"/>
      <c r="C47" s="937"/>
    </row>
    <row r="48" spans="1:3" ht="12.6" thickTop="1">
      <c r="A48" s="122"/>
      <c r="B48" s="938" t="s">
        <v>215</v>
      </c>
      <c r="C48" s="939" t="s">
        <v>215</v>
      </c>
    </row>
    <row r="49" spans="1:3" ht="11.25" customHeight="1">
      <c r="A49" s="325"/>
      <c r="B49" s="917" t="s">
        <v>216</v>
      </c>
      <c r="C49" s="918" t="s">
        <v>216</v>
      </c>
    </row>
    <row r="50" spans="1:3">
      <c r="A50" s="325"/>
      <c r="B50" s="917" t="s">
        <v>217</v>
      </c>
      <c r="C50" s="918" t="s">
        <v>217</v>
      </c>
    </row>
    <row r="51" spans="1:3" ht="11.25" customHeight="1">
      <c r="A51" s="325"/>
      <c r="B51" s="917" t="s">
        <v>825</v>
      </c>
      <c r="C51" s="918" t="s">
        <v>218</v>
      </c>
    </row>
    <row r="52" spans="1:3" ht="33.6" customHeight="1">
      <c r="A52" s="325"/>
      <c r="B52" s="917" t="s">
        <v>219</v>
      </c>
      <c r="C52" s="918" t="s">
        <v>219</v>
      </c>
    </row>
    <row r="53" spans="1:3" ht="11.25" customHeight="1">
      <c r="A53" s="325"/>
      <c r="B53" s="917" t="s">
        <v>307</v>
      </c>
      <c r="C53" s="918" t="s">
        <v>220</v>
      </c>
    </row>
    <row r="54" spans="1:3" ht="11.25" customHeight="1" thickBot="1">
      <c r="A54" s="935" t="s">
        <v>261</v>
      </c>
      <c r="B54" s="936"/>
      <c r="C54" s="937"/>
    </row>
    <row r="55" spans="1:3" ht="12.6" thickTop="1">
      <c r="A55" s="122"/>
      <c r="B55" s="938" t="s">
        <v>215</v>
      </c>
      <c r="C55" s="939" t="s">
        <v>215</v>
      </c>
    </row>
    <row r="56" spans="1:3">
      <c r="A56" s="325"/>
      <c r="B56" s="917" t="s">
        <v>221</v>
      </c>
      <c r="C56" s="918" t="s">
        <v>221</v>
      </c>
    </row>
    <row r="57" spans="1:3">
      <c r="A57" s="325"/>
      <c r="B57" s="917" t="s">
        <v>264</v>
      </c>
      <c r="C57" s="918" t="s">
        <v>222</v>
      </c>
    </row>
    <row r="58" spans="1:3">
      <c r="A58" s="325"/>
      <c r="B58" s="917" t="s">
        <v>223</v>
      </c>
      <c r="C58" s="918" t="s">
        <v>223</v>
      </c>
    </row>
    <row r="59" spans="1:3">
      <c r="A59" s="325"/>
      <c r="B59" s="917" t="s">
        <v>224</v>
      </c>
      <c r="C59" s="918" t="s">
        <v>224</v>
      </c>
    </row>
    <row r="60" spans="1:3">
      <c r="A60" s="325"/>
      <c r="B60" s="917" t="s">
        <v>225</v>
      </c>
      <c r="C60" s="918" t="s">
        <v>225</v>
      </c>
    </row>
    <row r="61" spans="1:3">
      <c r="A61" s="325"/>
      <c r="B61" s="917" t="s">
        <v>265</v>
      </c>
      <c r="C61" s="918" t="s">
        <v>226</v>
      </c>
    </row>
    <row r="62" spans="1:3" ht="12" customHeight="1">
      <c r="A62" s="325"/>
      <c r="B62" s="904" t="s">
        <v>997</v>
      </c>
      <c r="C62" s="905" t="s">
        <v>227</v>
      </c>
    </row>
    <row r="63" spans="1:3" ht="22.5" customHeight="1" thickBot="1">
      <c r="A63" s="123"/>
      <c r="B63" s="933" t="s">
        <v>228</v>
      </c>
      <c r="C63" s="934" t="s">
        <v>228</v>
      </c>
    </row>
    <row r="64" spans="1:3" ht="11.25" customHeight="1" thickTop="1">
      <c r="A64" s="923" t="s">
        <v>262</v>
      </c>
      <c r="B64" s="924"/>
      <c r="C64" s="925"/>
    </row>
    <row r="65" spans="1:3" ht="12.6" thickBot="1">
      <c r="A65" s="123"/>
      <c r="B65" s="933" t="s">
        <v>229</v>
      </c>
      <c r="C65" s="934" t="s">
        <v>229</v>
      </c>
    </row>
    <row r="66" spans="1:3" ht="11.25" customHeight="1" thickTop="1">
      <c r="A66" s="923" t="s">
        <v>950</v>
      </c>
      <c r="B66" s="924"/>
      <c r="C66" s="925"/>
    </row>
    <row r="67" spans="1:3" ht="12.6" thickBot="1">
      <c r="A67" s="123"/>
      <c r="B67" s="933" t="s">
        <v>949</v>
      </c>
      <c r="C67" s="934"/>
    </row>
    <row r="68" spans="1:3" ht="11.25" customHeight="1" thickTop="1" thickBot="1">
      <c r="A68" s="935" t="s">
        <v>263</v>
      </c>
      <c r="B68" s="936"/>
      <c r="C68" s="937"/>
    </row>
    <row r="69" spans="1:3" ht="12.6" thickTop="1">
      <c r="A69" s="122"/>
      <c r="B69" s="938" t="s">
        <v>230</v>
      </c>
      <c r="C69" s="939" t="s">
        <v>230</v>
      </c>
    </row>
    <row r="70" spans="1:3">
      <c r="A70" s="325"/>
      <c r="B70" s="917" t="s">
        <v>827</v>
      </c>
      <c r="C70" s="918" t="s">
        <v>231</v>
      </c>
    </row>
    <row r="71" spans="1:3">
      <c r="A71" s="325"/>
      <c r="B71" s="917" t="s">
        <v>232</v>
      </c>
      <c r="C71" s="918" t="s">
        <v>232</v>
      </c>
    </row>
    <row r="72" spans="1:3" ht="55.05" customHeight="1">
      <c r="A72" s="325"/>
      <c r="B72" s="940" t="s">
        <v>961</v>
      </c>
      <c r="C72" s="941" t="s">
        <v>233</v>
      </c>
    </row>
    <row r="73" spans="1:3" ht="33.75" customHeight="1">
      <c r="A73" s="325"/>
      <c r="B73" s="931" t="s">
        <v>266</v>
      </c>
      <c r="C73" s="932" t="s">
        <v>234</v>
      </c>
    </row>
    <row r="74" spans="1:3" ht="15.75" customHeight="1">
      <c r="A74" s="325"/>
      <c r="B74" s="931" t="s">
        <v>828</v>
      </c>
      <c r="C74" s="932" t="s">
        <v>235</v>
      </c>
    </row>
    <row r="75" spans="1:3">
      <c r="A75" s="325"/>
      <c r="B75" s="917" t="s">
        <v>236</v>
      </c>
      <c r="C75" s="918" t="s">
        <v>236</v>
      </c>
    </row>
    <row r="76" spans="1:3" ht="12.6" thickBot="1">
      <c r="A76" s="123"/>
      <c r="B76" s="933" t="s">
        <v>237</v>
      </c>
      <c r="C76" s="934" t="s">
        <v>237</v>
      </c>
    </row>
    <row r="77" spans="1:3" ht="12.6" thickTop="1">
      <c r="A77" s="923" t="s">
        <v>290</v>
      </c>
      <c r="B77" s="924"/>
      <c r="C77" s="925"/>
    </row>
    <row r="78" spans="1:3">
      <c r="A78" s="325"/>
      <c r="B78" s="917" t="s">
        <v>229</v>
      </c>
      <c r="C78" s="918"/>
    </row>
    <row r="79" spans="1:3">
      <c r="A79" s="325"/>
      <c r="B79" s="917" t="s">
        <v>288</v>
      </c>
      <c r="C79" s="918"/>
    </row>
    <row r="80" spans="1:3">
      <c r="A80" s="325"/>
      <c r="B80" s="917" t="s">
        <v>289</v>
      </c>
      <c r="C80" s="918"/>
    </row>
    <row r="81" spans="1:3">
      <c r="A81" s="923" t="s">
        <v>291</v>
      </c>
      <c r="B81" s="924"/>
      <c r="C81" s="925"/>
    </row>
    <row r="82" spans="1:3">
      <c r="A82" s="325"/>
      <c r="B82" s="917" t="s">
        <v>229</v>
      </c>
      <c r="C82" s="918"/>
    </row>
    <row r="83" spans="1:3">
      <c r="A83" s="325"/>
      <c r="B83" s="917" t="s">
        <v>292</v>
      </c>
      <c r="C83" s="918"/>
    </row>
    <row r="84" spans="1:3" ht="79.5" customHeight="1">
      <c r="A84" s="325"/>
      <c r="B84" s="917" t="s">
        <v>306</v>
      </c>
      <c r="C84" s="918"/>
    </row>
    <row r="85" spans="1:3" ht="53.25" customHeight="1">
      <c r="A85" s="325"/>
      <c r="B85" s="917" t="s">
        <v>305</v>
      </c>
      <c r="C85" s="918"/>
    </row>
    <row r="86" spans="1:3">
      <c r="A86" s="325"/>
      <c r="B86" s="917" t="s">
        <v>293</v>
      </c>
      <c r="C86" s="918"/>
    </row>
    <row r="87" spans="1:3">
      <c r="A87" s="325"/>
      <c r="B87" s="917" t="s">
        <v>294</v>
      </c>
      <c r="C87" s="918"/>
    </row>
    <row r="88" spans="1:3">
      <c r="A88" s="325"/>
      <c r="B88" s="917" t="s">
        <v>295</v>
      </c>
      <c r="C88" s="918"/>
    </row>
    <row r="89" spans="1:3">
      <c r="A89" s="923" t="s">
        <v>296</v>
      </c>
      <c r="B89" s="924"/>
      <c r="C89" s="925"/>
    </row>
    <row r="90" spans="1:3">
      <c r="A90" s="325"/>
      <c r="B90" s="917" t="s">
        <v>229</v>
      </c>
      <c r="C90" s="918"/>
    </row>
    <row r="91" spans="1:3">
      <c r="A91" s="325"/>
      <c r="B91" s="917" t="s">
        <v>298</v>
      </c>
      <c r="C91" s="918"/>
    </row>
    <row r="92" spans="1:3" ht="12" customHeight="1">
      <c r="A92" s="325"/>
      <c r="B92" s="917" t="s">
        <v>299</v>
      </c>
      <c r="C92" s="918"/>
    </row>
    <row r="93" spans="1:3">
      <c r="A93" s="325"/>
      <c r="B93" s="917" t="s">
        <v>300</v>
      </c>
      <c r="C93" s="918"/>
    </row>
    <row r="94" spans="1:3" ht="24.75" customHeight="1">
      <c r="A94" s="325"/>
      <c r="B94" s="926" t="s">
        <v>336</v>
      </c>
      <c r="C94" s="927"/>
    </row>
    <row r="95" spans="1:3" ht="24" customHeight="1">
      <c r="A95" s="325"/>
      <c r="B95" s="926" t="s">
        <v>337</v>
      </c>
      <c r="C95" s="927"/>
    </row>
    <row r="96" spans="1:3" ht="13.5" customHeight="1">
      <c r="A96" s="325"/>
      <c r="B96" s="926" t="s">
        <v>301</v>
      </c>
      <c r="C96" s="927"/>
    </row>
    <row r="97" spans="1:3" ht="11.25" customHeight="1" thickBot="1">
      <c r="A97" s="928" t="s">
        <v>332</v>
      </c>
      <c r="B97" s="929"/>
      <c r="C97" s="930"/>
    </row>
    <row r="98" spans="1:3" ht="13.2" thickTop="1" thickBot="1">
      <c r="A98" s="922" t="s">
        <v>238</v>
      </c>
      <c r="B98" s="922"/>
      <c r="C98" s="922"/>
    </row>
    <row r="99" spans="1:3">
      <c r="A99" s="196">
        <v>2</v>
      </c>
      <c r="B99" s="313" t="s">
        <v>312</v>
      </c>
      <c r="C99" s="313" t="s">
        <v>333</v>
      </c>
    </row>
    <row r="100" spans="1:3">
      <c r="A100" s="127">
        <v>3</v>
      </c>
      <c r="B100" s="314" t="s">
        <v>313</v>
      </c>
      <c r="C100" s="315" t="s">
        <v>334</v>
      </c>
    </row>
    <row r="101" spans="1:3">
      <c r="A101" s="127">
        <v>4</v>
      </c>
      <c r="B101" s="314" t="s">
        <v>314</v>
      </c>
      <c r="C101" s="315" t="s">
        <v>338</v>
      </c>
    </row>
    <row r="102" spans="1:3" ht="11.25" customHeight="1">
      <c r="A102" s="127">
        <v>5</v>
      </c>
      <c r="B102" s="314" t="s">
        <v>315</v>
      </c>
      <c r="C102" s="315" t="s">
        <v>335</v>
      </c>
    </row>
    <row r="103" spans="1:3" ht="12" customHeight="1">
      <c r="A103" s="127">
        <v>6</v>
      </c>
      <c r="B103" s="314" t="s">
        <v>330</v>
      </c>
      <c r="C103" s="315" t="s">
        <v>316</v>
      </c>
    </row>
    <row r="104" spans="1:3" ht="12" customHeight="1">
      <c r="A104" s="127">
        <v>7</v>
      </c>
      <c r="B104" s="314" t="s">
        <v>317</v>
      </c>
      <c r="C104" s="315" t="s">
        <v>331</v>
      </c>
    </row>
    <row r="105" spans="1:3">
      <c r="A105" s="127">
        <v>8</v>
      </c>
      <c r="B105" s="314" t="s">
        <v>322</v>
      </c>
      <c r="C105" s="315" t="s">
        <v>342</v>
      </c>
    </row>
    <row r="106" spans="1:3" ht="11.25" customHeight="1">
      <c r="A106" s="923" t="s">
        <v>302</v>
      </c>
      <c r="B106" s="924"/>
      <c r="C106" s="925"/>
    </row>
    <row r="107" spans="1:3" ht="12" customHeight="1">
      <c r="A107" s="325"/>
      <c r="B107" s="904" t="s">
        <v>998</v>
      </c>
      <c r="C107" s="905"/>
    </row>
    <row r="108" spans="1:3">
      <c r="A108" s="923" t="s">
        <v>458</v>
      </c>
      <c r="B108" s="924"/>
      <c r="C108" s="925"/>
    </row>
    <row r="109" spans="1:3" ht="12" customHeight="1">
      <c r="A109" s="325"/>
      <c r="B109" s="917" t="s">
        <v>460</v>
      </c>
      <c r="C109" s="918"/>
    </row>
    <row r="110" spans="1:3">
      <c r="A110" s="325"/>
      <c r="B110" s="917" t="s">
        <v>461</v>
      </c>
      <c r="C110" s="918"/>
    </row>
    <row r="111" spans="1:3">
      <c r="A111" s="325"/>
      <c r="B111" s="917" t="s">
        <v>459</v>
      </c>
      <c r="C111" s="918"/>
    </row>
    <row r="112" spans="1:3">
      <c r="A112" s="915" t="s">
        <v>692</v>
      </c>
      <c r="B112" s="915"/>
      <c r="C112" s="915"/>
    </row>
    <row r="113" spans="1:3">
      <c r="A113" s="919" t="s">
        <v>176</v>
      </c>
      <c r="B113" s="919"/>
      <c r="C113" s="919"/>
    </row>
    <row r="114" spans="1:3">
      <c r="A114" s="527">
        <v>1</v>
      </c>
      <c r="B114" s="906" t="s">
        <v>576</v>
      </c>
      <c r="C114" s="907"/>
    </row>
    <row r="115" spans="1:3">
      <c r="A115" s="527">
        <v>2</v>
      </c>
      <c r="B115" s="920" t="s">
        <v>577</v>
      </c>
      <c r="C115" s="921"/>
    </row>
    <row r="116" spans="1:3">
      <c r="A116" s="527">
        <v>3</v>
      </c>
      <c r="B116" s="906" t="s">
        <v>902</v>
      </c>
      <c r="C116" s="907"/>
    </row>
    <row r="117" spans="1:3">
      <c r="A117" s="527">
        <v>4</v>
      </c>
      <c r="B117" s="906" t="s">
        <v>901</v>
      </c>
      <c r="C117" s="907"/>
    </row>
    <row r="118" spans="1:3">
      <c r="A118" s="527">
        <v>5</v>
      </c>
      <c r="B118" s="531" t="s">
        <v>900</v>
      </c>
      <c r="C118" s="530"/>
    </row>
    <row r="119" spans="1:3">
      <c r="A119" s="527">
        <v>6</v>
      </c>
      <c r="B119" s="908" t="s">
        <v>967</v>
      </c>
      <c r="C119" s="909"/>
    </row>
    <row r="120" spans="1:3" ht="48.45" customHeight="1">
      <c r="A120" s="527">
        <v>7</v>
      </c>
      <c r="B120" s="908" t="s">
        <v>968</v>
      </c>
      <c r="C120" s="909"/>
    </row>
    <row r="121" spans="1:3">
      <c r="A121" s="505">
        <v>8</v>
      </c>
      <c r="B121" s="500" t="s">
        <v>603</v>
      </c>
      <c r="C121" s="524" t="s">
        <v>899</v>
      </c>
    </row>
    <row r="122" spans="1:3" ht="24">
      <c r="A122" s="527">
        <v>9.01</v>
      </c>
      <c r="B122" s="500" t="s">
        <v>487</v>
      </c>
      <c r="C122" s="501" t="s">
        <v>652</v>
      </c>
    </row>
    <row r="123" spans="1:3" ht="36">
      <c r="A123" s="527">
        <v>9.02</v>
      </c>
      <c r="B123" s="500" t="s">
        <v>488</v>
      </c>
      <c r="C123" s="501" t="s">
        <v>655</v>
      </c>
    </row>
    <row r="124" spans="1:3">
      <c r="A124" s="527">
        <v>9.0299999999999994</v>
      </c>
      <c r="B124" s="501" t="s">
        <v>836</v>
      </c>
      <c r="C124" s="501" t="s">
        <v>578</v>
      </c>
    </row>
    <row r="125" spans="1:3">
      <c r="A125" s="527">
        <v>9.0399999999999991</v>
      </c>
      <c r="B125" s="500" t="s">
        <v>489</v>
      </c>
      <c r="C125" s="501" t="s">
        <v>579</v>
      </c>
    </row>
    <row r="126" spans="1:3">
      <c r="A126" s="527">
        <v>9.0500000000000007</v>
      </c>
      <c r="B126" s="500" t="s">
        <v>490</v>
      </c>
      <c r="C126" s="501" t="s">
        <v>580</v>
      </c>
    </row>
    <row r="127" spans="1:3" ht="24">
      <c r="A127" s="527">
        <v>9.06</v>
      </c>
      <c r="B127" s="500" t="s">
        <v>491</v>
      </c>
      <c r="C127" s="501" t="s">
        <v>581</v>
      </c>
    </row>
    <row r="128" spans="1:3">
      <c r="A128" s="527">
        <v>9.07</v>
      </c>
      <c r="B128" s="529" t="s">
        <v>492</v>
      </c>
      <c r="C128" s="501" t="s">
        <v>582</v>
      </c>
    </row>
    <row r="129" spans="1:3" ht="24">
      <c r="A129" s="527">
        <v>9.08</v>
      </c>
      <c r="B129" s="500" t="s">
        <v>493</v>
      </c>
      <c r="C129" s="501" t="s">
        <v>583</v>
      </c>
    </row>
    <row r="130" spans="1:3" ht="24">
      <c r="A130" s="527">
        <v>9.09</v>
      </c>
      <c r="B130" s="500" t="s">
        <v>494</v>
      </c>
      <c r="C130" s="501" t="s">
        <v>584</v>
      </c>
    </row>
    <row r="131" spans="1:3">
      <c r="A131" s="528">
        <v>9.1</v>
      </c>
      <c r="B131" s="500" t="s">
        <v>495</v>
      </c>
      <c r="C131" s="501" t="s">
        <v>585</v>
      </c>
    </row>
    <row r="132" spans="1:3">
      <c r="A132" s="527">
        <v>9.11</v>
      </c>
      <c r="B132" s="500" t="s">
        <v>496</v>
      </c>
      <c r="C132" s="501" t="s">
        <v>586</v>
      </c>
    </row>
    <row r="133" spans="1:3">
      <c r="A133" s="527">
        <v>9.1199999999999992</v>
      </c>
      <c r="B133" s="500" t="s">
        <v>497</v>
      </c>
      <c r="C133" s="501" t="s">
        <v>587</v>
      </c>
    </row>
    <row r="134" spans="1:3">
      <c r="A134" s="527">
        <v>9.1300000000000008</v>
      </c>
      <c r="B134" s="500" t="s">
        <v>498</v>
      </c>
      <c r="C134" s="501" t="s">
        <v>588</v>
      </c>
    </row>
    <row r="135" spans="1:3">
      <c r="A135" s="527">
        <v>9.14</v>
      </c>
      <c r="B135" s="500" t="s">
        <v>499</v>
      </c>
      <c r="C135" s="501" t="s">
        <v>589</v>
      </c>
    </row>
    <row r="136" spans="1:3">
      <c r="A136" s="527">
        <v>9.15</v>
      </c>
      <c r="B136" s="500" t="s">
        <v>500</v>
      </c>
      <c r="C136" s="501" t="s">
        <v>590</v>
      </c>
    </row>
    <row r="137" spans="1:3">
      <c r="A137" s="527">
        <v>9.16</v>
      </c>
      <c r="B137" s="500" t="s">
        <v>501</v>
      </c>
      <c r="C137" s="501" t="s">
        <v>591</v>
      </c>
    </row>
    <row r="138" spans="1:3">
      <c r="A138" s="527">
        <v>9.17</v>
      </c>
      <c r="B138" s="501" t="s">
        <v>502</v>
      </c>
      <c r="C138" s="501" t="s">
        <v>592</v>
      </c>
    </row>
    <row r="139" spans="1:3" ht="24">
      <c r="A139" s="527">
        <v>9.18</v>
      </c>
      <c r="B139" s="500" t="s">
        <v>503</v>
      </c>
      <c r="C139" s="501" t="s">
        <v>593</v>
      </c>
    </row>
    <row r="140" spans="1:3">
      <c r="A140" s="527">
        <v>9.19</v>
      </c>
      <c r="B140" s="500" t="s">
        <v>504</v>
      </c>
      <c r="C140" s="501" t="s">
        <v>594</v>
      </c>
    </row>
    <row r="141" spans="1:3">
      <c r="A141" s="528">
        <v>9.1999999999999993</v>
      </c>
      <c r="B141" s="500" t="s">
        <v>505</v>
      </c>
      <c r="C141" s="501" t="s">
        <v>595</v>
      </c>
    </row>
    <row r="142" spans="1:3">
      <c r="A142" s="527">
        <v>9.2100000000000009</v>
      </c>
      <c r="B142" s="500" t="s">
        <v>506</v>
      </c>
      <c r="C142" s="501" t="s">
        <v>596</v>
      </c>
    </row>
    <row r="143" spans="1:3">
      <c r="A143" s="527">
        <v>9.2200000000000006</v>
      </c>
      <c r="B143" s="500" t="s">
        <v>507</v>
      </c>
      <c r="C143" s="501" t="s">
        <v>597</v>
      </c>
    </row>
    <row r="144" spans="1:3" ht="24">
      <c r="A144" s="527">
        <v>9.23</v>
      </c>
      <c r="B144" s="500" t="s">
        <v>508</v>
      </c>
      <c r="C144" s="501" t="s">
        <v>598</v>
      </c>
    </row>
    <row r="145" spans="1:3" ht="24">
      <c r="A145" s="527">
        <v>9.24</v>
      </c>
      <c r="B145" s="500" t="s">
        <v>509</v>
      </c>
      <c r="C145" s="501" t="s">
        <v>599</v>
      </c>
    </row>
    <row r="146" spans="1:3">
      <c r="A146" s="527">
        <v>9.2500000000000107</v>
      </c>
      <c r="B146" s="500" t="s">
        <v>510</v>
      </c>
      <c r="C146" s="501" t="s">
        <v>600</v>
      </c>
    </row>
    <row r="147" spans="1:3" ht="24">
      <c r="A147" s="527">
        <v>9.2600000000000193</v>
      </c>
      <c r="B147" s="500" t="s">
        <v>601</v>
      </c>
      <c r="C147" s="526" t="s">
        <v>602</v>
      </c>
    </row>
    <row r="148" spans="1:3" s="326" customFormat="1" ht="24">
      <c r="A148" s="527">
        <v>9.2700000000000298</v>
      </c>
      <c r="B148" s="500" t="s">
        <v>88</v>
      </c>
      <c r="C148" s="526" t="s">
        <v>653</v>
      </c>
    </row>
    <row r="149" spans="1:3" s="326" customFormat="1">
      <c r="A149" s="506"/>
      <c r="B149" s="902" t="s">
        <v>604</v>
      </c>
      <c r="C149" s="903"/>
    </row>
    <row r="150" spans="1:3" s="326" customFormat="1">
      <c r="A150" s="505">
        <v>1</v>
      </c>
      <c r="B150" s="904" t="s">
        <v>898</v>
      </c>
      <c r="C150" s="905"/>
    </row>
    <row r="151" spans="1:3" s="326" customFormat="1">
      <c r="A151" s="505">
        <v>2</v>
      </c>
      <c r="B151" s="904" t="s">
        <v>654</v>
      </c>
      <c r="C151" s="905"/>
    </row>
    <row r="152" spans="1:3" s="326" customFormat="1">
      <c r="A152" s="505">
        <v>3</v>
      </c>
      <c r="B152" s="904" t="s">
        <v>651</v>
      </c>
      <c r="C152" s="905"/>
    </row>
    <row r="153" spans="1:3" s="326" customFormat="1">
      <c r="A153" s="506"/>
      <c r="B153" s="902" t="s">
        <v>605</v>
      </c>
      <c r="C153" s="903"/>
    </row>
    <row r="154" spans="1:3" s="326" customFormat="1">
      <c r="A154" s="505">
        <v>1</v>
      </c>
      <c r="B154" s="910" t="s">
        <v>897</v>
      </c>
      <c r="C154" s="911"/>
    </row>
    <row r="155" spans="1:3" s="326" customFormat="1">
      <c r="A155" s="505">
        <v>2</v>
      </c>
      <c r="B155" s="500" t="s">
        <v>834</v>
      </c>
      <c r="C155" s="581" t="s">
        <v>962</v>
      </c>
    </row>
    <row r="156" spans="1:3" ht="24">
      <c r="A156" s="505">
        <v>3</v>
      </c>
      <c r="B156" s="500" t="s">
        <v>833</v>
      </c>
      <c r="C156" s="524" t="s">
        <v>896</v>
      </c>
    </row>
    <row r="157" spans="1:3">
      <c r="A157" s="505">
        <v>4</v>
      </c>
      <c r="B157" s="500" t="s">
        <v>480</v>
      </c>
      <c r="C157" s="500" t="s">
        <v>913</v>
      </c>
    </row>
    <row r="158" spans="1:3" ht="25.05" customHeight="1">
      <c r="A158" s="506"/>
      <c r="B158" s="902" t="s">
        <v>606</v>
      </c>
      <c r="C158" s="903"/>
    </row>
    <row r="159" spans="1:3" ht="36">
      <c r="A159" s="505"/>
      <c r="B159" s="500" t="s">
        <v>885</v>
      </c>
      <c r="C159" s="582" t="s">
        <v>963</v>
      </c>
    </row>
    <row r="160" spans="1:3">
      <c r="A160" s="506"/>
      <c r="B160" s="902" t="s">
        <v>607</v>
      </c>
      <c r="C160" s="903"/>
    </row>
    <row r="161" spans="1:3" ht="39" customHeight="1">
      <c r="A161" s="506"/>
      <c r="B161" s="904" t="s">
        <v>895</v>
      </c>
      <c r="C161" s="905"/>
    </row>
    <row r="162" spans="1:3">
      <c r="A162" s="506" t="s">
        <v>608</v>
      </c>
      <c r="B162" s="525" t="s">
        <v>518</v>
      </c>
      <c r="C162" s="517" t="s">
        <v>609</v>
      </c>
    </row>
    <row r="163" spans="1:3">
      <c r="A163" s="506" t="s">
        <v>357</v>
      </c>
      <c r="B163" s="522" t="s">
        <v>519</v>
      </c>
      <c r="C163" s="524" t="s">
        <v>894</v>
      </c>
    </row>
    <row r="164" spans="1:3" ht="24">
      <c r="A164" s="506" t="s">
        <v>364</v>
      </c>
      <c r="B164" s="517" t="s">
        <v>520</v>
      </c>
      <c r="C164" s="524" t="s">
        <v>610</v>
      </c>
    </row>
    <row r="165" spans="1:3">
      <c r="A165" s="506" t="s">
        <v>611</v>
      </c>
      <c r="B165" s="522" t="s">
        <v>521</v>
      </c>
      <c r="C165" s="523" t="s">
        <v>612</v>
      </c>
    </row>
    <row r="166" spans="1:3" ht="24">
      <c r="A166" s="506" t="s">
        <v>613</v>
      </c>
      <c r="B166" s="522" t="s">
        <v>849</v>
      </c>
      <c r="C166" s="516" t="s">
        <v>893</v>
      </c>
    </row>
    <row r="167" spans="1:3" ht="24">
      <c r="A167" s="506" t="s">
        <v>365</v>
      </c>
      <c r="B167" s="522" t="s">
        <v>522</v>
      </c>
      <c r="C167" s="516" t="s">
        <v>615</v>
      </c>
    </row>
    <row r="168" spans="1:3" ht="24">
      <c r="A168" s="506" t="s">
        <v>614</v>
      </c>
      <c r="B168" s="520" t="s">
        <v>525</v>
      </c>
      <c r="C168" s="521" t="s">
        <v>622</v>
      </c>
    </row>
    <row r="169" spans="1:3" ht="24">
      <c r="A169" s="506" t="s">
        <v>616</v>
      </c>
      <c r="B169" s="520" t="s">
        <v>523</v>
      </c>
      <c r="C169" s="516" t="s">
        <v>618</v>
      </c>
    </row>
    <row r="170" spans="1:3" ht="26.55" customHeight="1">
      <c r="A170" s="506" t="s">
        <v>617</v>
      </c>
      <c r="B170" s="520" t="s">
        <v>524</v>
      </c>
      <c r="C170" s="521" t="s">
        <v>620</v>
      </c>
    </row>
    <row r="171" spans="1:3" ht="24">
      <c r="A171" s="506" t="s">
        <v>619</v>
      </c>
      <c r="B171" s="501" t="s">
        <v>526</v>
      </c>
      <c r="C171" s="521" t="s">
        <v>624</v>
      </c>
    </row>
    <row r="172" spans="1:3" ht="24">
      <c r="A172" s="506" t="s">
        <v>621</v>
      </c>
      <c r="B172" s="520" t="s">
        <v>527</v>
      </c>
      <c r="C172" s="519" t="s">
        <v>625</v>
      </c>
    </row>
    <row r="173" spans="1:3">
      <c r="A173" s="506" t="s">
        <v>623</v>
      </c>
      <c r="B173" s="518" t="s">
        <v>528</v>
      </c>
      <c r="C173" s="517" t="s">
        <v>626</v>
      </c>
    </row>
    <row r="174" spans="1:3" ht="24">
      <c r="A174" s="506"/>
      <c r="B174" s="516" t="s">
        <v>892</v>
      </c>
      <c r="C174" s="501" t="s">
        <v>627</v>
      </c>
    </row>
    <row r="175" spans="1:3" ht="24">
      <c r="A175" s="506"/>
      <c r="B175" s="516" t="s">
        <v>891</v>
      </c>
      <c r="C175" s="501" t="s">
        <v>628</v>
      </c>
    </row>
    <row r="176" spans="1:3" ht="24">
      <c r="A176" s="506"/>
      <c r="B176" s="516" t="s">
        <v>890</v>
      </c>
      <c r="C176" s="501" t="s">
        <v>629</v>
      </c>
    </row>
    <row r="177" spans="1:3">
      <c r="A177" s="506"/>
      <c r="B177" s="902" t="s">
        <v>630</v>
      </c>
      <c r="C177" s="903"/>
    </row>
    <row r="178" spans="1:3">
      <c r="A178" s="506"/>
      <c r="B178" s="904" t="s">
        <v>889</v>
      </c>
      <c r="C178" s="905"/>
    </row>
    <row r="179" spans="1:3">
      <c r="A179" s="505">
        <v>1</v>
      </c>
      <c r="B179" s="501" t="s">
        <v>532</v>
      </c>
      <c r="C179" s="501" t="s">
        <v>532</v>
      </c>
    </row>
    <row r="180" spans="1:3" ht="24">
      <c r="A180" s="505">
        <v>2</v>
      </c>
      <c r="B180" s="501" t="s">
        <v>631</v>
      </c>
      <c r="C180" s="501" t="s">
        <v>632</v>
      </c>
    </row>
    <row r="181" spans="1:3">
      <c r="A181" s="505">
        <v>3</v>
      </c>
      <c r="B181" s="501" t="s">
        <v>534</v>
      </c>
      <c r="C181" s="501" t="s">
        <v>633</v>
      </c>
    </row>
    <row r="182" spans="1:3" ht="24">
      <c r="A182" s="505">
        <v>4</v>
      </c>
      <c r="B182" s="501" t="s">
        <v>535</v>
      </c>
      <c r="C182" s="501" t="s">
        <v>634</v>
      </c>
    </row>
    <row r="183" spans="1:3" ht="24">
      <c r="A183" s="505">
        <v>5</v>
      </c>
      <c r="B183" s="501" t="s">
        <v>536</v>
      </c>
      <c r="C183" s="501" t="s">
        <v>656</v>
      </c>
    </row>
    <row r="184" spans="1:3" ht="48">
      <c r="A184" s="505">
        <v>6</v>
      </c>
      <c r="B184" s="501" t="s">
        <v>537</v>
      </c>
      <c r="C184" s="501" t="s">
        <v>635</v>
      </c>
    </row>
    <row r="185" spans="1:3">
      <c r="A185" s="506"/>
      <c r="B185" s="902" t="s">
        <v>636</v>
      </c>
      <c r="C185" s="903"/>
    </row>
    <row r="186" spans="1:3">
      <c r="A186" s="506"/>
      <c r="B186" s="913" t="s">
        <v>888</v>
      </c>
      <c r="C186" s="910"/>
    </row>
    <row r="187" spans="1:3" ht="24">
      <c r="A187" s="506">
        <v>1.1000000000000001</v>
      </c>
      <c r="B187" s="515" t="s">
        <v>542</v>
      </c>
      <c r="C187" s="501" t="s">
        <v>637</v>
      </c>
    </row>
    <row r="188" spans="1:3" ht="49.95" customHeight="1">
      <c r="A188" s="506" t="s">
        <v>146</v>
      </c>
      <c r="B188" s="502" t="s">
        <v>543</v>
      </c>
      <c r="C188" s="501" t="s">
        <v>638</v>
      </c>
    </row>
    <row r="189" spans="1:3">
      <c r="A189" s="506" t="s">
        <v>544</v>
      </c>
      <c r="B189" s="514" t="s">
        <v>545</v>
      </c>
      <c r="C189" s="914" t="s">
        <v>887</v>
      </c>
    </row>
    <row r="190" spans="1:3">
      <c r="A190" s="506" t="s">
        <v>546</v>
      </c>
      <c r="B190" s="514" t="s">
        <v>547</v>
      </c>
      <c r="C190" s="914"/>
    </row>
    <row r="191" spans="1:3">
      <c r="A191" s="506" t="s">
        <v>548</v>
      </c>
      <c r="B191" s="514" t="s">
        <v>549</v>
      </c>
      <c r="C191" s="914"/>
    </row>
    <row r="192" spans="1:3">
      <c r="A192" s="506" t="s">
        <v>550</v>
      </c>
      <c r="B192" s="514" t="s">
        <v>551</v>
      </c>
      <c r="C192" s="914"/>
    </row>
    <row r="193" spans="1:4" ht="25.5" customHeight="1">
      <c r="A193" s="506">
        <v>1.2</v>
      </c>
      <c r="B193" s="513" t="s">
        <v>863</v>
      </c>
      <c r="C193" s="583" t="s">
        <v>964</v>
      </c>
    </row>
    <row r="194" spans="1:4" ht="24">
      <c r="A194" s="506" t="s">
        <v>553</v>
      </c>
      <c r="B194" s="508" t="s">
        <v>554</v>
      </c>
      <c r="C194" s="511" t="s">
        <v>639</v>
      </c>
    </row>
    <row r="195" spans="1:4" ht="24">
      <c r="A195" s="506" t="s">
        <v>555</v>
      </c>
      <c r="B195" s="512" t="s">
        <v>556</v>
      </c>
      <c r="C195" s="511" t="s">
        <v>640</v>
      </c>
    </row>
    <row r="196" spans="1:4" ht="25.95" customHeight="1">
      <c r="A196" s="506" t="s">
        <v>557</v>
      </c>
      <c r="B196" s="510" t="s">
        <v>558</v>
      </c>
      <c r="C196" s="500" t="s">
        <v>641</v>
      </c>
    </row>
    <row r="197" spans="1:4" ht="24">
      <c r="A197" s="506" t="s">
        <v>559</v>
      </c>
      <c r="B197" s="509" t="s">
        <v>560</v>
      </c>
      <c r="C197" s="500" t="s">
        <v>642</v>
      </c>
      <c r="D197" s="327"/>
    </row>
    <row r="198" spans="1:4" ht="12.6">
      <c r="A198" s="506">
        <v>1.4</v>
      </c>
      <c r="B198" s="508" t="s">
        <v>649</v>
      </c>
      <c r="C198" s="507" t="s">
        <v>643</v>
      </c>
      <c r="D198" s="328"/>
    </row>
    <row r="199" spans="1:4" ht="12.6">
      <c r="A199" s="506">
        <v>1.5</v>
      </c>
      <c r="B199" s="508" t="s">
        <v>650</v>
      </c>
      <c r="C199" s="507" t="s">
        <v>643</v>
      </c>
      <c r="D199" s="329"/>
    </row>
    <row r="200" spans="1:4" ht="12.6">
      <c r="A200" s="506"/>
      <c r="B200" s="915" t="s">
        <v>644</v>
      </c>
      <c r="C200" s="915"/>
      <c r="D200" s="329"/>
    </row>
    <row r="201" spans="1:4" ht="12.6">
      <c r="A201" s="506"/>
      <c r="B201" s="913" t="s">
        <v>886</v>
      </c>
      <c r="C201" s="913"/>
      <c r="D201" s="329"/>
    </row>
    <row r="202" spans="1:4" ht="12.6">
      <c r="A202" s="505"/>
      <c r="B202" s="500" t="s">
        <v>885</v>
      </c>
      <c r="C202" s="582" t="s">
        <v>962</v>
      </c>
      <c r="D202" s="329"/>
    </row>
    <row r="203" spans="1:4" ht="12.6">
      <c r="A203" s="506"/>
      <c r="B203" s="915" t="s">
        <v>645</v>
      </c>
      <c r="C203" s="915"/>
      <c r="D203" s="330"/>
    </row>
    <row r="204" spans="1:4" ht="12.6">
      <c r="A204" s="505"/>
      <c r="B204" s="913" t="s">
        <v>884</v>
      </c>
      <c r="C204" s="913"/>
      <c r="D204" s="331"/>
    </row>
    <row r="205" spans="1:4" ht="12.6">
      <c r="B205" s="915" t="s">
        <v>682</v>
      </c>
      <c r="C205" s="915"/>
      <c r="D205" s="332"/>
    </row>
    <row r="206" spans="1:4" ht="24">
      <c r="A206" s="502">
        <v>1</v>
      </c>
      <c r="B206" s="500" t="s">
        <v>658</v>
      </c>
      <c r="C206" s="500" t="s">
        <v>670</v>
      </c>
      <c r="D206" s="331"/>
    </row>
    <row r="207" spans="1:4" ht="18" customHeight="1">
      <c r="A207" s="502">
        <v>2</v>
      </c>
      <c r="B207" s="500" t="s">
        <v>659</v>
      </c>
      <c r="C207" s="500" t="s">
        <v>671</v>
      </c>
      <c r="D207" s="332"/>
    </row>
    <row r="208" spans="1:4" ht="24">
      <c r="A208" s="502">
        <v>3</v>
      </c>
      <c r="B208" s="500" t="s">
        <v>660</v>
      </c>
      <c r="C208" s="500" t="s">
        <v>672</v>
      </c>
      <c r="D208" s="333"/>
    </row>
    <row r="209" spans="1:4" ht="12.6">
      <c r="A209" s="502">
        <v>4</v>
      </c>
      <c r="B209" s="500" t="s">
        <v>661</v>
      </c>
      <c r="C209" s="500" t="s">
        <v>673</v>
      </c>
      <c r="D209" s="333"/>
    </row>
    <row r="210" spans="1:4" ht="24">
      <c r="A210" s="502">
        <v>5</v>
      </c>
      <c r="B210" s="500" t="s">
        <v>662</v>
      </c>
      <c r="C210" s="500" t="s">
        <v>674</v>
      </c>
    </row>
    <row r="211" spans="1:4" ht="24.45" customHeight="1">
      <c r="A211" s="502">
        <v>6</v>
      </c>
      <c r="B211" s="500" t="s">
        <v>663</v>
      </c>
      <c r="C211" s="500" t="s">
        <v>675</v>
      </c>
    </row>
    <row r="212" spans="1:4" ht="24">
      <c r="A212" s="502">
        <v>7</v>
      </c>
      <c r="B212" s="500" t="s">
        <v>664</v>
      </c>
      <c r="C212" s="500" t="s">
        <v>676</v>
      </c>
    </row>
    <row r="213" spans="1:4">
      <c r="A213" s="502">
        <v>7.1</v>
      </c>
      <c r="B213" s="504" t="s">
        <v>665</v>
      </c>
      <c r="C213" s="500" t="s">
        <v>677</v>
      </c>
    </row>
    <row r="214" spans="1:4">
      <c r="A214" s="502">
        <v>7.2</v>
      </c>
      <c r="B214" s="504" t="s">
        <v>666</v>
      </c>
      <c r="C214" s="500" t="s">
        <v>678</v>
      </c>
    </row>
    <row r="215" spans="1:4">
      <c r="A215" s="502">
        <v>7.3</v>
      </c>
      <c r="B215" s="503" t="s">
        <v>667</v>
      </c>
      <c r="C215" s="500" t="s">
        <v>679</v>
      </c>
    </row>
    <row r="216" spans="1:4" ht="39.450000000000003" customHeight="1">
      <c r="A216" s="502">
        <v>8</v>
      </c>
      <c r="B216" s="500" t="s">
        <v>668</v>
      </c>
      <c r="C216" s="500" t="s">
        <v>680</v>
      </c>
    </row>
    <row r="217" spans="1:4">
      <c r="A217" s="502">
        <v>9</v>
      </c>
      <c r="B217" s="500" t="s">
        <v>669</v>
      </c>
      <c r="C217" s="500" t="s">
        <v>681</v>
      </c>
    </row>
    <row r="218" spans="1:4" ht="24">
      <c r="A218" s="539">
        <v>10.1</v>
      </c>
      <c r="B218" s="540" t="s">
        <v>689</v>
      </c>
      <c r="C218" s="532" t="s">
        <v>690</v>
      </c>
    </row>
    <row r="219" spans="1:4">
      <c r="A219" s="916"/>
      <c r="B219" s="541" t="s">
        <v>876</v>
      </c>
      <c r="C219" s="500" t="s">
        <v>883</v>
      </c>
    </row>
    <row r="220" spans="1:4">
      <c r="A220" s="916"/>
      <c r="B220" s="501" t="s">
        <v>541</v>
      </c>
      <c r="C220" s="500" t="s">
        <v>882</v>
      </c>
    </row>
    <row r="221" spans="1:4">
      <c r="A221" s="916"/>
      <c r="B221" s="501" t="s">
        <v>875</v>
      </c>
      <c r="C221" s="583" t="s">
        <v>965</v>
      </c>
    </row>
    <row r="222" spans="1:4">
      <c r="A222" s="916"/>
      <c r="B222" s="501" t="s">
        <v>683</v>
      </c>
      <c r="C222" s="500" t="s">
        <v>881</v>
      </c>
    </row>
    <row r="223" spans="1:4" ht="24">
      <c r="A223" s="916"/>
      <c r="B223" s="501" t="s">
        <v>687</v>
      </c>
      <c r="C223" s="501" t="s">
        <v>880</v>
      </c>
    </row>
    <row r="224" spans="1:4" ht="36">
      <c r="A224" s="916"/>
      <c r="B224" s="501" t="s">
        <v>686</v>
      </c>
      <c r="C224" s="500" t="s">
        <v>879</v>
      </c>
    </row>
    <row r="225" spans="1:3">
      <c r="A225" s="916"/>
      <c r="B225" s="501" t="s">
        <v>914</v>
      </c>
      <c r="C225" s="500" t="s">
        <v>878</v>
      </c>
    </row>
    <row r="226" spans="1:3" ht="24">
      <c r="A226" s="916"/>
      <c r="B226" s="501" t="s">
        <v>915</v>
      </c>
      <c r="C226" s="500" t="s">
        <v>877</v>
      </c>
    </row>
    <row r="227" spans="1:3" ht="12.6">
      <c r="A227" s="533"/>
      <c r="B227" s="534"/>
      <c r="C227" s="535"/>
    </row>
    <row r="228" spans="1:3" ht="12.6">
      <c r="A228" s="533"/>
      <c r="B228" s="535"/>
      <c r="C228" s="535"/>
    </row>
    <row r="229" spans="1:3" ht="12.6">
      <c r="A229" s="533"/>
      <c r="B229" s="535"/>
      <c r="C229" s="535"/>
    </row>
    <row r="230" spans="1:3" ht="12.6">
      <c r="A230" s="533"/>
      <c r="B230" s="536"/>
      <c r="C230" s="535"/>
    </row>
    <row r="231" spans="1:3">
      <c r="A231" s="912"/>
      <c r="B231" s="537"/>
      <c r="C231" s="535"/>
    </row>
    <row r="232" spans="1:3">
      <c r="A232" s="912"/>
      <c r="B232" s="537"/>
      <c r="C232" s="535"/>
    </row>
    <row r="233" spans="1:3">
      <c r="A233" s="912"/>
      <c r="B233" s="537"/>
      <c r="C233" s="535"/>
    </row>
    <row r="234" spans="1:3">
      <c r="A234" s="912"/>
      <c r="B234" s="537"/>
      <c r="C234" s="538"/>
    </row>
    <row r="235" spans="1:3" ht="40.5" customHeight="1">
      <c r="A235" s="912"/>
      <c r="B235" s="537"/>
      <c r="C235" s="535"/>
    </row>
    <row r="236" spans="1:3" ht="24" customHeight="1">
      <c r="A236" s="912"/>
      <c r="B236" s="537"/>
      <c r="C236" s="535"/>
    </row>
    <row r="237" spans="1:3">
      <c r="A237" s="912"/>
      <c r="B237" s="537"/>
      <c r="C237" s="535"/>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O45"/>
  <sheetViews>
    <sheetView topLeftCell="A26" zoomScale="70" zoomScaleNormal="70" workbookViewId="0">
      <selection activeCell="Q41" sqref="Q41"/>
    </sheetView>
  </sheetViews>
  <sheetFormatPr defaultRowHeight="14.4"/>
  <cols>
    <col min="2" max="2" width="66.6640625" customWidth="1"/>
    <col min="3" max="8" width="17.77734375" customWidth="1"/>
    <col min="9" max="9" width="15.5546875" bestFit="1" customWidth="1"/>
    <col min="10" max="10" width="14.5546875" bestFit="1" customWidth="1"/>
    <col min="11" max="11" width="15.5546875" bestFit="1" customWidth="1"/>
    <col min="13" max="13" width="12.77734375" bestFit="1" customWidth="1"/>
    <col min="15" max="15" width="12.77734375" bestFit="1" customWidth="1"/>
  </cols>
  <sheetData>
    <row r="1" spans="1:15">
      <c r="A1" s="13" t="s">
        <v>97</v>
      </c>
      <c r="B1" s="248" t="str">
        <f>Info!C2</f>
        <v>სს "კრედო ბანკი"</v>
      </c>
      <c r="C1" s="12"/>
      <c r="D1" s="1"/>
      <c r="E1" s="1"/>
      <c r="F1" s="1"/>
      <c r="G1" s="1"/>
    </row>
    <row r="2" spans="1:15">
      <c r="A2" s="13" t="s">
        <v>98</v>
      </c>
      <c r="B2" s="274">
        <f>'1. key ratios'!B2</f>
        <v>46022</v>
      </c>
      <c r="C2" s="12"/>
      <c r="D2" s="1"/>
      <c r="E2" s="1"/>
      <c r="F2" s="1"/>
      <c r="G2" s="1"/>
    </row>
    <row r="3" spans="1:15">
      <c r="A3" s="13"/>
      <c r="B3" s="12"/>
      <c r="C3" s="12"/>
      <c r="D3" s="1"/>
      <c r="E3" s="1"/>
      <c r="F3" s="1"/>
      <c r="G3" s="1"/>
    </row>
    <row r="4" spans="1:15">
      <c r="A4" s="798" t="s">
        <v>25</v>
      </c>
      <c r="B4" s="796" t="s">
        <v>155</v>
      </c>
      <c r="C4" s="794" t="s">
        <v>103</v>
      </c>
      <c r="D4" s="794"/>
      <c r="E4" s="794"/>
      <c r="F4" s="794" t="s">
        <v>104</v>
      </c>
      <c r="G4" s="794"/>
      <c r="H4" s="795"/>
    </row>
    <row r="5" spans="1:15" ht="15.45" customHeight="1">
      <c r="A5" s="799"/>
      <c r="B5" s="797"/>
      <c r="C5" s="365" t="s">
        <v>26</v>
      </c>
      <c r="D5" s="365" t="s">
        <v>77</v>
      </c>
      <c r="E5" s="365" t="s">
        <v>66</v>
      </c>
      <c r="F5" s="365" t="s">
        <v>26</v>
      </c>
      <c r="G5" s="365" t="s">
        <v>77</v>
      </c>
      <c r="H5" s="365" t="s">
        <v>66</v>
      </c>
    </row>
    <row r="6" spans="1:15">
      <c r="A6" s="393">
        <v>1</v>
      </c>
      <c r="B6" s="366" t="s">
        <v>744</v>
      </c>
      <c r="C6" s="663">
        <f>SUM(C7:C12)</f>
        <v>612526417.67014897</v>
      </c>
      <c r="D6" s="663">
        <f>SUM(D7:D12)</f>
        <v>30393618.029999971</v>
      </c>
      <c r="E6" s="659">
        <f>C6+D6</f>
        <v>642920035.70014894</v>
      </c>
      <c r="F6" s="662">
        <f>SUM(F7:F12)</f>
        <v>496887399.42000771</v>
      </c>
      <c r="G6" s="662">
        <f>SUM(G7:G12)</f>
        <v>23677022.75999999</v>
      </c>
      <c r="H6" s="659">
        <f>F6+G6</f>
        <v>520564422.1800077</v>
      </c>
      <c r="I6" s="739"/>
      <c r="J6" s="739"/>
      <c r="K6" s="739"/>
      <c r="M6" s="736"/>
      <c r="N6" s="736"/>
      <c r="O6" s="736"/>
    </row>
    <row r="7" spans="1:15">
      <c r="A7" s="393">
        <v>1.1000000000000001</v>
      </c>
      <c r="B7" s="367" t="s">
        <v>698</v>
      </c>
      <c r="C7" s="661"/>
      <c r="D7" s="661"/>
      <c r="E7" s="659">
        <f t="shared" ref="E7:E45" si="0">C7+D7</f>
        <v>0</v>
      </c>
      <c r="F7" s="654"/>
      <c r="G7" s="654"/>
      <c r="H7" s="659">
        <f t="shared" ref="H7:H44" si="1">F7+G7</f>
        <v>0</v>
      </c>
      <c r="I7" s="739"/>
      <c r="J7" s="739"/>
      <c r="K7" s="739"/>
      <c r="M7" s="736"/>
      <c r="N7" s="736"/>
      <c r="O7" s="736"/>
    </row>
    <row r="8" spans="1:15" ht="20.399999999999999">
      <c r="A8" s="393">
        <v>1.2</v>
      </c>
      <c r="B8" s="367" t="s">
        <v>745</v>
      </c>
      <c r="C8" s="661"/>
      <c r="D8" s="661"/>
      <c r="E8" s="659">
        <f t="shared" si="0"/>
        <v>0</v>
      </c>
      <c r="F8" s="654"/>
      <c r="G8" s="654"/>
      <c r="H8" s="659">
        <f t="shared" si="1"/>
        <v>0</v>
      </c>
      <c r="I8" s="739"/>
      <c r="J8" s="739"/>
      <c r="K8" s="739"/>
      <c r="M8" s="736"/>
      <c r="N8" s="736"/>
      <c r="O8" s="736"/>
    </row>
    <row r="9" spans="1:15" ht="21.45" customHeight="1">
      <c r="A9" s="393">
        <v>1.3</v>
      </c>
      <c r="B9" s="357" t="s">
        <v>746</v>
      </c>
      <c r="C9" s="661"/>
      <c r="D9" s="661"/>
      <c r="E9" s="659">
        <f t="shared" si="0"/>
        <v>0</v>
      </c>
      <c r="F9" s="654"/>
      <c r="G9" s="654"/>
      <c r="H9" s="659">
        <f t="shared" si="1"/>
        <v>0</v>
      </c>
      <c r="I9" s="739"/>
      <c r="J9" s="739"/>
      <c r="K9" s="739"/>
      <c r="M9" s="736"/>
      <c r="N9" s="736"/>
      <c r="O9" s="736"/>
    </row>
    <row r="10" spans="1:15" ht="20.399999999999999">
      <c r="A10" s="393">
        <v>1.4</v>
      </c>
      <c r="B10" s="357" t="s">
        <v>702</v>
      </c>
      <c r="C10" s="661"/>
      <c r="D10" s="661"/>
      <c r="E10" s="659">
        <f t="shared" si="0"/>
        <v>0</v>
      </c>
      <c r="F10" s="654"/>
      <c r="G10" s="654"/>
      <c r="H10" s="659">
        <f t="shared" si="1"/>
        <v>0</v>
      </c>
      <c r="I10" s="739"/>
      <c r="J10" s="739"/>
      <c r="K10" s="739"/>
      <c r="M10" s="736"/>
      <c r="N10" s="736"/>
      <c r="O10" s="736"/>
    </row>
    <row r="11" spans="1:15">
      <c r="A11" s="393">
        <v>1.5</v>
      </c>
      <c r="B11" s="357" t="s">
        <v>705</v>
      </c>
      <c r="C11" s="661">
        <v>612526417.67014897</v>
      </c>
      <c r="D11" s="661">
        <v>30393618.029999971</v>
      </c>
      <c r="E11" s="659">
        <f t="shared" si="0"/>
        <v>642920035.70014894</v>
      </c>
      <c r="F11" s="654">
        <v>496887399.42000771</v>
      </c>
      <c r="G11" s="654">
        <v>23677022.75999999</v>
      </c>
      <c r="H11" s="659">
        <f t="shared" si="1"/>
        <v>520564422.1800077</v>
      </c>
      <c r="I11" s="739"/>
      <c r="J11" s="739"/>
      <c r="K11" s="739"/>
      <c r="M11" s="736"/>
      <c r="N11" s="736"/>
      <c r="O11" s="736"/>
    </row>
    <row r="12" spans="1:15">
      <c r="A12" s="393">
        <v>1.6</v>
      </c>
      <c r="B12" s="358" t="s">
        <v>88</v>
      </c>
      <c r="C12" s="661"/>
      <c r="D12" s="661"/>
      <c r="E12" s="659">
        <f t="shared" si="0"/>
        <v>0</v>
      </c>
      <c r="F12" s="353"/>
      <c r="G12" s="353"/>
      <c r="H12" s="659">
        <f t="shared" si="1"/>
        <v>0</v>
      </c>
      <c r="I12" s="739"/>
      <c r="J12" s="739"/>
      <c r="K12" s="739"/>
      <c r="M12" s="736"/>
      <c r="N12" s="736"/>
      <c r="O12" s="736"/>
    </row>
    <row r="13" spans="1:15">
      <c r="A13" s="393">
        <v>2</v>
      </c>
      <c r="B13" s="368" t="s">
        <v>747</v>
      </c>
      <c r="C13" s="663">
        <f>SUM(C14:C17)</f>
        <v>-232511994.06999999</v>
      </c>
      <c r="D13" s="663">
        <f>SUM(D14:D17)</f>
        <v>-32560408.860000014</v>
      </c>
      <c r="E13" s="659">
        <f t="shared" si="0"/>
        <v>-265072402.93000001</v>
      </c>
      <c r="F13" s="662">
        <f>SUM(F14:F17)</f>
        <v>-197480686.78999996</v>
      </c>
      <c r="G13" s="662">
        <f>SUM(G14:G17)</f>
        <v>-20634037.330000013</v>
      </c>
      <c r="H13" s="659">
        <f t="shared" si="1"/>
        <v>-218114724.11999997</v>
      </c>
      <c r="I13" s="739"/>
      <c r="J13" s="739"/>
      <c r="K13" s="739"/>
      <c r="M13" s="736"/>
      <c r="N13" s="736"/>
      <c r="O13" s="736"/>
    </row>
    <row r="14" spans="1:15">
      <c r="A14" s="393">
        <v>2.1</v>
      </c>
      <c r="B14" s="357" t="s">
        <v>748</v>
      </c>
      <c r="C14" s="661"/>
      <c r="D14" s="661"/>
      <c r="E14" s="659">
        <f t="shared" si="0"/>
        <v>0</v>
      </c>
      <c r="F14" s="654"/>
      <c r="G14" s="654"/>
      <c r="H14" s="659">
        <f t="shared" si="1"/>
        <v>0</v>
      </c>
      <c r="I14" s="739"/>
      <c r="J14" s="739"/>
      <c r="K14" s="739"/>
      <c r="M14" s="736"/>
      <c r="N14" s="736"/>
      <c r="O14" s="736"/>
    </row>
    <row r="15" spans="1:15" ht="24.45" customHeight="1">
      <c r="A15" s="393">
        <v>2.2000000000000002</v>
      </c>
      <c r="B15" s="357" t="s">
        <v>749</v>
      </c>
      <c r="C15" s="661"/>
      <c r="D15" s="661"/>
      <c r="E15" s="659">
        <f t="shared" si="0"/>
        <v>0</v>
      </c>
      <c r="F15" s="654"/>
      <c r="G15" s="654"/>
      <c r="H15" s="659">
        <f t="shared" si="1"/>
        <v>0</v>
      </c>
      <c r="I15" s="739"/>
      <c r="J15" s="739"/>
      <c r="K15" s="739"/>
      <c r="M15" s="736"/>
      <c r="N15" s="736"/>
      <c r="O15" s="736"/>
    </row>
    <row r="16" spans="1:15" ht="20.55" customHeight="1">
      <c r="A16" s="393">
        <v>2.2999999999999998</v>
      </c>
      <c r="B16" s="357" t="s">
        <v>750</v>
      </c>
      <c r="C16" s="661">
        <v>-232511994.06999999</v>
      </c>
      <c r="D16" s="661">
        <v>-32560408.860000014</v>
      </c>
      <c r="E16" s="659">
        <f t="shared" si="0"/>
        <v>-265072402.93000001</v>
      </c>
      <c r="F16" s="654">
        <v>-197480686.78999996</v>
      </c>
      <c r="G16" s="654">
        <v>-20634037.330000013</v>
      </c>
      <c r="H16" s="659">
        <f t="shared" si="1"/>
        <v>-218114724.11999997</v>
      </c>
      <c r="I16" s="739"/>
      <c r="J16" s="739"/>
      <c r="K16" s="739"/>
      <c r="M16" s="736"/>
      <c r="N16" s="736"/>
      <c r="O16" s="736"/>
    </row>
    <row r="17" spans="1:15">
      <c r="A17" s="393">
        <v>2.4</v>
      </c>
      <c r="B17" s="357" t="s">
        <v>751</v>
      </c>
      <c r="C17" s="661"/>
      <c r="D17" s="661"/>
      <c r="E17" s="659">
        <f t="shared" si="0"/>
        <v>0</v>
      </c>
      <c r="F17" s="353"/>
      <c r="G17" s="353"/>
      <c r="H17" s="659">
        <f t="shared" si="1"/>
        <v>0</v>
      </c>
      <c r="I17" s="739"/>
      <c r="J17" s="739"/>
      <c r="K17" s="739"/>
      <c r="M17" s="736"/>
      <c r="N17" s="736"/>
      <c r="O17" s="736"/>
    </row>
    <row r="18" spans="1:15">
      <c r="A18" s="393">
        <v>3</v>
      </c>
      <c r="B18" s="368" t="s">
        <v>752</v>
      </c>
      <c r="C18" s="661"/>
      <c r="D18" s="661"/>
      <c r="E18" s="659">
        <f t="shared" si="0"/>
        <v>0</v>
      </c>
      <c r="F18" s="353"/>
      <c r="G18" s="353"/>
      <c r="H18" s="659">
        <f t="shared" si="1"/>
        <v>0</v>
      </c>
      <c r="I18" s="739"/>
      <c r="J18" s="739"/>
      <c r="K18" s="739"/>
      <c r="M18" s="736"/>
      <c r="N18" s="736"/>
      <c r="O18" s="736"/>
    </row>
    <row r="19" spans="1:15">
      <c r="A19" s="393">
        <v>4</v>
      </c>
      <c r="B19" s="368" t="s">
        <v>753</v>
      </c>
      <c r="C19" s="661">
        <v>67297863.010000005</v>
      </c>
      <c r="D19" s="661">
        <v>12568101.420000002</v>
      </c>
      <c r="E19" s="659">
        <f t="shared" si="0"/>
        <v>79865964.430000007</v>
      </c>
      <c r="F19" s="654">
        <v>54112230.849999979</v>
      </c>
      <c r="G19" s="654">
        <v>9495898.4999999907</v>
      </c>
      <c r="H19" s="659">
        <f t="shared" si="1"/>
        <v>63608129.349999972</v>
      </c>
      <c r="I19" s="739"/>
      <c r="J19" s="739"/>
      <c r="K19" s="739"/>
      <c r="M19" s="736"/>
      <c r="N19" s="736"/>
      <c r="O19" s="736"/>
    </row>
    <row r="20" spans="1:15">
      <c r="A20" s="393">
        <v>5</v>
      </c>
      <c r="B20" s="368" t="s">
        <v>754</v>
      </c>
      <c r="C20" s="661">
        <v>-22961717.269999992</v>
      </c>
      <c r="D20" s="661">
        <v>-14100311.430000003</v>
      </c>
      <c r="E20" s="659">
        <f t="shared" si="0"/>
        <v>-37062028.699999996</v>
      </c>
      <c r="F20" s="654">
        <v>-17855396.720000003</v>
      </c>
      <c r="G20" s="654">
        <v>-9324930.2400000002</v>
      </c>
      <c r="H20" s="659">
        <f t="shared" si="1"/>
        <v>-27180326.960000001</v>
      </c>
      <c r="I20" s="739"/>
      <c r="J20" s="739"/>
      <c r="K20" s="739"/>
      <c r="M20" s="736"/>
      <c r="N20" s="736"/>
      <c r="O20" s="736"/>
    </row>
    <row r="21" spans="1:15" ht="38.549999999999997" customHeight="1">
      <c r="A21" s="393">
        <v>6</v>
      </c>
      <c r="B21" s="368" t="s">
        <v>755</v>
      </c>
      <c r="C21" s="661"/>
      <c r="D21" s="661"/>
      <c r="E21" s="659">
        <f t="shared" si="0"/>
        <v>0</v>
      </c>
      <c r="F21" s="654"/>
      <c r="G21" s="654"/>
      <c r="H21" s="659">
        <f t="shared" si="1"/>
        <v>0</v>
      </c>
      <c r="I21" s="739"/>
      <c r="J21" s="739"/>
      <c r="K21" s="739"/>
      <c r="M21" s="736"/>
      <c r="N21" s="736"/>
      <c r="O21" s="736"/>
    </row>
    <row r="22" spans="1:15" ht="27.45" customHeight="1">
      <c r="A22" s="393">
        <v>7</v>
      </c>
      <c r="B22" s="368" t="s">
        <v>756</v>
      </c>
      <c r="C22" s="661">
        <v>-20326559</v>
      </c>
      <c r="D22" s="661"/>
      <c r="E22" s="659">
        <f t="shared" si="0"/>
        <v>-20326559</v>
      </c>
      <c r="F22" s="654">
        <v>-11109340.919999793</v>
      </c>
      <c r="G22" s="654"/>
      <c r="H22" s="659">
        <f t="shared" si="1"/>
        <v>-11109340.919999793</v>
      </c>
      <c r="I22" s="739"/>
      <c r="J22" s="739"/>
      <c r="K22" s="739"/>
      <c r="M22" s="736"/>
      <c r="N22" s="736"/>
      <c r="O22" s="736"/>
    </row>
    <row r="23" spans="1:15" ht="37.049999999999997" customHeight="1">
      <c r="A23" s="393">
        <v>8</v>
      </c>
      <c r="B23" s="369" t="s">
        <v>757</v>
      </c>
      <c r="C23" s="661"/>
      <c r="D23" s="661"/>
      <c r="E23" s="659">
        <f t="shared" si="0"/>
        <v>0</v>
      </c>
      <c r="F23" s="654"/>
      <c r="G23" s="654"/>
      <c r="H23" s="659">
        <f t="shared" si="1"/>
        <v>0</v>
      </c>
      <c r="I23" s="739"/>
      <c r="J23" s="739"/>
      <c r="K23" s="739"/>
      <c r="M23" s="736"/>
      <c r="N23" s="736"/>
      <c r="O23" s="736"/>
    </row>
    <row r="24" spans="1:15" ht="34.5" customHeight="1">
      <c r="A24" s="393">
        <v>9</v>
      </c>
      <c r="B24" s="369" t="s">
        <v>758</v>
      </c>
      <c r="C24" s="661"/>
      <c r="D24" s="661"/>
      <c r="E24" s="659">
        <f t="shared" si="0"/>
        <v>0</v>
      </c>
      <c r="F24" s="654"/>
      <c r="G24" s="654">
        <v>0</v>
      </c>
      <c r="H24" s="659">
        <f t="shared" si="1"/>
        <v>0</v>
      </c>
      <c r="M24" s="736"/>
      <c r="N24" s="736"/>
      <c r="O24" s="736"/>
    </row>
    <row r="25" spans="1:15">
      <c r="A25" s="393">
        <v>10</v>
      </c>
      <c r="B25" s="368" t="s">
        <v>759</v>
      </c>
      <c r="C25" s="661">
        <v>11199933.039999997</v>
      </c>
      <c r="D25" s="661"/>
      <c r="E25" s="659">
        <f t="shared" si="0"/>
        <v>11199933.039999997</v>
      </c>
      <c r="F25" s="654">
        <v>7632812.3599999985</v>
      </c>
      <c r="G25" s="654">
        <v>0</v>
      </c>
      <c r="H25" s="659">
        <f t="shared" si="1"/>
        <v>7632812.3599999985</v>
      </c>
      <c r="I25" s="739"/>
      <c r="J25" s="739"/>
      <c r="K25" s="739"/>
      <c r="M25" s="736"/>
      <c r="N25" s="736"/>
      <c r="O25" s="736"/>
    </row>
    <row r="26" spans="1:15" ht="27" customHeight="1">
      <c r="A26" s="393">
        <v>11</v>
      </c>
      <c r="B26" s="370" t="s">
        <v>760</v>
      </c>
      <c r="C26" s="661">
        <v>653691.26000000024</v>
      </c>
      <c r="D26" s="661"/>
      <c r="E26" s="659">
        <f t="shared" si="0"/>
        <v>653691.26000000024</v>
      </c>
      <c r="F26" s="654">
        <v>366221.99000000011</v>
      </c>
      <c r="G26" s="654"/>
      <c r="H26" s="659">
        <f t="shared" si="1"/>
        <v>366221.99000000011</v>
      </c>
      <c r="I26" s="739"/>
      <c r="J26" s="739"/>
      <c r="K26" s="739"/>
      <c r="M26" s="736"/>
      <c r="N26" s="736"/>
      <c r="O26" s="736"/>
    </row>
    <row r="27" spans="1:15">
      <c r="A27" s="393">
        <v>12</v>
      </c>
      <c r="B27" s="368" t="s">
        <v>761</v>
      </c>
      <c r="C27" s="661">
        <v>1587080.6900000002</v>
      </c>
      <c r="D27" s="661">
        <v>15374.829999999842</v>
      </c>
      <c r="E27" s="659">
        <f t="shared" si="0"/>
        <v>1602455.52</v>
      </c>
      <c r="F27" s="654">
        <v>1465540.2199999997</v>
      </c>
      <c r="G27" s="654">
        <v>776.34</v>
      </c>
      <c r="H27" s="659">
        <f t="shared" si="1"/>
        <v>1466316.5599999998</v>
      </c>
      <c r="I27" s="739"/>
      <c r="J27" s="739"/>
      <c r="K27" s="739"/>
      <c r="M27" s="736"/>
      <c r="N27" s="736"/>
      <c r="O27" s="736"/>
    </row>
    <row r="28" spans="1:15">
      <c r="A28" s="393">
        <v>13</v>
      </c>
      <c r="B28" s="371" t="s">
        <v>762</v>
      </c>
      <c r="C28" s="661">
        <v>-29817999.870000005</v>
      </c>
      <c r="D28" s="661">
        <v>-1194833.6799999997</v>
      </c>
      <c r="E28" s="659">
        <f t="shared" si="0"/>
        <v>-31012833.550000004</v>
      </c>
      <c r="F28" s="654">
        <v>-24736429.290000007</v>
      </c>
      <c r="G28" s="654">
        <v>-751739</v>
      </c>
      <c r="H28" s="659">
        <f t="shared" si="1"/>
        <v>-25488168.290000007</v>
      </c>
      <c r="I28" s="739"/>
      <c r="J28" s="739"/>
      <c r="K28" s="739"/>
      <c r="M28" s="736"/>
      <c r="N28" s="736"/>
      <c r="O28" s="736"/>
    </row>
    <row r="29" spans="1:15">
      <c r="A29" s="393">
        <v>14</v>
      </c>
      <c r="B29" s="372" t="s">
        <v>763</v>
      </c>
      <c r="C29" s="663">
        <f>SUM(C30:C31)</f>
        <v>-165223247.86000004</v>
      </c>
      <c r="D29" s="663">
        <f>SUM(D30:D31)</f>
        <v>-1812019.5799999926</v>
      </c>
      <c r="E29" s="659">
        <f t="shared" si="0"/>
        <v>-167035267.44000003</v>
      </c>
      <c r="F29" s="662">
        <f>SUM(F30:F31)</f>
        <v>-140660207.02000001</v>
      </c>
      <c r="G29" s="662">
        <f>SUM(G30:G31)</f>
        <v>-1626344.1799999997</v>
      </c>
      <c r="H29" s="659">
        <f t="shared" si="1"/>
        <v>-142286551.20000002</v>
      </c>
      <c r="I29" s="739"/>
      <c r="J29" s="739"/>
      <c r="K29" s="739"/>
      <c r="M29" s="736"/>
      <c r="N29" s="736"/>
      <c r="O29" s="736"/>
    </row>
    <row r="30" spans="1:15">
      <c r="A30" s="393">
        <v>14.1</v>
      </c>
      <c r="B30" s="348" t="s">
        <v>764</v>
      </c>
      <c r="C30" s="661">
        <v>-154964429.40000004</v>
      </c>
      <c r="D30" s="661">
        <v>-223800.56999999285</v>
      </c>
      <c r="E30" s="659">
        <f t="shared" si="0"/>
        <v>-155188229.97000003</v>
      </c>
      <c r="F30" s="654">
        <v>-132589017.18000001</v>
      </c>
      <c r="G30" s="654">
        <v>-98378.04</v>
      </c>
      <c r="H30" s="659">
        <f t="shared" si="1"/>
        <v>-132687395.22000001</v>
      </c>
      <c r="I30" s="739"/>
      <c r="J30" s="739"/>
      <c r="K30" s="739"/>
      <c r="M30" s="736"/>
      <c r="N30" s="736"/>
      <c r="O30" s="736"/>
    </row>
    <row r="31" spans="1:15">
      <c r="A31" s="393">
        <v>14.2</v>
      </c>
      <c r="B31" s="348" t="s">
        <v>765</v>
      </c>
      <c r="C31" s="661">
        <v>-10258818.460000003</v>
      </c>
      <c r="D31" s="661">
        <v>-1588219.0099999998</v>
      </c>
      <c r="E31" s="659">
        <f t="shared" si="0"/>
        <v>-11847037.470000003</v>
      </c>
      <c r="F31" s="654">
        <v>-8071189.8400000008</v>
      </c>
      <c r="G31" s="654">
        <v>-1527966.1399999997</v>
      </c>
      <c r="H31" s="659">
        <f t="shared" si="1"/>
        <v>-9599155.9800000004</v>
      </c>
      <c r="I31" s="739"/>
      <c r="J31" s="739"/>
      <c r="K31" s="739"/>
      <c r="M31" s="736"/>
      <c r="N31" s="736"/>
      <c r="O31" s="736"/>
    </row>
    <row r="32" spans="1:15">
      <c r="A32" s="393">
        <v>15</v>
      </c>
      <c r="B32" s="373" t="s">
        <v>766</v>
      </c>
      <c r="C32" s="661">
        <v>-24229783.980000004</v>
      </c>
      <c r="D32" s="661"/>
      <c r="E32" s="659">
        <f t="shared" si="0"/>
        <v>-24229783.980000004</v>
      </c>
      <c r="F32" s="654">
        <v>-20981133.740000006</v>
      </c>
      <c r="G32" s="654"/>
      <c r="H32" s="659">
        <f t="shared" si="1"/>
        <v>-20981133.740000006</v>
      </c>
      <c r="I32" s="739"/>
      <c r="J32" s="739"/>
      <c r="K32" s="739"/>
      <c r="M32" s="736"/>
      <c r="N32" s="736"/>
      <c r="O32" s="736"/>
    </row>
    <row r="33" spans="1:15" ht="22.5" customHeight="1">
      <c r="A33" s="393">
        <v>16</v>
      </c>
      <c r="B33" s="344" t="s">
        <v>767</v>
      </c>
      <c r="C33" s="661"/>
      <c r="D33" s="661"/>
      <c r="E33" s="659">
        <f t="shared" si="0"/>
        <v>0</v>
      </c>
      <c r="F33" s="353"/>
      <c r="G33" s="353"/>
      <c r="H33" s="659">
        <f t="shared" si="1"/>
        <v>0</v>
      </c>
      <c r="I33" s="739"/>
      <c r="J33" s="739"/>
      <c r="K33" s="739"/>
      <c r="M33" s="736"/>
      <c r="N33" s="736"/>
      <c r="O33" s="736"/>
    </row>
    <row r="34" spans="1:15">
      <c r="A34" s="393">
        <v>17</v>
      </c>
      <c r="B34" s="368" t="s">
        <v>768</v>
      </c>
      <c r="C34" s="661">
        <f>SUM(C35:C36)</f>
        <v>-1353219.16</v>
      </c>
      <c r="D34" s="661">
        <f>SUM(D35:D36)</f>
        <v>0</v>
      </c>
      <c r="E34" s="659">
        <f t="shared" si="0"/>
        <v>-1353219.16</v>
      </c>
      <c r="F34" s="661">
        <f>SUM(F35:F36)</f>
        <v>-777588.78</v>
      </c>
      <c r="G34" s="353">
        <f>SUM(G35:G36)</f>
        <v>0</v>
      </c>
      <c r="H34" s="659">
        <f t="shared" si="1"/>
        <v>-777588.78</v>
      </c>
      <c r="I34" s="739"/>
      <c r="J34" s="739"/>
      <c r="K34" s="739"/>
      <c r="M34" s="736"/>
      <c r="N34" s="736"/>
      <c r="O34" s="736"/>
    </row>
    <row r="35" spans="1:15">
      <c r="A35" s="393">
        <v>17.100000000000001</v>
      </c>
      <c r="B35" s="374" t="s">
        <v>769</v>
      </c>
      <c r="C35" s="661">
        <v>-1353219.16</v>
      </c>
      <c r="D35" s="661"/>
      <c r="E35" s="659">
        <f t="shared" si="0"/>
        <v>-1353219.16</v>
      </c>
      <c r="F35" s="661">
        <v>-777588.78</v>
      </c>
      <c r="G35" s="353"/>
      <c r="H35" s="659">
        <f>F35+G35</f>
        <v>-777588.78</v>
      </c>
      <c r="I35" s="739"/>
      <c r="J35" s="739"/>
      <c r="K35" s="739"/>
      <c r="M35" s="736"/>
      <c r="N35" s="736"/>
      <c r="O35" s="736"/>
    </row>
    <row r="36" spans="1:15">
      <c r="A36" s="393">
        <v>17.2</v>
      </c>
      <c r="B36" s="348" t="s">
        <v>770</v>
      </c>
      <c r="C36" s="661"/>
      <c r="D36" s="661"/>
      <c r="E36" s="659">
        <f t="shared" si="0"/>
        <v>0</v>
      </c>
      <c r="F36" s="661"/>
      <c r="G36" s="353"/>
      <c r="H36" s="659">
        <f>F36+G36</f>
        <v>0</v>
      </c>
      <c r="I36" s="739"/>
      <c r="J36" s="739"/>
      <c r="K36" s="739"/>
      <c r="M36" s="736"/>
      <c r="N36" s="736"/>
      <c r="O36" s="736"/>
    </row>
    <row r="37" spans="1:15" ht="41.55" customHeight="1">
      <c r="A37" s="393">
        <v>18</v>
      </c>
      <c r="B37" s="375" t="s">
        <v>771</v>
      </c>
      <c r="C37" s="663">
        <f>SUM(C38:C39)</f>
        <v>-74492644.76999791</v>
      </c>
      <c r="D37" s="663">
        <f>SUM(D38:D39)</f>
        <v>36851.125053986274</v>
      </c>
      <c r="E37" s="659">
        <f t="shared" si="0"/>
        <v>-74455793.644943923</v>
      </c>
      <c r="F37" s="662">
        <f>SUM(F38:F39)</f>
        <v>-59722519.660000101</v>
      </c>
      <c r="G37" s="662">
        <f>SUM(G38:G39)</f>
        <v>-607197.21</v>
      </c>
      <c r="H37" s="659">
        <f t="shared" si="1"/>
        <v>-60329716.870000102</v>
      </c>
      <c r="I37" s="739"/>
      <c r="J37" s="739"/>
      <c r="K37" s="739"/>
      <c r="M37" s="736"/>
      <c r="N37" s="736"/>
      <c r="O37" s="736"/>
    </row>
    <row r="38" spans="1:15" ht="20.399999999999999">
      <c r="A38" s="393">
        <v>18.100000000000001</v>
      </c>
      <c r="B38" s="357" t="s">
        <v>772</v>
      </c>
      <c r="C38" s="661"/>
      <c r="D38" s="661"/>
      <c r="E38" s="659">
        <f t="shared" si="0"/>
        <v>0</v>
      </c>
      <c r="F38" s="654"/>
      <c r="G38" s="654"/>
      <c r="H38" s="659">
        <f t="shared" si="1"/>
        <v>0</v>
      </c>
      <c r="I38" s="739"/>
      <c r="J38" s="739"/>
      <c r="K38" s="739"/>
      <c r="M38" s="736"/>
      <c r="N38" s="736"/>
      <c r="O38" s="736"/>
    </row>
    <row r="39" spans="1:15">
      <c r="A39" s="393">
        <v>18.2</v>
      </c>
      <c r="B39" s="357" t="s">
        <v>773</v>
      </c>
      <c r="C39" s="661">
        <v>-74492644.76999791</v>
      </c>
      <c r="D39" s="661">
        <v>36851.125053986274</v>
      </c>
      <c r="E39" s="659">
        <f t="shared" si="0"/>
        <v>-74455793.644943923</v>
      </c>
      <c r="F39" s="654">
        <f>-59624054.6600001-98465</f>
        <v>-59722519.660000101</v>
      </c>
      <c r="G39" s="654">
        <v>-607197.21</v>
      </c>
      <c r="H39" s="659">
        <f t="shared" si="1"/>
        <v>-60329716.870000102</v>
      </c>
      <c r="I39" s="739"/>
      <c r="J39" s="739"/>
      <c r="K39" s="739"/>
      <c r="M39" s="736"/>
      <c r="N39" s="736"/>
      <c r="O39" s="736"/>
    </row>
    <row r="40" spans="1:15" ht="24.45" customHeight="1">
      <c r="A40" s="393">
        <v>19</v>
      </c>
      <c r="B40" s="375" t="s">
        <v>774</v>
      </c>
      <c r="C40" s="661"/>
      <c r="D40" s="661"/>
      <c r="E40" s="659">
        <f t="shared" si="0"/>
        <v>0</v>
      </c>
      <c r="F40" s="654"/>
      <c r="G40" s="654"/>
      <c r="H40" s="659">
        <f t="shared" si="1"/>
        <v>0</v>
      </c>
      <c r="I40" s="739"/>
      <c r="J40" s="739"/>
      <c r="K40" s="739"/>
      <c r="M40" s="736"/>
      <c r="N40" s="736"/>
      <c r="O40" s="736"/>
    </row>
    <row r="41" spans="1:15" ht="25.05" customHeight="1">
      <c r="A41" s="393">
        <v>20</v>
      </c>
      <c r="B41" s="375" t="s">
        <v>775</v>
      </c>
      <c r="C41" s="661">
        <v>-1527732.26</v>
      </c>
      <c r="D41" s="661"/>
      <c r="E41" s="659">
        <f t="shared" si="0"/>
        <v>-1527732.26</v>
      </c>
      <c r="F41" s="654">
        <f>-3125869+98465</f>
        <v>-3027404</v>
      </c>
      <c r="G41" s="654">
        <v>-28353.24</v>
      </c>
      <c r="H41" s="659">
        <f t="shared" si="1"/>
        <v>-3055757.24</v>
      </c>
      <c r="I41" s="739"/>
      <c r="J41" s="739"/>
      <c r="K41" s="739"/>
      <c r="M41" s="736"/>
      <c r="N41" s="736"/>
      <c r="O41" s="736"/>
    </row>
    <row r="42" spans="1:15" ht="33" customHeight="1">
      <c r="A42" s="393">
        <v>21</v>
      </c>
      <c r="B42" s="376" t="s">
        <v>776</v>
      </c>
      <c r="C42" s="661"/>
      <c r="D42" s="661"/>
      <c r="E42" s="659">
        <f t="shared" si="0"/>
        <v>0</v>
      </c>
      <c r="F42" s="353"/>
      <c r="G42" s="353"/>
      <c r="H42" s="659">
        <f t="shared" si="1"/>
        <v>0</v>
      </c>
      <c r="I42" s="739"/>
      <c r="J42" s="739"/>
      <c r="K42" s="739"/>
      <c r="M42" s="736"/>
      <c r="N42" s="736"/>
      <c r="O42" s="736"/>
    </row>
    <row r="43" spans="1:15">
      <c r="A43" s="393">
        <v>22</v>
      </c>
      <c r="B43" s="377" t="s">
        <v>777</v>
      </c>
      <c r="C43" s="661">
        <f>SUM(C6,C13,C18,C19,C20,C21,C22,C23,C24,C25,C26,C27,C28,C29,C32,C33,C34,C37,C40,C41,C42)</f>
        <v>120820087.43015105</v>
      </c>
      <c r="D43" s="661">
        <f>SUM(D6,D13,D18,D19,D20,D21,D22,D23,D24,D25,D26,D27,D28,D29,D32,D33,D34,D37,D40,D41,D42)</f>
        <v>-6653628.1449460508</v>
      </c>
      <c r="E43" s="659">
        <f t="shared" si="0"/>
        <v>114166459.28520499</v>
      </c>
      <c r="F43" s="661">
        <f>SUM(F6,F13,F18,F19,F20,F21,F22,F23,F24,F25,F26,F27,F28,F29,F32,F33,F34,F37,F40,F41,F42)</f>
        <v>84113497.92000781</v>
      </c>
      <c r="G43" s="661">
        <f>SUM(G6,G13,G18,G19,G20,G21,G22,G23,G24,G25,G26,G27,G28,G29,G32,G33,G34,G37,G40,G41,G42)</f>
        <v>201096.39999996801</v>
      </c>
      <c r="H43" s="659">
        <f t="shared" si="1"/>
        <v>84314594.320007771</v>
      </c>
      <c r="I43" s="739"/>
      <c r="J43" s="739"/>
      <c r="K43" s="739"/>
      <c r="M43" s="736"/>
      <c r="N43" s="736"/>
      <c r="O43" s="736"/>
    </row>
    <row r="44" spans="1:15">
      <c r="A44" s="393">
        <v>23</v>
      </c>
      <c r="B44" s="377" t="s">
        <v>778</v>
      </c>
      <c r="C44" s="661">
        <v>-21751533.509999998</v>
      </c>
      <c r="D44" s="661"/>
      <c r="E44" s="659">
        <f t="shared" si="0"/>
        <v>-21751533.509999998</v>
      </c>
      <c r="F44" s="654">
        <v>-15709669.859999998</v>
      </c>
      <c r="G44" s="353"/>
      <c r="H44" s="659">
        <f t="shared" si="1"/>
        <v>-15709669.859999998</v>
      </c>
      <c r="I44" s="739"/>
      <c r="J44" s="739"/>
      <c r="K44" s="739"/>
      <c r="M44" s="736"/>
      <c r="N44" s="736"/>
      <c r="O44" s="736"/>
    </row>
    <row r="45" spans="1:15">
      <c r="A45" s="393">
        <v>24</v>
      </c>
      <c r="B45" s="377" t="s">
        <v>779</v>
      </c>
      <c r="C45" s="654">
        <f>C43+C44</f>
        <v>99068553.920151055</v>
      </c>
      <c r="D45" s="654">
        <f>D43-D44</f>
        <v>-6653628.1449460508</v>
      </c>
      <c r="E45" s="659">
        <f t="shared" si="0"/>
        <v>92414925.775205001</v>
      </c>
      <c r="F45" s="654">
        <f>F43+F44</f>
        <v>68403828.060007811</v>
      </c>
      <c r="G45" s="654">
        <f>G43+G44</f>
        <v>201096.39999996801</v>
      </c>
      <c r="H45" s="659">
        <f>F45+G45</f>
        <v>68604924.460007772</v>
      </c>
      <c r="I45" s="739"/>
      <c r="J45" s="739"/>
      <c r="K45" s="739"/>
      <c r="M45" s="736"/>
      <c r="N45" s="736"/>
      <c r="O45" s="736"/>
    </row>
  </sheetData>
  <mergeCells count="4">
    <mergeCell ref="B4:B5"/>
    <mergeCell ref="C4:E4"/>
    <mergeCell ref="F4:H4"/>
    <mergeCell ref="A4:A5"/>
  </mergeCells>
  <pageMargins left="0.7" right="0.7" top="0.75" bottom="0.75" header="0.3" footer="0.3"/>
  <ignoredErrors>
    <ignoredError sqref="C29:D2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N47"/>
  <sheetViews>
    <sheetView topLeftCell="B1" zoomScale="80" zoomScaleNormal="80" workbookViewId="0">
      <selection activeCell="L3" sqref="L3"/>
    </sheetView>
  </sheetViews>
  <sheetFormatPr defaultRowHeight="14.4"/>
  <cols>
    <col min="1" max="1" width="8.77734375" style="390"/>
    <col min="2" max="2" width="87.6640625" bestFit="1" customWidth="1"/>
    <col min="3" max="3" width="14.44140625" bestFit="1" customWidth="1"/>
    <col min="4" max="5" width="12.77734375" customWidth="1"/>
    <col min="6" max="6" width="14.44140625" bestFit="1" customWidth="1"/>
    <col min="7" max="8" width="12.77734375" customWidth="1"/>
    <col min="9" max="9" width="16.33203125" bestFit="1" customWidth="1"/>
    <col min="10" max="10" width="13.88671875" bestFit="1" customWidth="1"/>
    <col min="11" max="11" width="16.33203125" bestFit="1" customWidth="1"/>
  </cols>
  <sheetData>
    <row r="1" spans="1:14">
      <c r="A1" s="13" t="s">
        <v>97</v>
      </c>
      <c r="B1" s="248" t="str">
        <f>Info!C2</f>
        <v>სს "კრედო ბანკი"</v>
      </c>
      <c r="C1" s="12"/>
      <c r="D1" s="1"/>
      <c r="E1" s="1"/>
      <c r="F1" s="1"/>
      <c r="G1" s="1"/>
    </row>
    <row r="2" spans="1:14">
      <c r="A2" s="13" t="s">
        <v>98</v>
      </c>
      <c r="B2" s="274">
        <f>'1. key ratios'!B2</f>
        <v>46022</v>
      </c>
      <c r="C2" s="12"/>
      <c r="D2" s="1"/>
      <c r="E2" s="1"/>
      <c r="F2" s="1"/>
      <c r="G2" s="1"/>
    </row>
    <row r="3" spans="1:14">
      <c r="A3" s="13"/>
      <c r="B3" s="12"/>
      <c r="C3" s="12"/>
      <c r="D3" s="1"/>
      <c r="E3" s="1"/>
      <c r="F3" s="1"/>
      <c r="G3" s="1"/>
    </row>
    <row r="4" spans="1:14">
      <c r="A4" s="791" t="s">
        <v>25</v>
      </c>
      <c r="B4" s="800" t="s">
        <v>140</v>
      </c>
      <c r="C4" s="801" t="s">
        <v>103</v>
      </c>
      <c r="D4" s="801"/>
      <c r="E4" s="801"/>
      <c r="F4" s="801" t="s">
        <v>104</v>
      </c>
      <c r="G4" s="801"/>
      <c r="H4" s="802"/>
    </row>
    <row r="5" spans="1:14">
      <c r="A5" s="791"/>
      <c r="B5" s="800"/>
      <c r="C5" s="365" t="s">
        <v>26</v>
      </c>
      <c r="D5" s="365" t="s">
        <v>77</v>
      </c>
      <c r="E5" s="365" t="s">
        <v>66</v>
      </c>
      <c r="F5" s="365" t="s">
        <v>26</v>
      </c>
      <c r="G5" s="365" t="s">
        <v>77</v>
      </c>
      <c r="H5" s="378" t="s">
        <v>66</v>
      </c>
    </row>
    <row r="6" spans="1:14">
      <c r="A6" s="379">
        <v>1</v>
      </c>
      <c r="B6" s="383" t="s">
        <v>780</v>
      </c>
      <c r="C6" s="380"/>
      <c r="D6" s="380"/>
      <c r="E6" s="381">
        <f t="shared" ref="E6:E43" si="0">C6+D6</f>
        <v>0</v>
      </c>
      <c r="F6" s="380"/>
      <c r="G6" s="380"/>
      <c r="H6" s="382">
        <f t="shared" ref="H6:H43" si="1">F6+G6</f>
        <v>0</v>
      </c>
    </row>
    <row r="7" spans="1:14">
      <c r="A7" s="379">
        <v>2</v>
      </c>
      <c r="B7" s="383" t="s">
        <v>166</v>
      </c>
      <c r="C7" s="380"/>
      <c r="D7" s="380"/>
      <c r="E7" s="381">
        <f t="shared" si="0"/>
        <v>0</v>
      </c>
      <c r="F7" s="380"/>
      <c r="G7" s="380"/>
      <c r="H7" s="382">
        <f t="shared" si="1"/>
        <v>0</v>
      </c>
    </row>
    <row r="8" spans="1:14">
      <c r="A8" s="379">
        <v>3</v>
      </c>
      <c r="B8" s="383" t="s">
        <v>168</v>
      </c>
      <c r="C8" s="665">
        <f>C9+C10</f>
        <v>1780872899.95</v>
      </c>
      <c r="D8" s="586">
        <f>D9+D10</f>
        <v>0</v>
      </c>
      <c r="E8" s="381">
        <f t="shared" si="0"/>
        <v>1780872899.95</v>
      </c>
      <c r="F8" s="665">
        <f>F9+F10</f>
        <v>1542947335.8499999</v>
      </c>
      <c r="G8" s="665">
        <f>G9+G10</f>
        <v>0</v>
      </c>
      <c r="H8" s="382">
        <f t="shared" si="1"/>
        <v>1542947335.8499999</v>
      </c>
      <c r="I8" s="739"/>
      <c r="J8" s="739"/>
      <c r="K8" s="739"/>
      <c r="L8" s="736"/>
      <c r="M8" s="736"/>
      <c r="N8" s="736"/>
    </row>
    <row r="9" spans="1:14">
      <c r="A9" s="379">
        <v>3.1</v>
      </c>
      <c r="B9" s="384" t="s">
        <v>781</v>
      </c>
      <c r="C9" s="586">
        <v>1780836214.4000001</v>
      </c>
      <c r="D9" s="586"/>
      <c r="E9" s="381">
        <f t="shared" si="0"/>
        <v>1780836214.4000001</v>
      </c>
      <c r="F9" s="586">
        <v>1542877796.8499999</v>
      </c>
      <c r="G9" s="586"/>
      <c r="H9" s="382">
        <f t="shared" si="1"/>
        <v>1542877796.8499999</v>
      </c>
      <c r="I9" s="739"/>
      <c r="J9" s="739"/>
      <c r="K9" s="739"/>
      <c r="L9" s="736"/>
      <c r="M9" s="736"/>
      <c r="N9" s="736"/>
    </row>
    <row r="10" spans="1:14">
      <c r="A10" s="379">
        <v>3.2</v>
      </c>
      <c r="B10" s="384" t="s">
        <v>782</v>
      </c>
      <c r="C10" s="586">
        <v>36685.550000000003</v>
      </c>
      <c r="D10" s="586"/>
      <c r="E10" s="381">
        <f t="shared" si="0"/>
        <v>36685.550000000003</v>
      </c>
      <c r="F10" s="586">
        <v>69539</v>
      </c>
      <c r="G10" s="586"/>
      <c r="H10" s="382">
        <f t="shared" si="1"/>
        <v>69539</v>
      </c>
      <c r="I10" s="739"/>
      <c r="J10" s="739"/>
      <c r="K10" s="739"/>
      <c r="L10" s="736"/>
      <c r="M10" s="736"/>
      <c r="N10" s="736"/>
    </row>
    <row r="11" spans="1:14">
      <c r="A11" s="379">
        <v>4</v>
      </c>
      <c r="B11" s="383" t="s">
        <v>167</v>
      </c>
      <c r="C11" s="586">
        <f>C12+C13</f>
        <v>0</v>
      </c>
      <c r="D11" s="586">
        <f>D12+D13</f>
        <v>0</v>
      </c>
      <c r="E11" s="381">
        <f t="shared" si="0"/>
        <v>0</v>
      </c>
      <c r="F11" s="586"/>
      <c r="G11" s="586"/>
      <c r="H11" s="382">
        <f t="shared" si="1"/>
        <v>0</v>
      </c>
      <c r="I11" s="739"/>
      <c r="J11" s="739"/>
      <c r="K11" s="739"/>
      <c r="L11" s="736"/>
      <c r="M11" s="736"/>
      <c r="N11" s="736"/>
    </row>
    <row r="12" spans="1:14">
      <c r="A12" s="379">
        <v>4.0999999999999996</v>
      </c>
      <c r="B12" s="384" t="s">
        <v>783</v>
      </c>
      <c r="C12" s="586"/>
      <c r="D12" s="586"/>
      <c r="E12" s="381">
        <f t="shared" si="0"/>
        <v>0</v>
      </c>
      <c r="F12" s="586"/>
      <c r="G12" s="586"/>
      <c r="H12" s="382">
        <f t="shared" si="1"/>
        <v>0</v>
      </c>
      <c r="I12" s="739"/>
      <c r="J12" s="739"/>
      <c r="K12" s="739"/>
      <c r="L12" s="736"/>
      <c r="M12" s="736"/>
      <c r="N12" s="736"/>
    </row>
    <row r="13" spans="1:14">
      <c r="A13" s="379">
        <v>4.2</v>
      </c>
      <c r="B13" s="384" t="s">
        <v>784</v>
      </c>
      <c r="C13" s="586"/>
      <c r="D13" s="586"/>
      <c r="E13" s="381">
        <f t="shared" si="0"/>
        <v>0</v>
      </c>
      <c r="F13" s="586"/>
      <c r="G13" s="586"/>
      <c r="H13" s="382">
        <f t="shared" si="1"/>
        <v>0</v>
      </c>
      <c r="I13" s="739"/>
      <c r="J13" s="739"/>
      <c r="K13" s="739"/>
      <c r="L13" s="736"/>
      <c r="M13" s="736"/>
      <c r="N13" s="736"/>
    </row>
    <row r="14" spans="1:14">
      <c r="A14" s="379">
        <v>5</v>
      </c>
      <c r="B14" s="385" t="s">
        <v>785</v>
      </c>
      <c r="C14" s="665">
        <f>C15+C16+C17+C23+C24+C25+C26</f>
        <v>2956003131.1299996</v>
      </c>
      <c r="D14" s="665">
        <f>D15+D16+D17+D23+D24+D25+D26</f>
        <v>1886570</v>
      </c>
      <c r="E14" s="381">
        <f t="shared" si="0"/>
        <v>2957889701.1299996</v>
      </c>
      <c r="F14" s="665">
        <f>F15+F16+F17+F23+F24+F25+F26</f>
        <v>2101849247.3200002</v>
      </c>
      <c r="G14" s="665">
        <f>G15+G16+G17+G23+G24+G25+G26</f>
        <v>1964760</v>
      </c>
      <c r="H14" s="382">
        <f t="shared" si="1"/>
        <v>2103814007.3200002</v>
      </c>
      <c r="I14" s="739"/>
      <c r="J14" s="739"/>
      <c r="K14" s="739"/>
      <c r="L14" s="736"/>
      <c r="M14" s="736"/>
      <c r="N14" s="736"/>
    </row>
    <row r="15" spans="1:14">
      <c r="A15" s="379">
        <v>5.0999999999999996</v>
      </c>
      <c r="B15" s="386" t="s">
        <v>786</v>
      </c>
      <c r="C15" s="586">
        <v>15882249.25</v>
      </c>
      <c r="D15" s="586">
        <v>1886570</v>
      </c>
      <c r="E15" s="381">
        <f t="shared" si="0"/>
        <v>17768819.25</v>
      </c>
      <c r="F15" s="586">
        <v>20898970.66</v>
      </c>
      <c r="G15" s="586">
        <v>1964760</v>
      </c>
      <c r="H15" s="382">
        <f t="shared" si="1"/>
        <v>22863730.66</v>
      </c>
      <c r="I15" s="739"/>
      <c r="J15" s="739"/>
      <c r="K15" s="739"/>
      <c r="L15" s="736"/>
      <c r="M15" s="736"/>
      <c r="N15" s="736"/>
    </row>
    <row r="16" spans="1:14">
      <c r="A16" s="379">
        <v>5.2</v>
      </c>
      <c r="B16" s="386" t="s">
        <v>787</v>
      </c>
      <c r="C16" s="586">
        <v>2028</v>
      </c>
      <c r="D16" s="586"/>
      <c r="E16" s="381">
        <f t="shared" si="0"/>
        <v>2028</v>
      </c>
      <c r="F16" s="586">
        <v>2027.79</v>
      </c>
      <c r="G16" s="586"/>
      <c r="H16" s="382">
        <f t="shared" si="1"/>
        <v>2027.79</v>
      </c>
      <c r="I16" s="739"/>
      <c r="J16" s="739"/>
      <c r="K16" s="739"/>
      <c r="L16" s="736"/>
      <c r="M16" s="736"/>
      <c r="N16" s="736"/>
    </row>
    <row r="17" spans="1:14">
      <c r="A17" s="379">
        <v>5.3</v>
      </c>
      <c r="B17" s="386" t="s">
        <v>788</v>
      </c>
      <c r="C17" s="665">
        <f>C18+C19+C20+C21+C22</f>
        <v>2604467875.9699998</v>
      </c>
      <c r="D17" s="665">
        <f>D18+D19+D20+D21+D22</f>
        <v>0</v>
      </c>
      <c r="E17" s="381">
        <f t="shared" si="0"/>
        <v>2604467875.9699998</v>
      </c>
      <c r="F17" s="665">
        <f>F18+F19+F20+F21+F22</f>
        <v>1860844478.3200002</v>
      </c>
      <c r="G17" s="665">
        <f>G18+G19+G20+G21+G22</f>
        <v>0</v>
      </c>
      <c r="H17" s="382">
        <f t="shared" si="1"/>
        <v>1860844478.3200002</v>
      </c>
      <c r="I17" s="739"/>
      <c r="J17" s="739"/>
      <c r="K17" s="739"/>
      <c r="L17" s="736"/>
      <c r="M17" s="736"/>
      <c r="N17" s="736"/>
    </row>
    <row r="18" spans="1:14">
      <c r="A18" s="379" t="s">
        <v>169</v>
      </c>
      <c r="B18" s="387" t="s">
        <v>789</v>
      </c>
      <c r="C18" s="586">
        <v>1906868992.5</v>
      </c>
      <c r="D18" s="586"/>
      <c r="E18" s="381">
        <f t="shared" si="0"/>
        <v>1906868992.5</v>
      </c>
      <c r="F18" s="586">
        <v>1369901238.4100001</v>
      </c>
      <c r="G18" s="586"/>
      <c r="H18" s="382">
        <f t="shared" si="1"/>
        <v>1369901238.4100001</v>
      </c>
      <c r="I18" s="739"/>
      <c r="J18" s="739"/>
      <c r="K18" s="739"/>
      <c r="L18" s="736"/>
      <c r="M18" s="736"/>
      <c r="N18" s="736"/>
    </row>
    <row r="19" spans="1:14">
      <c r="A19" s="379" t="s">
        <v>170</v>
      </c>
      <c r="B19" s="388" t="s">
        <v>790</v>
      </c>
      <c r="C19" s="586">
        <v>294646982.98000002</v>
      </c>
      <c r="D19" s="586"/>
      <c r="E19" s="381">
        <f t="shared" si="0"/>
        <v>294646982.98000002</v>
      </c>
      <c r="F19" s="586">
        <v>225410751.75999999</v>
      </c>
      <c r="G19" s="586"/>
      <c r="H19" s="382">
        <f t="shared" si="1"/>
        <v>225410751.75999999</v>
      </c>
      <c r="I19" s="739"/>
      <c r="J19" s="739"/>
      <c r="K19" s="739"/>
      <c r="L19" s="736"/>
      <c r="M19" s="736"/>
      <c r="N19" s="736"/>
    </row>
    <row r="20" spans="1:14">
      <c r="A20" s="379" t="s">
        <v>171</v>
      </c>
      <c r="B20" s="388" t="s">
        <v>791</v>
      </c>
      <c r="C20" s="586"/>
      <c r="D20" s="586"/>
      <c r="E20" s="381">
        <f t="shared" si="0"/>
        <v>0</v>
      </c>
      <c r="F20" s="586"/>
      <c r="G20" s="586"/>
      <c r="H20" s="382">
        <f t="shared" si="1"/>
        <v>0</v>
      </c>
      <c r="I20" s="739"/>
      <c r="J20" s="739"/>
      <c r="K20" s="739"/>
      <c r="L20" s="736"/>
      <c r="M20" s="736"/>
      <c r="N20" s="736"/>
    </row>
    <row r="21" spans="1:14">
      <c r="A21" s="379" t="s">
        <v>172</v>
      </c>
      <c r="B21" s="388" t="s">
        <v>792</v>
      </c>
      <c r="C21" s="586">
        <v>399986619</v>
      </c>
      <c r="D21" s="586"/>
      <c r="E21" s="381">
        <f t="shared" si="0"/>
        <v>399986619</v>
      </c>
      <c r="F21" s="586">
        <v>261553719</v>
      </c>
      <c r="G21" s="586"/>
      <c r="H21" s="382">
        <f t="shared" si="1"/>
        <v>261553719</v>
      </c>
      <c r="I21" s="739"/>
      <c r="J21" s="739"/>
      <c r="K21" s="739"/>
      <c r="L21" s="736"/>
      <c r="M21" s="736"/>
      <c r="N21" s="736"/>
    </row>
    <row r="22" spans="1:14">
      <c r="A22" s="379" t="s">
        <v>173</v>
      </c>
      <c r="B22" s="388" t="s">
        <v>510</v>
      </c>
      <c r="C22" s="586">
        <v>2965281.49</v>
      </c>
      <c r="D22" s="586"/>
      <c r="E22" s="381">
        <f t="shared" si="0"/>
        <v>2965281.49</v>
      </c>
      <c r="F22" s="586">
        <v>3978769.15</v>
      </c>
      <c r="G22" s="586"/>
      <c r="H22" s="382">
        <f t="shared" si="1"/>
        <v>3978769.15</v>
      </c>
      <c r="I22" s="739"/>
      <c r="J22" s="739"/>
      <c r="K22" s="739"/>
      <c r="L22" s="736"/>
      <c r="M22" s="736"/>
      <c r="N22" s="736"/>
    </row>
    <row r="23" spans="1:14">
      <c r="A23" s="379">
        <v>5.4</v>
      </c>
      <c r="B23" s="386" t="s">
        <v>793</v>
      </c>
      <c r="C23" s="586">
        <v>335650977.91000003</v>
      </c>
      <c r="D23" s="586"/>
      <c r="E23" s="381">
        <f t="shared" si="0"/>
        <v>335650977.91000003</v>
      </c>
      <c r="F23" s="586">
        <v>220103770.55000001</v>
      </c>
      <c r="G23" s="586"/>
      <c r="H23" s="382">
        <f t="shared" si="1"/>
        <v>220103770.55000001</v>
      </c>
      <c r="I23" s="739"/>
      <c r="J23" s="739"/>
      <c r="K23" s="739"/>
      <c r="L23" s="736"/>
      <c r="M23" s="736"/>
      <c r="N23" s="736"/>
    </row>
    <row r="24" spans="1:14">
      <c r="A24" s="379">
        <v>5.5</v>
      </c>
      <c r="B24" s="386" t="s">
        <v>794</v>
      </c>
      <c r="C24" s="586"/>
      <c r="D24" s="586"/>
      <c r="E24" s="381">
        <f t="shared" si="0"/>
        <v>0</v>
      </c>
      <c r="F24" s="586"/>
      <c r="G24" s="586"/>
      <c r="H24" s="382">
        <f t="shared" si="1"/>
        <v>0</v>
      </c>
      <c r="I24" s="739"/>
      <c r="J24" s="739"/>
      <c r="K24" s="739"/>
      <c r="L24" s="736"/>
      <c r="M24" s="736"/>
      <c r="N24" s="736"/>
    </row>
    <row r="25" spans="1:14">
      <c r="A25" s="379">
        <v>5.6</v>
      </c>
      <c r="B25" s="386" t="s">
        <v>795</v>
      </c>
      <c r="C25" s="586"/>
      <c r="D25" s="586"/>
      <c r="E25" s="381">
        <f t="shared" si="0"/>
        <v>0</v>
      </c>
      <c r="F25" s="586"/>
      <c r="G25" s="586"/>
      <c r="H25" s="382">
        <f t="shared" si="1"/>
        <v>0</v>
      </c>
      <c r="I25" s="739"/>
      <c r="J25" s="739"/>
      <c r="K25" s="739"/>
      <c r="L25" s="736"/>
      <c r="M25" s="736"/>
      <c r="N25" s="736"/>
    </row>
    <row r="26" spans="1:14">
      <c r="A26" s="379">
        <v>5.7</v>
      </c>
      <c r="B26" s="386" t="s">
        <v>510</v>
      </c>
      <c r="C26" s="586"/>
      <c r="D26" s="586"/>
      <c r="E26" s="381">
        <f t="shared" si="0"/>
        <v>0</v>
      </c>
      <c r="F26" s="586"/>
      <c r="G26" s="586"/>
      <c r="H26" s="382">
        <f t="shared" si="1"/>
        <v>0</v>
      </c>
      <c r="I26" s="739"/>
      <c r="J26" s="739"/>
      <c r="K26" s="739"/>
      <c r="L26" s="736"/>
      <c r="M26" s="736"/>
      <c r="N26" s="736"/>
    </row>
    <row r="27" spans="1:14">
      <c r="A27" s="379">
        <v>6</v>
      </c>
      <c r="B27" s="385" t="s">
        <v>796</v>
      </c>
      <c r="C27" s="586">
        <v>403578346</v>
      </c>
      <c r="D27" s="586">
        <v>38174838</v>
      </c>
      <c r="E27" s="381">
        <f t="shared" si="0"/>
        <v>441753184</v>
      </c>
      <c r="F27" s="586">
        <v>149871560</v>
      </c>
      <c r="G27" s="586">
        <v>25587796</v>
      </c>
      <c r="H27" s="382">
        <f t="shared" si="1"/>
        <v>175459356</v>
      </c>
      <c r="I27" s="739"/>
      <c r="J27" s="739"/>
      <c r="K27" s="739"/>
      <c r="L27" s="736"/>
      <c r="M27" s="736"/>
      <c r="N27" s="736"/>
    </row>
    <row r="28" spans="1:14">
      <c r="A28" s="379">
        <v>7</v>
      </c>
      <c r="B28" s="385" t="s">
        <v>797</v>
      </c>
      <c r="C28" s="586">
        <v>3050794</v>
      </c>
      <c r="D28" s="586"/>
      <c r="E28" s="381">
        <f t="shared" si="0"/>
        <v>3050794</v>
      </c>
      <c r="F28" s="586">
        <v>2351889.7999999998</v>
      </c>
      <c r="G28" s="586"/>
      <c r="H28" s="382">
        <f t="shared" si="1"/>
        <v>2351889.7999999998</v>
      </c>
      <c r="I28" s="739"/>
      <c r="J28" s="739"/>
      <c r="K28" s="739"/>
      <c r="L28" s="736"/>
      <c r="M28" s="736"/>
      <c r="N28" s="736"/>
    </row>
    <row r="29" spans="1:14">
      <c r="A29" s="379">
        <v>8</v>
      </c>
      <c r="B29" s="385" t="s">
        <v>798</v>
      </c>
      <c r="C29" s="586"/>
      <c r="D29" s="586"/>
      <c r="E29" s="381">
        <f t="shared" si="0"/>
        <v>0</v>
      </c>
      <c r="F29" s="586"/>
      <c r="G29" s="586"/>
      <c r="H29" s="382">
        <f t="shared" si="1"/>
        <v>0</v>
      </c>
      <c r="I29" s="739"/>
      <c r="J29" s="739"/>
      <c r="K29" s="739"/>
      <c r="L29" s="736"/>
      <c r="M29" s="736"/>
      <c r="N29" s="736"/>
    </row>
    <row r="30" spans="1:14">
      <c r="A30" s="379">
        <v>9</v>
      </c>
      <c r="B30" s="383" t="s">
        <v>174</v>
      </c>
      <c r="C30" s="586">
        <f>C31+C32+C33+C34+C35+C36+C37</f>
        <v>414625573.5</v>
      </c>
      <c r="D30" s="586">
        <f>D31+D32+D33+D34+D35+D36+D37</f>
        <v>1428165</v>
      </c>
      <c r="E30" s="381">
        <f t="shared" si="0"/>
        <v>416053738.5</v>
      </c>
      <c r="F30" s="665">
        <f>F31+F32+F33+F34+F35+F36+F37</f>
        <v>269556228</v>
      </c>
      <c r="G30" s="665">
        <f>G31+G32+G33+G34+G35+G36+G37</f>
        <v>0</v>
      </c>
      <c r="H30" s="382">
        <f t="shared" si="1"/>
        <v>269556228</v>
      </c>
      <c r="I30" s="739"/>
      <c r="J30" s="739"/>
      <c r="K30" s="739"/>
      <c r="L30" s="736"/>
      <c r="M30" s="736"/>
      <c r="N30" s="736"/>
    </row>
    <row r="31" spans="1:14" ht="27.6">
      <c r="A31" s="379">
        <v>9.1</v>
      </c>
      <c r="B31" s="384" t="s">
        <v>799</v>
      </c>
      <c r="C31" s="586"/>
      <c r="D31" s="759"/>
      <c r="E31" s="381">
        <f t="shared" si="0"/>
        <v>0</v>
      </c>
      <c r="F31" s="586"/>
      <c r="G31" s="586"/>
      <c r="H31" s="666">
        <f t="shared" si="1"/>
        <v>0</v>
      </c>
      <c r="I31" s="739"/>
      <c r="J31" s="739"/>
      <c r="K31" s="739"/>
      <c r="L31" s="736"/>
      <c r="M31" s="736"/>
      <c r="N31" s="736"/>
    </row>
    <row r="32" spans="1:14" ht="27.6">
      <c r="A32" s="379">
        <v>9.1999999999999993</v>
      </c>
      <c r="B32" s="384" t="s">
        <v>800</v>
      </c>
      <c r="C32" s="586">
        <v>414625573.5</v>
      </c>
      <c r="D32" s="586">
        <v>1428165</v>
      </c>
      <c r="E32" s="381">
        <f t="shared" si="0"/>
        <v>416053738.5</v>
      </c>
      <c r="F32" s="586">
        <v>269556228</v>
      </c>
      <c r="G32" s="586"/>
      <c r="H32" s="666">
        <f t="shared" si="1"/>
        <v>269556228</v>
      </c>
      <c r="I32" s="739"/>
      <c r="J32" s="739"/>
      <c r="K32" s="739"/>
      <c r="L32" s="736"/>
      <c r="M32" s="736"/>
      <c r="N32" s="736"/>
    </row>
    <row r="33" spans="1:14" ht="27.6">
      <c r="A33" s="379">
        <v>9.3000000000000007</v>
      </c>
      <c r="B33" s="384" t="s">
        <v>801</v>
      </c>
      <c r="C33" s="586"/>
      <c r="D33" s="586"/>
      <c r="E33" s="381">
        <f t="shared" si="0"/>
        <v>0</v>
      </c>
      <c r="F33" s="586"/>
      <c r="G33" s="586"/>
      <c r="H33" s="666">
        <f t="shared" si="1"/>
        <v>0</v>
      </c>
      <c r="I33" s="739"/>
      <c r="J33" s="739"/>
      <c r="K33" s="739"/>
      <c r="L33" s="736"/>
      <c r="M33" s="736"/>
      <c r="N33" s="736"/>
    </row>
    <row r="34" spans="1:14">
      <c r="A34" s="379">
        <v>9.4</v>
      </c>
      <c r="B34" s="384" t="s">
        <v>802</v>
      </c>
      <c r="C34" s="586"/>
      <c r="D34" s="586"/>
      <c r="E34" s="381">
        <f t="shared" si="0"/>
        <v>0</v>
      </c>
      <c r="F34" s="586"/>
      <c r="G34" s="586"/>
      <c r="H34" s="666">
        <f t="shared" si="1"/>
        <v>0</v>
      </c>
      <c r="I34" s="739"/>
      <c r="J34" s="739"/>
      <c r="K34" s="739"/>
      <c r="L34" s="736"/>
      <c r="M34" s="736"/>
      <c r="N34" s="736"/>
    </row>
    <row r="35" spans="1:14">
      <c r="A35" s="379">
        <v>9.5</v>
      </c>
      <c r="B35" s="384" t="s">
        <v>803</v>
      </c>
      <c r="C35" s="586"/>
      <c r="D35" s="586"/>
      <c r="E35" s="381">
        <f t="shared" si="0"/>
        <v>0</v>
      </c>
      <c r="F35" s="586"/>
      <c r="G35" s="586"/>
      <c r="H35" s="666">
        <f t="shared" si="1"/>
        <v>0</v>
      </c>
      <c r="I35" s="739"/>
      <c r="J35" s="739"/>
      <c r="K35" s="739"/>
      <c r="L35" s="736"/>
      <c r="M35" s="736"/>
      <c r="N35" s="736"/>
    </row>
    <row r="36" spans="1:14" ht="27.6">
      <c r="A36" s="379">
        <v>9.6</v>
      </c>
      <c r="B36" s="384" t="s">
        <v>804</v>
      </c>
      <c r="C36" s="586"/>
      <c r="D36" s="586"/>
      <c r="E36" s="381">
        <f t="shared" si="0"/>
        <v>0</v>
      </c>
      <c r="F36" s="586"/>
      <c r="G36" s="586"/>
      <c r="H36" s="666">
        <f t="shared" si="1"/>
        <v>0</v>
      </c>
      <c r="I36" s="739"/>
      <c r="J36" s="739"/>
      <c r="K36" s="739"/>
      <c r="L36" s="736"/>
      <c r="M36" s="736"/>
      <c r="N36" s="736"/>
    </row>
    <row r="37" spans="1:14" ht="27.6">
      <c r="A37" s="379">
        <v>9.6999999999999993</v>
      </c>
      <c r="B37" s="384" t="s">
        <v>805</v>
      </c>
      <c r="C37" s="586"/>
      <c r="D37" s="586"/>
      <c r="E37" s="381">
        <f t="shared" si="0"/>
        <v>0</v>
      </c>
      <c r="F37" s="586"/>
      <c r="G37" s="586"/>
      <c r="H37" s="666">
        <f t="shared" si="1"/>
        <v>0</v>
      </c>
      <c r="I37" s="739"/>
      <c r="J37" s="739"/>
      <c r="K37" s="739"/>
      <c r="L37" s="736"/>
      <c r="M37" s="736"/>
      <c r="N37" s="736"/>
    </row>
    <row r="38" spans="1:14">
      <c r="A38" s="379">
        <v>10</v>
      </c>
      <c r="B38" s="385" t="s">
        <v>806</v>
      </c>
      <c r="C38" s="586">
        <f>C41+C42</f>
        <v>331879417.04999995</v>
      </c>
      <c r="D38" s="586">
        <f>D41+D42</f>
        <v>4796959.2082899995</v>
      </c>
      <c r="E38" s="381">
        <f t="shared" si="0"/>
        <v>336676376.25828993</v>
      </c>
      <c r="F38" s="665">
        <f>F41+F42</f>
        <v>274180226</v>
      </c>
      <c r="G38" s="665">
        <f>G41+G42</f>
        <v>5375145</v>
      </c>
      <c r="H38" s="666">
        <f t="shared" si="1"/>
        <v>279555371</v>
      </c>
      <c r="I38" s="739"/>
      <c r="J38" s="739"/>
      <c r="K38" s="739"/>
      <c r="L38" s="736"/>
      <c r="M38" s="736"/>
      <c r="N38" s="736"/>
    </row>
    <row r="39" spans="1:14">
      <c r="A39" s="379">
        <v>10.1</v>
      </c>
      <c r="B39" s="384" t="s">
        <v>807</v>
      </c>
      <c r="C39" s="586">
        <v>11992067.76</v>
      </c>
      <c r="D39" s="586">
        <v>121850.72644499999</v>
      </c>
      <c r="E39" s="381">
        <f t="shared" si="0"/>
        <v>12113918.486445</v>
      </c>
      <c r="F39" s="586">
        <v>10188425.719999997</v>
      </c>
      <c r="G39" s="586"/>
      <c r="H39" s="666">
        <f t="shared" si="1"/>
        <v>10188425.719999997</v>
      </c>
      <c r="I39" s="739"/>
      <c r="J39" s="739"/>
      <c r="K39" s="739"/>
      <c r="L39" s="736"/>
      <c r="M39" s="736"/>
      <c r="N39" s="736"/>
    </row>
    <row r="40" spans="1:14" ht="27.6">
      <c r="A40" s="379">
        <v>10.199999999999999</v>
      </c>
      <c r="B40" s="384" t="s">
        <v>808</v>
      </c>
      <c r="C40" s="586">
        <v>7653125.3000000222</v>
      </c>
      <c r="D40" s="586">
        <v>54812</v>
      </c>
      <c r="E40" s="381">
        <f t="shared" si="0"/>
        <v>7707937.3000000222</v>
      </c>
      <c r="F40" s="586">
        <v>6488127.6000000229</v>
      </c>
      <c r="G40" s="586">
        <v>34053.819770000009</v>
      </c>
      <c r="H40" s="666">
        <f t="shared" si="1"/>
        <v>6522181.4197700229</v>
      </c>
      <c r="I40" s="739"/>
      <c r="J40" s="739"/>
      <c r="K40" s="739"/>
      <c r="L40" s="736"/>
      <c r="M40" s="736"/>
      <c r="N40" s="736"/>
    </row>
    <row r="41" spans="1:14" ht="27.6">
      <c r="A41" s="379">
        <v>10.3</v>
      </c>
      <c r="B41" s="384" t="s">
        <v>809</v>
      </c>
      <c r="C41" s="586">
        <v>203797972.77999997</v>
      </c>
      <c r="D41" s="586">
        <v>3101610.0705859996</v>
      </c>
      <c r="E41" s="381">
        <f t="shared" si="0"/>
        <v>206899582.85058597</v>
      </c>
      <c r="F41" s="586">
        <v>165510685</v>
      </c>
      <c r="G41" s="586">
        <v>3442921</v>
      </c>
      <c r="H41" s="666">
        <f t="shared" si="1"/>
        <v>168953606</v>
      </c>
      <c r="I41" s="739"/>
      <c r="J41" s="739"/>
      <c r="K41" s="739"/>
      <c r="L41" s="736"/>
      <c r="M41" s="736"/>
      <c r="N41" s="736"/>
    </row>
    <row r="42" spans="1:14" ht="27.6">
      <c r="A42" s="379">
        <v>10.4</v>
      </c>
      <c r="B42" s="384" t="s">
        <v>810</v>
      </c>
      <c r="C42" s="586">
        <v>128081444.26999997</v>
      </c>
      <c r="D42" s="586">
        <v>1695349.1377039999</v>
      </c>
      <c r="E42" s="381">
        <f t="shared" si="0"/>
        <v>129776793.40770397</v>
      </c>
      <c r="F42" s="586">
        <v>108669541</v>
      </c>
      <c r="G42" s="586">
        <v>1932224</v>
      </c>
      <c r="H42" s="666">
        <f t="shared" si="1"/>
        <v>110601765</v>
      </c>
      <c r="I42" s="739"/>
      <c r="J42" s="739"/>
      <c r="K42" s="739"/>
      <c r="L42" s="736"/>
      <c r="M42" s="736"/>
      <c r="N42" s="736"/>
    </row>
    <row r="43" spans="1:14">
      <c r="A43" s="379">
        <v>11</v>
      </c>
      <c r="B43" s="389" t="s">
        <v>175</v>
      </c>
      <c r="C43" s="586"/>
      <c r="D43" s="586"/>
      <c r="E43" s="381">
        <f t="shared" si="0"/>
        <v>0</v>
      </c>
      <c r="F43" s="586"/>
      <c r="G43" s="586"/>
      <c r="H43" s="382">
        <f t="shared" si="1"/>
        <v>0</v>
      </c>
    </row>
    <row r="44" spans="1:14">
      <c r="C44" s="391"/>
      <c r="D44" s="391"/>
      <c r="E44" s="391"/>
      <c r="F44" s="391"/>
      <c r="G44" s="391"/>
      <c r="H44" s="391"/>
    </row>
    <row r="45" spans="1:14">
      <c r="C45" s="391"/>
      <c r="D45" s="391"/>
      <c r="E45" s="391"/>
      <c r="F45" s="391"/>
      <c r="G45" s="391"/>
      <c r="H45" s="391"/>
    </row>
    <row r="46" spans="1:14">
      <c r="C46" s="391"/>
      <c r="D46" s="391"/>
      <c r="E46" s="391"/>
      <c r="F46" s="391"/>
      <c r="G46" s="391"/>
      <c r="H46" s="391"/>
    </row>
    <row r="47" spans="1:14">
      <c r="C47" s="391"/>
      <c r="D47" s="391"/>
      <c r="E47" s="391"/>
      <c r="F47" s="391"/>
      <c r="G47" s="391"/>
      <c r="H47" s="39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7"/>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7" sqref="C7:C12"/>
    </sheetView>
  </sheetViews>
  <sheetFormatPr defaultColWidth="9.21875" defaultRowHeight="13.8"/>
  <cols>
    <col min="1" max="1" width="9.5546875" style="1" bestFit="1" customWidth="1"/>
    <col min="2" max="2" width="93.5546875" style="1" customWidth="1"/>
    <col min="3" max="3" width="12.77734375" style="1" customWidth="1"/>
    <col min="4" max="4" width="14.5546875" style="1" bestFit="1" customWidth="1"/>
    <col min="5" max="7" width="12.33203125" style="8" bestFit="1" customWidth="1"/>
    <col min="8" max="8" width="16" style="8" customWidth="1"/>
    <col min="9" max="9" width="14.5546875" style="8" customWidth="1"/>
    <col min="10" max="11" width="9.77734375" style="8" customWidth="1"/>
    <col min="12" max="16384" width="9.21875" style="8"/>
  </cols>
  <sheetData>
    <row r="1" spans="1:9">
      <c r="A1" s="13" t="s">
        <v>97</v>
      </c>
      <c r="B1" s="12" t="str">
        <f>Info!C2</f>
        <v>სს "კრედო ბანკი"</v>
      </c>
      <c r="C1" s="12"/>
    </row>
    <row r="2" spans="1:9">
      <c r="A2" s="13" t="s">
        <v>98</v>
      </c>
      <c r="B2" s="274">
        <f>'1. key ratios'!B2</f>
        <v>46022</v>
      </c>
      <c r="C2" s="12"/>
    </row>
    <row r="3" spans="1:9">
      <c r="A3" s="13"/>
      <c r="B3" s="12"/>
      <c r="C3" s="12"/>
    </row>
    <row r="4" spans="1:9" ht="15" customHeight="1" thickBot="1">
      <c r="A4" s="117" t="s">
        <v>242</v>
      </c>
      <c r="B4" s="118" t="s">
        <v>96</v>
      </c>
      <c r="C4" s="119" t="s">
        <v>76</v>
      </c>
    </row>
    <row r="5" spans="1:9" ht="15" customHeight="1">
      <c r="A5" s="115" t="s">
        <v>25</v>
      </c>
      <c r="B5" s="116"/>
      <c r="C5" s="265" t="str">
        <f>INT((MONTH($B$2))/3)&amp;"Q"&amp;"-"&amp;YEAR($B$2)</f>
        <v>4Q-2025</v>
      </c>
      <c r="D5" s="265" t="str">
        <f>IF(INT(MONTH($B$2))=3, "4"&amp;"Q"&amp;"-"&amp;YEAR($B$2)-1, IF(INT(MONTH($B$2))=6, "1"&amp;"Q"&amp;"-"&amp;YEAR($B$2), IF(INT(MONTH($B$2))=9, "2"&amp;"Q"&amp;"-"&amp;YEAR($B$2),IF(INT(MONTH($B$2))=12, "3"&amp;"Q"&amp;"-"&amp;YEAR($B$2), 0))))</f>
        <v>3Q-2025</v>
      </c>
      <c r="E5" s="265" t="str">
        <f>IF(INT(MONTH($B$2))=3, "3"&amp;"Q"&amp;"-"&amp;YEAR($B$2)-1, IF(INT(MONTH($B$2))=6, "4"&amp;"Q"&amp;"-"&amp;YEAR($B$2)-1, IF(INT(MONTH($B$2))=9, "1"&amp;"Q"&amp;"-"&amp;YEAR($B$2),IF(INT(MONTH($B$2))=12, "2"&amp;"Q"&amp;"-"&amp;YEAR($B$2), 0))))</f>
        <v>2Q-2025</v>
      </c>
      <c r="F5" s="265" t="str">
        <f>IF(INT(MONTH($B$2))=3, "2"&amp;"Q"&amp;"-"&amp;YEAR($B$2)-1, IF(INT(MONTH($B$2))=6, "3"&amp;"Q"&amp;"-"&amp;YEAR($B$2)-1, IF(INT(MONTH($B$2))=9, "4"&amp;"Q"&amp;"-"&amp;YEAR($B$2)-1,IF(INT(MONTH($B$2))=12, "1"&amp;"Q"&amp;"-"&amp;YEAR($B$2), 0))))</f>
        <v>1Q-2025</v>
      </c>
      <c r="G5" s="265" t="str">
        <f>IF(INT(MONTH($B$2))=3, "1"&amp;"Q"&amp;"-"&amp;YEAR($B$2)-1, IF(INT(MONTH($B$2))=6, "2"&amp;"Q"&amp;"-"&amp;YEAR($B$2)-1, IF(INT(MONTH($B$2))=9, "3"&amp;"Q"&amp;"-"&amp;YEAR($B$2)-1,IF(INT(MONTH($B$2))=12, "4"&amp;"Q"&amp;"-"&amp;YEAR($B$2)-1, 0))))</f>
        <v>4Q-2024</v>
      </c>
    </row>
    <row r="6" spans="1:9" ht="15" customHeight="1">
      <c r="A6" s="227">
        <v>1</v>
      </c>
      <c r="B6" s="254" t="s">
        <v>101</v>
      </c>
      <c r="C6" s="228">
        <f>C7+C9+C10</f>
        <v>2599387548.3347874</v>
      </c>
      <c r="D6" s="256">
        <f>D7+D9+D10</f>
        <v>2425903959.9770231</v>
      </c>
      <c r="E6" s="229">
        <f t="shared" ref="E6:G6" si="0">E7+E9+E10</f>
        <v>2279557645.9717302</v>
      </c>
      <c r="F6" s="228">
        <f t="shared" si="0"/>
        <v>2155615504.3424869</v>
      </c>
      <c r="G6" s="257">
        <f t="shared" si="0"/>
        <v>2056136249.6177859</v>
      </c>
      <c r="H6" s="772"/>
      <c r="I6" s="774"/>
    </row>
    <row r="7" spans="1:9" ht="15" customHeight="1">
      <c r="A7" s="227">
        <v>1.1000000000000001</v>
      </c>
      <c r="B7" s="230" t="s">
        <v>994</v>
      </c>
      <c r="C7" s="231">
        <v>2502662299.8097873</v>
      </c>
      <c r="D7" s="667">
        <v>2336499078.746449</v>
      </c>
      <c r="E7" s="668">
        <v>2198265315.321897</v>
      </c>
      <c r="F7" s="667">
        <v>2078270635.7190535</v>
      </c>
      <c r="G7" s="667">
        <v>2005870754.2077861</v>
      </c>
      <c r="H7" s="772"/>
      <c r="I7" s="774"/>
    </row>
    <row r="8" spans="1:9" ht="27.6">
      <c r="A8" s="227" t="s">
        <v>146</v>
      </c>
      <c r="B8" s="232" t="s">
        <v>239</v>
      </c>
      <c r="C8" s="231">
        <v>3680542.15</v>
      </c>
      <c r="D8" s="667">
        <v>1991498.97</v>
      </c>
      <c r="E8" s="668">
        <v>2202413.5</v>
      </c>
      <c r="F8" s="667">
        <v>2328266.9</v>
      </c>
      <c r="G8" s="667">
        <v>2463673.85</v>
      </c>
      <c r="H8" s="772"/>
      <c r="I8" s="774"/>
    </row>
    <row r="9" spans="1:9" ht="15" customHeight="1">
      <c r="A9" s="227">
        <v>1.2</v>
      </c>
      <c r="B9" s="230" t="s">
        <v>21</v>
      </c>
      <c r="C9" s="231">
        <v>94197244.525000006</v>
      </c>
      <c r="D9" s="667">
        <v>86362246.617500007</v>
      </c>
      <c r="E9" s="668">
        <v>77574328.375</v>
      </c>
      <c r="F9" s="667">
        <v>72260100.875</v>
      </c>
      <c r="G9" s="667">
        <v>44874370.850000001</v>
      </c>
      <c r="H9" s="772"/>
      <c r="I9" s="774"/>
    </row>
    <row r="10" spans="1:9" ht="15" customHeight="1">
      <c r="A10" s="227">
        <v>1.3</v>
      </c>
      <c r="B10" s="255" t="s">
        <v>73</v>
      </c>
      <c r="C10" s="231">
        <v>2528004</v>
      </c>
      <c r="D10" s="667">
        <v>3042634.6130742901</v>
      </c>
      <c r="E10" s="668">
        <v>3718002.2748331837</v>
      </c>
      <c r="F10" s="667">
        <v>5084767.7484337837</v>
      </c>
      <c r="G10" s="667">
        <v>5391124.5600000005</v>
      </c>
      <c r="H10" s="772"/>
      <c r="I10" s="774"/>
    </row>
    <row r="11" spans="1:9" ht="15" customHeight="1">
      <c r="A11" s="227">
        <v>2</v>
      </c>
      <c r="B11" s="254" t="s">
        <v>102</v>
      </c>
      <c r="C11" s="231">
        <v>3437460</v>
      </c>
      <c r="D11" s="667">
        <v>3455625.7996334741</v>
      </c>
      <c r="E11" s="668">
        <v>2452100</v>
      </c>
      <c r="F11" s="667">
        <v>1537337</v>
      </c>
      <c r="G11" s="667">
        <v>991776</v>
      </c>
      <c r="H11" s="772"/>
      <c r="I11" s="774"/>
    </row>
    <row r="12" spans="1:9" ht="15" customHeight="1">
      <c r="A12" s="227">
        <v>3</v>
      </c>
      <c r="B12" s="254" t="s">
        <v>100</v>
      </c>
      <c r="C12" s="231">
        <v>656665234</v>
      </c>
      <c r="D12" s="667">
        <v>559691583.66043723</v>
      </c>
      <c r="E12" s="668">
        <v>559691583.66043723</v>
      </c>
      <c r="F12" s="667">
        <v>559691583.66043723</v>
      </c>
      <c r="G12" s="667">
        <v>559691583.66043723</v>
      </c>
      <c r="H12" s="772"/>
      <c r="I12" s="774"/>
    </row>
    <row r="13" spans="1:9" ht="15" customHeight="1" thickBot="1">
      <c r="A13" s="62">
        <v>4</v>
      </c>
      <c r="B13" s="260" t="s">
        <v>147</v>
      </c>
      <c r="C13" s="137">
        <f>C6+C11+C12</f>
        <v>3259490242.3347874</v>
      </c>
      <c r="D13" s="258">
        <f>D6+D11+D12</f>
        <v>2989051169.4370937</v>
      </c>
      <c r="E13" s="138">
        <f t="shared" ref="E13:G13" si="1">E6+E11+E12</f>
        <v>2841701329.6321673</v>
      </c>
      <c r="F13" s="137">
        <f t="shared" si="1"/>
        <v>2716844425.002924</v>
      </c>
      <c r="G13" s="259">
        <f t="shared" si="1"/>
        <v>2616819609.278223</v>
      </c>
      <c r="H13" s="772"/>
      <c r="I13" s="774"/>
    </row>
    <row r="14" spans="1:9">
      <c r="B14" s="17"/>
    </row>
    <row r="15" spans="1:9">
      <c r="B15" s="17"/>
      <c r="C15" s="771"/>
      <c r="D15" s="771"/>
      <c r="E15" s="772"/>
      <c r="F15" s="772"/>
      <c r="G15" s="772"/>
    </row>
    <row r="16" spans="1:9">
      <c r="B16" s="17"/>
      <c r="C16" s="771"/>
      <c r="D16" s="771"/>
      <c r="E16" s="772"/>
      <c r="F16" s="772"/>
      <c r="G16" s="772"/>
    </row>
    <row r="17" spans="2:7">
      <c r="B17" s="17"/>
      <c r="C17" s="771"/>
      <c r="D17" s="771"/>
      <c r="E17" s="772"/>
      <c r="F17" s="772"/>
      <c r="G17" s="772"/>
    </row>
    <row r="18" spans="2:7">
      <c r="B18" s="17"/>
      <c r="C18" s="771"/>
      <c r="D18" s="771"/>
      <c r="E18" s="772"/>
      <c r="F18" s="772"/>
      <c r="G18" s="772"/>
    </row>
    <row r="19" spans="2:7">
      <c r="C19" s="771"/>
      <c r="D19" s="771"/>
      <c r="E19" s="772"/>
      <c r="F19" s="772"/>
      <c r="G19" s="772"/>
    </row>
    <row r="20" spans="2:7">
      <c r="C20" s="771"/>
      <c r="D20" s="771"/>
      <c r="E20" s="772"/>
      <c r="F20" s="772"/>
      <c r="G20" s="772"/>
    </row>
    <row r="21" spans="2:7">
      <c r="C21" s="771"/>
      <c r="D21" s="771"/>
      <c r="E21" s="772"/>
      <c r="F21" s="772"/>
      <c r="G21" s="772"/>
    </row>
    <row r="22" spans="2:7">
      <c r="C22" s="771"/>
      <c r="D22" s="771"/>
      <c r="E22" s="772"/>
      <c r="F22" s="772"/>
      <c r="G22" s="772"/>
    </row>
    <row r="24" spans="2:7">
      <c r="C24" s="773"/>
      <c r="D24" s="773"/>
      <c r="E24" s="773"/>
      <c r="F24" s="773"/>
      <c r="G24" s="773"/>
    </row>
    <row r="25" spans="2:7">
      <c r="C25" s="773"/>
    </row>
    <row r="26" spans="2:7">
      <c r="C26" s="773"/>
    </row>
    <row r="27" spans="2:7">
      <c r="C27" s="773"/>
    </row>
    <row r="28" spans="2:7">
      <c r="C28" s="773"/>
    </row>
    <row r="29" spans="2:7">
      <c r="C29" s="773"/>
    </row>
    <row r="30" spans="2:7">
      <c r="C30" s="773"/>
    </row>
    <row r="31" spans="2:7">
      <c r="C31" s="773"/>
    </row>
    <row r="32" spans="2:7">
      <c r="C32" s="773"/>
    </row>
    <row r="33" spans="3:3">
      <c r="C33" s="773"/>
    </row>
    <row r="34" spans="3:3">
      <c r="C34" s="773"/>
    </row>
    <row r="35" spans="3:3">
      <c r="C35" s="773"/>
    </row>
    <row r="36" spans="3:3">
      <c r="C36" s="773"/>
    </row>
    <row r="37" spans="3:3">
      <c r="C37" s="77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34"/>
  <sheetViews>
    <sheetView showGridLines="0" zoomScale="80" zoomScaleNormal="80" workbookViewId="0">
      <pane xSplit="1" ySplit="4" topLeftCell="B18" activePane="bottomRight" state="frozen"/>
      <selection pane="topRight" activeCell="B1" sqref="B1"/>
      <selection pane="bottomLeft" activeCell="A4" sqref="A4"/>
      <selection pane="bottomRight" activeCell="C26" sqref="C26:C34"/>
    </sheetView>
  </sheetViews>
  <sheetFormatPr defaultRowHeight="14.4"/>
  <cols>
    <col min="1" max="1" width="9.5546875" style="1" bestFit="1" customWidth="1"/>
    <col min="2" max="2" width="58.77734375" style="1" customWidth="1"/>
    <col min="3" max="3" width="40.21875" style="1" bestFit="1" customWidth="1"/>
  </cols>
  <sheetData>
    <row r="1" spans="1:3">
      <c r="A1" s="1" t="s">
        <v>97</v>
      </c>
      <c r="B1" s="1" t="str">
        <f>Info!C2</f>
        <v>სს "კრედო ბანკი"</v>
      </c>
    </row>
    <row r="2" spans="1:3">
      <c r="A2" s="1" t="s">
        <v>98</v>
      </c>
      <c r="B2" s="274">
        <f>'1. key ratios'!B2</f>
        <v>46022</v>
      </c>
    </row>
    <row r="4" spans="1:3" ht="25.5" customHeight="1" thickBot="1">
      <c r="A4" s="131" t="s">
        <v>243</v>
      </c>
      <c r="B4" s="23" t="s">
        <v>80</v>
      </c>
      <c r="C4" s="9"/>
    </row>
    <row r="5" spans="1:3">
      <c r="A5" s="7"/>
      <c r="B5" s="250" t="s">
        <v>81</v>
      </c>
      <c r="C5" s="263" t="s">
        <v>419</v>
      </c>
    </row>
    <row r="6" spans="1:3" ht="15">
      <c r="A6" s="10">
        <v>1</v>
      </c>
      <c r="B6" s="24" t="s">
        <v>1001</v>
      </c>
      <c r="C6" s="261" t="s">
        <v>1005</v>
      </c>
    </row>
    <row r="7" spans="1:3" ht="15">
      <c r="A7" s="10">
        <v>2</v>
      </c>
      <c r="B7" s="24" t="s">
        <v>1008</v>
      </c>
      <c r="C7" s="261" t="s">
        <v>1007</v>
      </c>
    </row>
    <row r="8" spans="1:3" ht="15">
      <c r="A8" s="10">
        <v>3</v>
      </c>
      <c r="B8" s="24" t="s">
        <v>1002</v>
      </c>
      <c r="C8" s="261" t="s">
        <v>1006</v>
      </c>
    </row>
    <row r="9" spans="1:3" ht="15">
      <c r="A9" s="10">
        <v>4</v>
      </c>
      <c r="B9" s="24" t="s">
        <v>1003</v>
      </c>
      <c r="C9" s="261" t="s">
        <v>1007</v>
      </c>
    </row>
    <row r="10" spans="1:3" ht="15">
      <c r="A10" s="10">
        <v>5</v>
      </c>
      <c r="B10" s="24" t="s">
        <v>1004</v>
      </c>
      <c r="C10" s="261" t="s">
        <v>1006</v>
      </c>
    </row>
    <row r="11" spans="1:3" ht="15">
      <c r="A11" s="10"/>
      <c r="B11" s="803"/>
      <c r="C11" s="804"/>
    </row>
    <row r="12" spans="1:3" ht="41.4">
      <c r="A12" s="10"/>
      <c r="B12" s="251" t="s">
        <v>82</v>
      </c>
      <c r="C12" s="264" t="s">
        <v>420</v>
      </c>
    </row>
    <row r="13" spans="1:3">
      <c r="A13" s="10">
        <v>1</v>
      </c>
      <c r="B13" s="20" t="s">
        <v>1009</v>
      </c>
      <c r="C13" s="262" t="s">
        <v>1010</v>
      </c>
    </row>
    <row r="14" spans="1:3">
      <c r="A14" s="10">
        <v>2</v>
      </c>
      <c r="B14" s="20" t="s">
        <v>1011</v>
      </c>
      <c r="C14" s="262" t="s">
        <v>1012</v>
      </c>
    </row>
    <row r="15" spans="1:3">
      <c r="A15" s="10">
        <v>3</v>
      </c>
      <c r="B15" s="20" t="s">
        <v>1013</v>
      </c>
      <c r="C15" s="262" t="s">
        <v>1014</v>
      </c>
    </row>
    <row r="16" spans="1:3">
      <c r="A16" s="10">
        <v>4</v>
      </c>
      <c r="B16" s="20" t="s">
        <v>1015</v>
      </c>
      <c r="C16" s="262" t="s">
        <v>1016</v>
      </c>
    </row>
    <row r="17" spans="1:3">
      <c r="A17" s="10">
        <v>5</v>
      </c>
      <c r="B17" s="20" t="s">
        <v>1017</v>
      </c>
      <c r="C17" s="262" t="s">
        <v>1018</v>
      </c>
    </row>
    <row r="18" spans="1:3">
      <c r="A18" s="10">
        <v>6</v>
      </c>
      <c r="B18" s="20" t="s">
        <v>1019</v>
      </c>
      <c r="C18" s="262" t="s">
        <v>1020</v>
      </c>
    </row>
    <row r="19" spans="1:3" ht="15.75" customHeight="1">
      <c r="A19" s="10"/>
      <c r="B19" s="20"/>
      <c r="C19" s="21"/>
    </row>
    <row r="20" spans="1:3" ht="30" customHeight="1">
      <c r="A20" s="10"/>
      <c r="B20" s="805" t="s">
        <v>83</v>
      </c>
      <c r="C20" s="806"/>
    </row>
    <row r="21" spans="1:3" ht="15">
      <c r="A21" s="10">
        <v>1</v>
      </c>
      <c r="B21" s="670" t="s">
        <v>1021</v>
      </c>
      <c r="C21" s="671">
        <v>0.50260000000000005</v>
      </c>
    </row>
    <row r="22" spans="1:3" ht="15">
      <c r="A22" s="669">
        <v>2</v>
      </c>
      <c r="B22" s="670" t="s">
        <v>1022</v>
      </c>
      <c r="C22" s="671">
        <v>0.3322</v>
      </c>
    </row>
    <row r="23" spans="1:3" ht="28.8">
      <c r="A23" s="10">
        <v>3</v>
      </c>
      <c r="B23" s="670" t="s">
        <v>1023</v>
      </c>
      <c r="C23" s="671">
        <v>0.1469</v>
      </c>
    </row>
    <row r="24" spans="1:3" ht="15.75" customHeight="1">
      <c r="A24" s="10"/>
      <c r="B24" s="24"/>
      <c r="C24" s="25"/>
    </row>
    <row r="25" spans="1:3" ht="29.25" customHeight="1">
      <c r="A25" s="10"/>
      <c r="B25" s="805" t="s">
        <v>163</v>
      </c>
      <c r="C25" s="806"/>
    </row>
    <row r="26" spans="1:3" ht="15">
      <c r="A26" s="10">
        <v>1</v>
      </c>
      <c r="B26" s="670" t="s">
        <v>1024</v>
      </c>
      <c r="C26" s="760">
        <v>5.9400000000000001E-2</v>
      </c>
    </row>
    <row r="27" spans="1:3" ht="15.6" thickBot="1">
      <c r="A27" s="11">
        <v>2</v>
      </c>
      <c r="B27" s="755" t="s">
        <v>1025</v>
      </c>
      <c r="C27" s="761">
        <v>5.9400000000000001E-2</v>
      </c>
    </row>
    <row r="28" spans="1:3" ht="15">
      <c r="A28" s="10">
        <v>3</v>
      </c>
      <c r="B28" s="755" t="s">
        <v>1026</v>
      </c>
      <c r="C28" s="761">
        <v>7.4800000000000005E-2</v>
      </c>
    </row>
    <row r="29" spans="1:3" ht="15.6" thickBot="1">
      <c r="A29" s="11">
        <v>4</v>
      </c>
      <c r="B29" s="755" t="s">
        <v>1027</v>
      </c>
      <c r="C29" s="761">
        <v>6.3899999999999998E-2</v>
      </c>
    </row>
    <row r="30" spans="1:3" ht="15">
      <c r="A30" s="10">
        <v>5</v>
      </c>
      <c r="B30" s="755" t="s">
        <v>1028</v>
      </c>
      <c r="C30" s="761">
        <v>0.1195</v>
      </c>
    </row>
    <row r="31" spans="1:3" ht="15.6" thickBot="1">
      <c r="A31" s="11">
        <v>6</v>
      </c>
      <c r="B31" s="755" t="s">
        <v>1029</v>
      </c>
      <c r="C31" s="761">
        <v>5.6300000000000003E-2</v>
      </c>
    </row>
    <row r="32" spans="1:3" ht="15">
      <c r="A32" s="757">
        <v>7</v>
      </c>
      <c r="B32" s="755" t="s">
        <v>1030</v>
      </c>
      <c r="C32" s="761">
        <v>0.12520000000000001</v>
      </c>
    </row>
    <row r="33" spans="1:3" ht="15">
      <c r="A33" s="757">
        <v>8</v>
      </c>
      <c r="B33" s="755" t="s">
        <v>1040</v>
      </c>
      <c r="C33" s="761">
        <v>7.17E-2</v>
      </c>
    </row>
    <row r="34" spans="1:3" ht="15.6" thickBot="1">
      <c r="A34" s="10">
        <v>9</v>
      </c>
      <c r="B34" s="756" t="s">
        <v>1039</v>
      </c>
      <c r="C34" s="762">
        <v>6.0699999999999997E-2</v>
      </c>
    </row>
  </sheetData>
  <mergeCells count="3">
    <mergeCell ref="B11:C11"/>
    <mergeCell ref="B25:C25"/>
    <mergeCell ref="B20:C20"/>
  </mergeCells>
  <dataValidations count="1">
    <dataValidation type="list" allowBlank="1" showInputMessage="1" showErrorMessage="1" sqref="C6:C10"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22" activePane="bottomRight" state="frozen"/>
      <selection activeCell="H6" sqref="H6"/>
      <selection pane="topRight" activeCell="H6" sqref="H6"/>
      <selection pane="bottomLeft" activeCell="H6" sqref="H6"/>
      <selection pane="bottomRight" activeCell="C34" sqref="C34"/>
    </sheetView>
  </sheetViews>
  <sheetFormatPr defaultRowHeight="14.4"/>
  <cols>
    <col min="1" max="1" width="9.5546875" style="1" bestFit="1" customWidth="1"/>
    <col min="2" max="2" width="47.5546875" style="1" customWidth="1"/>
    <col min="3" max="3" width="28" style="1" customWidth="1"/>
    <col min="4" max="4" width="25.6640625" style="1" customWidth="1"/>
    <col min="5" max="5" width="18.77734375" style="1" customWidth="1"/>
    <col min="6" max="6" width="12" bestFit="1" customWidth="1"/>
    <col min="7" max="7" width="12.5546875" bestFit="1" customWidth="1"/>
  </cols>
  <sheetData>
    <row r="1" spans="1:5">
      <c r="A1" s="13" t="s">
        <v>97</v>
      </c>
      <c r="B1" s="12" t="str">
        <f>Info!C2</f>
        <v>სს "კრედო ბანკი"</v>
      </c>
    </row>
    <row r="2" spans="1:5" s="13" customFormat="1" ht="15.75" customHeight="1">
      <c r="A2" s="13" t="s">
        <v>98</v>
      </c>
      <c r="B2" s="274">
        <f>'1. key ratios'!B2</f>
        <v>46022</v>
      </c>
    </row>
    <row r="3" spans="1:5" s="13" customFormat="1" ht="15.75" customHeight="1"/>
    <row r="4" spans="1:5" s="13" customFormat="1" ht="15.75" customHeight="1" thickBot="1">
      <c r="A4" s="132" t="s">
        <v>244</v>
      </c>
      <c r="B4" s="133" t="s">
        <v>157</v>
      </c>
      <c r="C4" s="97"/>
      <c r="D4" s="97"/>
      <c r="E4" s="98" t="s">
        <v>76</v>
      </c>
    </row>
    <row r="5" spans="1:5" s="58" customFormat="1" ht="17.55" customHeight="1">
      <c r="A5" s="205"/>
      <c r="B5" s="206"/>
      <c r="C5" s="96" t="s">
        <v>0</v>
      </c>
      <c r="D5" s="96" t="s">
        <v>1</v>
      </c>
      <c r="E5" s="207" t="s">
        <v>2</v>
      </c>
    </row>
    <row r="6" spans="1:5" ht="14.55" customHeight="1">
      <c r="A6" s="208"/>
      <c r="B6" s="807" t="s">
        <v>133</v>
      </c>
      <c r="C6" s="807" t="s">
        <v>824</v>
      </c>
      <c r="D6" s="808" t="s">
        <v>132</v>
      </c>
      <c r="E6" s="809"/>
    </row>
    <row r="7" spans="1:5" ht="99.6" customHeight="1">
      <c r="A7" s="208"/>
      <c r="B7" s="807"/>
      <c r="C7" s="807"/>
      <c r="D7" s="203" t="s">
        <v>131</v>
      </c>
      <c r="E7" s="204" t="s">
        <v>341</v>
      </c>
    </row>
    <row r="8" spans="1:5" ht="22.5" customHeight="1">
      <c r="A8" s="393">
        <v>1</v>
      </c>
      <c r="B8" s="338" t="s">
        <v>811</v>
      </c>
      <c r="C8" s="678">
        <f>SUM(C9:C11)</f>
        <v>603778083.73146057</v>
      </c>
      <c r="D8" s="678">
        <f t="shared" ref="D8:E8" si="0">SUM(D9:D11)</f>
        <v>0</v>
      </c>
      <c r="E8" s="678">
        <f t="shared" si="0"/>
        <v>603778083.73146057</v>
      </c>
    </row>
    <row r="9" spans="1:5">
      <c r="A9" s="393">
        <v>1.1000000000000001</v>
      </c>
      <c r="B9" s="340" t="s">
        <v>85</v>
      </c>
      <c r="C9" s="676">
        <v>98471832.86999999</v>
      </c>
      <c r="D9" s="676"/>
      <c r="E9" s="676">
        <f>C9-D9</f>
        <v>98471832.86999999</v>
      </c>
    </row>
    <row r="10" spans="1:5">
      <c r="A10" s="393">
        <v>1.2</v>
      </c>
      <c r="B10" s="340" t="s">
        <v>86</v>
      </c>
      <c r="C10" s="676">
        <v>323170857.97000003</v>
      </c>
      <c r="D10" s="676"/>
      <c r="E10" s="676">
        <f t="shared" ref="E10:E13" si="1">C10-D10</f>
        <v>323170857.97000003</v>
      </c>
    </row>
    <row r="11" spans="1:5">
      <c r="A11" s="393">
        <v>1.3</v>
      </c>
      <c r="B11" s="340" t="s">
        <v>87</v>
      </c>
      <c r="C11" s="676">
        <v>182135392.89146048</v>
      </c>
      <c r="D11" s="676"/>
      <c r="E11" s="676">
        <f t="shared" si="1"/>
        <v>182135392.89146048</v>
      </c>
    </row>
    <row r="12" spans="1:5">
      <c r="A12" s="393">
        <v>2</v>
      </c>
      <c r="B12" s="341" t="s">
        <v>698</v>
      </c>
      <c r="C12" s="676">
        <v>584722.38</v>
      </c>
      <c r="D12" s="676"/>
      <c r="E12" s="676">
        <f>C12-D12</f>
        <v>584722.38</v>
      </c>
    </row>
    <row r="13" spans="1:5">
      <c r="A13" s="393">
        <v>2.1</v>
      </c>
      <c r="B13" s="342" t="s">
        <v>699</v>
      </c>
      <c r="C13" s="676">
        <v>584722.38</v>
      </c>
      <c r="D13" s="676"/>
      <c r="E13" s="676">
        <f t="shared" si="1"/>
        <v>584722.38</v>
      </c>
    </row>
    <row r="14" spans="1:5" ht="34.049999999999997" customHeight="1">
      <c r="A14" s="393">
        <v>3</v>
      </c>
      <c r="B14" s="343" t="s">
        <v>700</v>
      </c>
      <c r="C14" s="676"/>
      <c r="D14" s="676"/>
      <c r="E14" s="676"/>
    </row>
    <row r="15" spans="1:5" ht="32.549999999999997" customHeight="1">
      <c r="A15" s="393">
        <v>4</v>
      </c>
      <c r="B15" s="344" t="s">
        <v>701</v>
      </c>
      <c r="C15" s="676"/>
      <c r="D15" s="676"/>
      <c r="E15" s="676"/>
    </row>
    <row r="16" spans="1:5" ht="22.95" customHeight="1">
      <c r="A16" s="393">
        <v>5</v>
      </c>
      <c r="B16" s="344" t="s">
        <v>702</v>
      </c>
      <c r="C16" s="678">
        <f>SUM(C17:C19)</f>
        <v>0</v>
      </c>
      <c r="D16" s="678">
        <f t="shared" ref="D16:E16" si="2">SUM(D17:D19)</f>
        <v>0</v>
      </c>
      <c r="E16" s="678">
        <f t="shared" si="2"/>
        <v>0</v>
      </c>
    </row>
    <row r="17" spans="1:5">
      <c r="A17" s="393">
        <v>5.0999999999999996</v>
      </c>
      <c r="B17" s="345" t="s">
        <v>703</v>
      </c>
      <c r="C17" s="676"/>
      <c r="D17" s="676"/>
      <c r="E17" s="676"/>
    </row>
    <row r="18" spans="1:5">
      <c r="A18" s="393">
        <v>5.2</v>
      </c>
      <c r="B18" s="345" t="s">
        <v>538</v>
      </c>
      <c r="C18" s="676"/>
      <c r="D18" s="676"/>
      <c r="E18" s="676"/>
    </row>
    <row r="19" spans="1:5">
      <c r="A19" s="393">
        <v>5.3</v>
      </c>
      <c r="B19" s="345" t="s">
        <v>704</v>
      </c>
      <c r="C19" s="676"/>
      <c r="D19" s="676"/>
      <c r="E19" s="676"/>
    </row>
    <row r="20" spans="1:5" ht="20.399999999999999">
      <c r="A20" s="393">
        <v>6</v>
      </c>
      <c r="B20" s="343" t="s">
        <v>705</v>
      </c>
      <c r="C20" s="678">
        <f>SUM(C21:C22)</f>
        <v>3140661246.721879</v>
      </c>
      <c r="D20" s="678">
        <f t="shared" ref="D20:E20" si="3">SUM(D21:D22)</f>
        <v>0</v>
      </c>
      <c r="E20" s="678">
        <f t="shared" si="3"/>
        <v>3140661246.721879</v>
      </c>
    </row>
    <row r="21" spans="1:5">
      <c r="A21" s="393">
        <v>6.1</v>
      </c>
      <c r="B21" s="345" t="s">
        <v>538</v>
      </c>
      <c r="C21" s="290">
        <v>68081706.859999985</v>
      </c>
      <c r="D21" s="290"/>
      <c r="E21" s="290">
        <f>C21-D21</f>
        <v>68081706.859999985</v>
      </c>
    </row>
    <row r="22" spans="1:5">
      <c r="A22" s="393">
        <v>6.2</v>
      </c>
      <c r="B22" s="345" t="s">
        <v>704</v>
      </c>
      <c r="C22" s="290">
        <v>3072579539.8618789</v>
      </c>
      <c r="D22" s="290"/>
      <c r="E22" s="290">
        <f t="shared" ref="E22:E23" si="4">C22-D22</f>
        <v>3072579539.8618789</v>
      </c>
    </row>
    <row r="23" spans="1:5" ht="20.399999999999999">
      <c r="A23" s="393">
        <v>7</v>
      </c>
      <c r="B23" s="346" t="s">
        <v>706</v>
      </c>
      <c r="C23" s="677">
        <v>3680542.15</v>
      </c>
      <c r="D23" s="677"/>
      <c r="E23" s="290">
        <f t="shared" si="4"/>
        <v>3680542.15</v>
      </c>
    </row>
    <row r="24" spans="1:5" ht="20.399999999999999">
      <c r="A24" s="393">
        <v>8</v>
      </c>
      <c r="B24" s="347" t="s">
        <v>707</v>
      </c>
      <c r="C24" s="677"/>
      <c r="D24" s="677"/>
      <c r="E24" s="677"/>
    </row>
    <row r="25" spans="1:5">
      <c r="A25" s="393">
        <v>9</v>
      </c>
      <c r="B25" s="344" t="s">
        <v>708</v>
      </c>
      <c r="C25" s="679">
        <f t="shared" ref="C25:E25" si="5">SUM(C26:C27)</f>
        <v>55533762.390000008</v>
      </c>
      <c r="D25" s="679">
        <f t="shared" si="5"/>
        <v>0</v>
      </c>
      <c r="E25" s="679">
        <f t="shared" si="5"/>
        <v>55533762.390000008</v>
      </c>
    </row>
    <row r="26" spans="1:5">
      <c r="A26" s="393">
        <v>9.1</v>
      </c>
      <c r="B26" s="348" t="s">
        <v>709</v>
      </c>
      <c r="C26" s="677">
        <v>55533762.390000008</v>
      </c>
      <c r="D26" s="677"/>
      <c r="E26" s="677">
        <f>C26-D26</f>
        <v>55533762.390000008</v>
      </c>
    </row>
    <row r="27" spans="1:5">
      <c r="A27" s="393">
        <v>9.1999999999999993</v>
      </c>
      <c r="B27" s="348" t="s">
        <v>710</v>
      </c>
      <c r="C27" s="677"/>
      <c r="D27" s="677"/>
      <c r="E27" s="677"/>
    </row>
    <row r="28" spans="1:5">
      <c r="A28" s="393">
        <v>10</v>
      </c>
      <c r="B28" s="344" t="s">
        <v>36</v>
      </c>
      <c r="C28" s="679">
        <f>SUM(C29:C30)</f>
        <v>40661044.859999985</v>
      </c>
      <c r="D28" s="679">
        <f t="shared" ref="D28:E28" si="6">SUM(D29:D30)</f>
        <v>40661044.859999985</v>
      </c>
      <c r="E28" s="679">
        <f t="shared" si="6"/>
        <v>0</v>
      </c>
    </row>
    <row r="29" spans="1:5">
      <c r="A29" s="393">
        <v>10.1</v>
      </c>
      <c r="B29" s="348" t="s">
        <v>711</v>
      </c>
      <c r="C29" s="677"/>
      <c r="D29" s="677"/>
      <c r="E29" s="677"/>
    </row>
    <row r="30" spans="1:5">
      <c r="A30" s="393">
        <v>10.199999999999999</v>
      </c>
      <c r="B30" s="348" t="s">
        <v>712</v>
      </c>
      <c r="C30" s="677">
        <v>40661044.859999985</v>
      </c>
      <c r="D30" s="677">
        <v>40661044.859999985</v>
      </c>
      <c r="E30" s="677">
        <f>C30-D30</f>
        <v>0</v>
      </c>
    </row>
    <row r="31" spans="1:5">
      <c r="A31" s="393">
        <v>11</v>
      </c>
      <c r="B31" s="344" t="s">
        <v>713</v>
      </c>
      <c r="C31" s="679">
        <f>SUM(C32:C33)</f>
        <v>0</v>
      </c>
      <c r="D31" s="679">
        <f t="shared" ref="D31:E31" si="7">SUM(D32:D33)</f>
        <v>0</v>
      </c>
      <c r="E31" s="679">
        <f t="shared" si="7"/>
        <v>0</v>
      </c>
    </row>
    <row r="32" spans="1:5">
      <c r="A32" s="393">
        <v>11.1</v>
      </c>
      <c r="B32" s="348" t="s">
        <v>714</v>
      </c>
      <c r="C32" s="677"/>
      <c r="D32" s="677"/>
      <c r="E32" s="677">
        <f>C32-D32</f>
        <v>0</v>
      </c>
    </row>
    <row r="33" spans="1:7">
      <c r="A33" s="393">
        <v>11.2</v>
      </c>
      <c r="B33" s="348" t="s">
        <v>715</v>
      </c>
      <c r="C33" s="677"/>
      <c r="D33" s="677"/>
      <c r="E33" s="677"/>
    </row>
    <row r="34" spans="1:7">
      <c r="A34" s="393">
        <v>13</v>
      </c>
      <c r="B34" s="344" t="s">
        <v>88</v>
      </c>
      <c r="C34" s="680">
        <v>58918649.879999995</v>
      </c>
      <c r="D34" s="680"/>
      <c r="E34" s="680">
        <f>C34-D34</f>
        <v>58918649.879999995</v>
      </c>
    </row>
    <row r="35" spans="1:7">
      <c r="A35" s="393">
        <v>13.1</v>
      </c>
      <c r="B35" s="349" t="s">
        <v>716</v>
      </c>
      <c r="C35" s="290">
        <v>32854683.049999997</v>
      </c>
      <c r="D35" s="290"/>
      <c r="E35" s="290">
        <f>C35-D35</f>
        <v>32854683.049999997</v>
      </c>
    </row>
    <row r="36" spans="1:7">
      <c r="A36" s="393">
        <v>13.2</v>
      </c>
      <c r="B36" s="349" t="s">
        <v>717</v>
      </c>
      <c r="C36" s="394"/>
      <c r="D36" s="394"/>
      <c r="E36" s="394"/>
    </row>
    <row r="37" spans="1:7" ht="42" thickBot="1">
      <c r="A37" s="209"/>
      <c r="B37" s="210" t="s">
        <v>308</v>
      </c>
      <c r="C37" s="170">
        <f>SUM(C8,C12,C14,C15,C16,C20,C23,C24,C25,C28,C31,C34)</f>
        <v>3903818052.1133399</v>
      </c>
      <c r="D37" s="170">
        <f t="shared" ref="D37:E37" si="8">SUM(D8,D12,D14,D15,D16,D20,D23,D24,D25,D28,D31,D34)</f>
        <v>40661044.859999985</v>
      </c>
      <c r="E37" s="170">
        <f t="shared" si="8"/>
        <v>3863157007.2533398</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10" activeCellId="1" sqref="C6 C10"/>
    </sheetView>
  </sheetViews>
  <sheetFormatPr defaultRowHeight="14.4" outlineLevelRow="1"/>
  <cols>
    <col min="1" max="1" width="9.5546875" style="1" bestFit="1" customWidth="1"/>
    <col min="2" max="2" width="114.21875" style="1" customWidth="1"/>
    <col min="3" max="3" width="18.77734375" customWidth="1"/>
    <col min="4" max="4" width="25.44140625" customWidth="1"/>
    <col min="5" max="5" width="24.21875" customWidth="1"/>
    <col min="6" max="6" width="24" customWidth="1"/>
    <col min="7" max="7" width="10" bestFit="1" customWidth="1"/>
    <col min="8" max="8" width="12" bestFit="1" customWidth="1"/>
    <col min="9" max="9" width="12.5546875" bestFit="1" customWidth="1"/>
  </cols>
  <sheetData>
    <row r="1" spans="1:6">
      <c r="A1" s="13" t="s">
        <v>97</v>
      </c>
      <c r="B1" s="12" t="str">
        <f>Info!C2</f>
        <v>სს "კრედო ბანკი"</v>
      </c>
    </row>
    <row r="2" spans="1:6" s="13" customFormat="1" ht="15.75" customHeight="1">
      <c r="A2" s="13" t="s">
        <v>98</v>
      </c>
      <c r="B2" s="274">
        <f>'1. key ratios'!B2</f>
        <v>46022</v>
      </c>
      <c r="C2"/>
      <c r="D2"/>
      <c r="E2"/>
      <c r="F2"/>
    </row>
    <row r="3" spans="1:6" s="13" customFormat="1" ht="15.75" customHeight="1">
      <c r="C3"/>
      <c r="D3"/>
      <c r="E3"/>
      <c r="F3"/>
    </row>
    <row r="4" spans="1:6" s="13" customFormat="1" ht="28.2" thickBot="1">
      <c r="A4" s="13" t="s">
        <v>245</v>
      </c>
      <c r="B4" s="104" t="s">
        <v>160</v>
      </c>
      <c r="C4" s="98" t="s">
        <v>76</v>
      </c>
      <c r="D4"/>
      <c r="E4"/>
      <c r="F4"/>
    </row>
    <row r="5" spans="1:6">
      <c r="A5" s="99">
        <v>1</v>
      </c>
      <c r="B5" s="100" t="s">
        <v>695</v>
      </c>
      <c r="C5" s="139">
        <f>'7. LI1'!E37</f>
        <v>3863157007.2533398</v>
      </c>
    </row>
    <row r="6" spans="1:6">
      <c r="A6" s="57">
        <v>2.1</v>
      </c>
      <c r="B6" s="106" t="s">
        <v>829</v>
      </c>
      <c r="C6" s="140">
        <v>444803974</v>
      </c>
    </row>
    <row r="7" spans="1:6" s="2" customFormat="1" ht="27.6" outlineLevel="1">
      <c r="A7" s="105">
        <v>2.2000000000000002</v>
      </c>
      <c r="B7" s="101" t="s">
        <v>830</v>
      </c>
      <c r="C7" s="141">
        <v>412455000</v>
      </c>
    </row>
    <row r="8" spans="1:6" s="2" customFormat="1" ht="27.6">
      <c r="A8" s="105">
        <v>3</v>
      </c>
      <c r="B8" s="102" t="s">
        <v>696</v>
      </c>
      <c r="C8" s="142">
        <f>SUM(C5:C7)</f>
        <v>4720415981.2533398</v>
      </c>
    </row>
    <row r="9" spans="1:6">
      <c r="A9" s="57">
        <v>4</v>
      </c>
      <c r="B9" s="109" t="s">
        <v>158</v>
      </c>
      <c r="C9" s="140"/>
    </row>
    <row r="10" spans="1:6" s="2" customFormat="1" ht="27.6" outlineLevel="1">
      <c r="A10" s="105">
        <v>5.0999999999999996</v>
      </c>
      <c r="B10" s="101" t="s">
        <v>164</v>
      </c>
      <c r="C10" s="141">
        <v>-322663957.30000001</v>
      </c>
    </row>
    <row r="11" spans="1:6" s="2" customFormat="1" ht="27.6" outlineLevel="1">
      <c r="A11" s="105">
        <v>5.2</v>
      </c>
      <c r="B11" s="101" t="s">
        <v>165</v>
      </c>
      <c r="C11" s="141">
        <v>-409926996</v>
      </c>
    </row>
    <row r="12" spans="1:6" s="2" customFormat="1">
      <c r="A12" s="105">
        <v>6</v>
      </c>
      <c r="B12" s="107" t="s">
        <v>995</v>
      </c>
      <c r="C12" s="141"/>
    </row>
    <row r="13" spans="1:6" s="2" customFormat="1" ht="15" thickBot="1">
      <c r="A13" s="108">
        <v>7</v>
      </c>
      <c r="B13" s="103" t="s">
        <v>159</v>
      </c>
      <c r="C13" s="143">
        <f>SUM(C8:C12)</f>
        <v>3987825027.9533396</v>
      </c>
    </row>
    <row r="15" spans="1:6">
      <c r="B15" s="17"/>
    </row>
    <row r="16" spans="1:6">
      <c r="C16" s="681"/>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hJp/10+DOUMrSXZo7yPSbZbyjMQOySP+TAaAL1QnHbo=</DigestValue>
    </Reference>
    <Reference Type="http://www.w3.org/2000/09/xmldsig#Object" URI="#idOfficeObject">
      <DigestMethod Algorithm="http://www.w3.org/2001/04/xmlenc#sha256"/>
      <DigestValue>HDbYI87XD2crSuKSd2FzlCvabGJ4bgtdq45inpEQIGE=</DigestValue>
    </Reference>
    <Reference Type="http://uri.etsi.org/01903#SignedProperties" URI="#idSignedProperties">
      <Transforms>
        <Transform Algorithm="http://www.w3.org/TR/2001/REC-xml-c14n-20010315"/>
      </Transforms>
      <DigestMethod Algorithm="http://www.w3.org/2001/04/xmlenc#sha256"/>
      <DigestValue>fwyHCTrWoJsm54TeYCs0SX3m5nxwKA0sZ3OY67RYB88=</DigestValue>
    </Reference>
  </SignedInfo>
  <SignatureValue>KyzeE7mSZW/LZ/hg2/o0YbQ8Nq/zoAHq0AxKt+rpXvkB5+ulatfx8158QyYhPxwf61cRMeVxHJf0
iW64XIcOzsYOL7maX7O2kt1gmiuiz5Zyz1kwh+v5X2jn1i0fGSZToBjHl8uuKwry0Dd3D7l3D7b1
aTFbjTLZslq0sE1+vYoYpNq4ahc4kt6ktUNJg+lamKtU6ZK9QxJ3faJltxlUb8A0rOeInBdRCyLd
lz/QoFJRDV7LsovI/TlDApH6eM9ifQ+wNPHVQR3kPLXo4Go0RAus9ZnBFfMd4lRWHYLFBWlZUaC3
OgWmqS4ufQYzs+5YhwAoMaQerKsRWlk2WBUQYQ==</SignatureValue>
  <KeyInfo>
    <X509Data>
      <X509Certificate>MIIGKzCCBROgAwIBAgIKJ40y3AAEAAKI8TANBgkqhkiG9w0BAQsFADBKMRIwEAYKCZImiZPyLGQBGRYCZ2UxEzARBgoJkiaJk/IsZAEZFgNuYmcxHzAdBgNVBAMTFk5CRyBDbGFzcyAyIElOVCBTdWIgQ0EwHhcNMjUwNjMwMDczNDQ4WhcNMjcwNjMwMDczNDQ4WjApMScwJQYDVQQDEx5CQ0QgLSBLb25zdGFudGluZSBHaGFtYmFzaGlkemUwggEiMA0GCSqGSIb3DQEBAQUAA4IBDwAwggEKAoIBAQDp+8svDO5/CWsNWcoY4JcK1WBL+1emG9Kjybiy/UFmdLQlZjNEIXZQuPQDB3l8lGifPu2MKhEVn4pSWM96ENL/s3ow4Kn0EcUaZg/Wib3Vv3Zrqsvqnc9sORLf6wAwjrJq6WdMsP73+KUQPB8dFoDzAzKTuxIjHd4wk/ehOqjmuDXkeZUWUO0SoOSSf+9zaiIKJfHk78fTo2PLVILR8LBcREHKMOkqfEvI2ZAzyU8ZbTfQCUuPuA+tP9Rg8qwbyHs3oB9PMOFyV6rcA+K3O73hOwig2phvHz5FsOBK8Um8U8pnj7FwdNVykTG9IuJ4k0abryk4O0DfiJKBwIgjVQMRAgMBAAGjggMyMIIDLjA8BgkrBgEEAYI3FQcELzAtBiUrBgEEAYI3FQjmsmCDjfVEhoGZCYO4oUqDvoRxBIPEkTOEg4hdAgFkAgEjMB0GA1UdJQQWMBQGCCsGAQUFBwMCBggrBgEFBQcDBDALBgNVHQ8EBAMCB4AwJwYJKwYBBAGCNxUKBBowGDAKBggrBgEFBQcDAjAKBggrBgEFBQcDBDAdBgNVHQ4EFgQUMdNFy5GzIzAwJEakNbOCs8N27Hs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J3ihD8LaacrVnsHjHrRYobo+5IAtEEzQzFEVXymIXShx9rOvpyiubjqjWnNFH8PRthCx4f7ygT9RAkjY5o3nLnjZVsapunkubFkpqGnrXzqwqroDAC7r90eMNsyZZbpWwUAFD5Y6e9Sx/++lfOp6FkHoX2cwS+fXDYT9ZOuFZc5eCAG18vr3mrn64cUob3He7gjGkGnx1vkjtzp+0V213dqtFVjGxQjZQz7Add8GCNFg3KnFW91Ihrd2rI4w32xavXu5cZU+FimHpvnBUBqDYy/vN/jn7BAu2CRdrjwCDvgun6l1dr89IojTity3ldh8BPlzQhjBCLULzK/lgMkif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Nk0Y3qO1MoXKSXpBzljfyGCWTY7JXtt2cdVJo6p/tQw=</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S9Shbx/WLxct+XdbJLoy+21QXq0uliQl+Jr339wPZe8=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Xyyl6JAn2k3FeWNsfnEMFm6ceWInGICPL0p/6a6Dkc4=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mnpi9eBsCRSPB7UCBnZpBlJUM/Y1BsNEt1BSjFl/W+c=</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gr+YulVqyxJmtCvVGqOr7TLdCaYWqpyNUVsu9jjGET8=</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8l87uJHZs9blKxSjRrCgm5Qepcj4KYt0XeEPDE8QrEY=</DigestValue>
      </Reference>
      <Reference URI="/xl/styles.xml?ContentType=application/vnd.openxmlformats-officedocument.spreadsheetml.styles+xml">
        <DigestMethod Algorithm="http://www.w3.org/2001/04/xmlenc#sha256"/>
        <DigestValue>A7m2V4geUoTnMxuuTHM3aFpz6j/eBNy8s48YP5aC9Pk=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+Wtx1DgjZpc8pZDpaOCV/jkNvzeuoANthSieVZu7U88=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BxYDmQ9cRpBlpnHPruyD4U4oagD+W5VqdP5BPawIYWA=</DigestValue>
      </Reference>
      <Reference URI="/xl/worksheets/sheet10.xml?ContentType=application/vnd.openxmlformats-officedocument.spreadsheetml.worksheet+xml">
        <DigestMethod Algorithm="http://www.w3.org/2001/04/xmlenc#sha256"/>
        <DigestValue>G0rmQGd3SDqkVDLgrM5fX4kgD8kQ0xt5Tu4ixJcD9hY=</DigestValue>
      </Reference>
      <Reference URI="/xl/worksheets/sheet11.xml?ContentType=application/vnd.openxmlformats-officedocument.spreadsheetml.worksheet+xml">
        <DigestMethod Algorithm="http://www.w3.org/2001/04/xmlenc#sha256"/>
        <DigestValue>/9QWJ5NEskT11DT3qtI1yo4WCBR3zdrJycrG9QPdF0g=</DigestValue>
      </Reference>
      <Reference URI="/xl/worksheets/sheet12.xml?ContentType=application/vnd.openxmlformats-officedocument.spreadsheetml.worksheet+xml">
        <DigestMethod Algorithm="http://www.w3.org/2001/04/xmlenc#sha256"/>
        <DigestValue>HGEMsVVrP9t311fam7MjAb76oCsp552MuBhr70ti4uE=</DigestValue>
      </Reference>
      <Reference URI="/xl/worksheets/sheet13.xml?ContentType=application/vnd.openxmlformats-officedocument.spreadsheetml.worksheet+xml">
        <DigestMethod Algorithm="http://www.w3.org/2001/04/xmlenc#sha256"/>
        <DigestValue>IImqwlvR7DqYcg7eR7C5qHrndIHfiPZ03xzJ1cOpMB4=</DigestValue>
      </Reference>
      <Reference URI="/xl/worksheets/sheet14.xml?ContentType=application/vnd.openxmlformats-officedocument.spreadsheetml.worksheet+xml">
        <DigestMethod Algorithm="http://www.w3.org/2001/04/xmlenc#sha256"/>
        <DigestValue>XI/OLZWZaBHCLYnsQSU4oAE6aa/1wdxa5nk3SR7KWrs=</DigestValue>
      </Reference>
      <Reference URI="/xl/worksheets/sheet15.xml?ContentType=application/vnd.openxmlformats-officedocument.spreadsheetml.worksheet+xml">
        <DigestMethod Algorithm="http://www.w3.org/2001/04/xmlenc#sha256"/>
        <DigestValue>gql7BaL9m67AnWMY22bhL1fyx5UDCCEXkTN6X3ArpZw=</DigestValue>
      </Reference>
      <Reference URI="/xl/worksheets/sheet16.xml?ContentType=application/vnd.openxmlformats-officedocument.spreadsheetml.worksheet+xml">
        <DigestMethod Algorithm="http://www.w3.org/2001/04/xmlenc#sha256"/>
        <DigestValue>bqEgiLkOV7ipOe/9XypbksqgVUMxjX5ghgwiSvXY4P8=</DigestValue>
      </Reference>
      <Reference URI="/xl/worksheets/sheet17.xml?ContentType=application/vnd.openxmlformats-officedocument.spreadsheetml.worksheet+xml">
        <DigestMethod Algorithm="http://www.w3.org/2001/04/xmlenc#sha256"/>
        <DigestValue>vyNf9M+WpMfnW6lp+1gOyhEtLOdM5SfVkO7W2HqJTMI=</DigestValue>
      </Reference>
      <Reference URI="/xl/worksheets/sheet18.xml?ContentType=application/vnd.openxmlformats-officedocument.spreadsheetml.worksheet+xml">
        <DigestMethod Algorithm="http://www.w3.org/2001/04/xmlenc#sha256"/>
        <DigestValue>ZLMdsQ0YiSQgSF3vZJWzXunYfZnD0qPxmTTCEXd1+d0=</DigestValue>
      </Reference>
      <Reference URI="/xl/worksheets/sheet19.xml?ContentType=application/vnd.openxmlformats-officedocument.spreadsheetml.worksheet+xml">
        <DigestMethod Algorithm="http://www.w3.org/2001/04/xmlenc#sha256"/>
        <DigestValue>BYZYvradsZWXWCD9zFAW6Omy63GvQsX+A3V0GQk1Tks=</DigestValue>
      </Reference>
      <Reference URI="/xl/worksheets/sheet2.xml?ContentType=application/vnd.openxmlformats-officedocument.spreadsheetml.worksheet+xml">
        <DigestMethod Algorithm="http://www.w3.org/2001/04/xmlenc#sha256"/>
        <DigestValue>we86oqLWozD3c5v/fQZg26jdtN6yN3o8bMhDTfn0N1U=</DigestValue>
      </Reference>
      <Reference URI="/xl/worksheets/sheet20.xml?ContentType=application/vnd.openxmlformats-officedocument.spreadsheetml.worksheet+xml">
        <DigestMethod Algorithm="http://www.w3.org/2001/04/xmlenc#sha256"/>
        <DigestValue>TGZqWEtWn299/V4ciWhM/YfXdpaiKgDdbV3uSmq68hQ=</DigestValue>
      </Reference>
      <Reference URI="/xl/worksheets/sheet21.xml?ContentType=application/vnd.openxmlformats-officedocument.spreadsheetml.worksheet+xml">
        <DigestMethod Algorithm="http://www.w3.org/2001/04/xmlenc#sha256"/>
        <DigestValue>N38zDSr0ERoEntELXKFlunnhHHd9hTRJKq7hNI+UPHs=</DigestValue>
      </Reference>
      <Reference URI="/xl/worksheets/sheet22.xml?ContentType=application/vnd.openxmlformats-officedocument.spreadsheetml.worksheet+xml">
        <DigestMethod Algorithm="http://www.w3.org/2001/04/xmlenc#sha256"/>
        <DigestValue>lemilYEb41ulWQPQzXVUiECE0bzKlwSPNAnmYQGxOms=</DigestValue>
      </Reference>
      <Reference URI="/xl/worksheets/sheet23.xml?ContentType=application/vnd.openxmlformats-officedocument.spreadsheetml.worksheet+xml">
        <DigestMethod Algorithm="http://www.w3.org/2001/04/xmlenc#sha256"/>
        <DigestValue>1NHVzRrYqBsW0YWwoAEOqOiMqOYTyGDj+diTdi4zRDw=</DigestValue>
      </Reference>
      <Reference URI="/xl/worksheets/sheet24.xml?ContentType=application/vnd.openxmlformats-officedocument.spreadsheetml.worksheet+xml">
        <DigestMethod Algorithm="http://www.w3.org/2001/04/xmlenc#sha256"/>
        <DigestValue>ZDQsDz/kdy4A+b1vulkGen5td4PaBcPq6BwxIcetbO8=</DigestValue>
      </Reference>
      <Reference URI="/xl/worksheets/sheet25.xml?ContentType=application/vnd.openxmlformats-officedocument.spreadsheetml.worksheet+xml">
        <DigestMethod Algorithm="http://www.w3.org/2001/04/xmlenc#sha256"/>
        <DigestValue>EPmjnAeODtmQkIS1O5l/yR/2iIx9oyz6Iw/W+vuV7OQ=</DigestValue>
      </Reference>
      <Reference URI="/xl/worksheets/sheet26.xml?ContentType=application/vnd.openxmlformats-officedocument.spreadsheetml.worksheet+xml">
        <DigestMethod Algorithm="http://www.w3.org/2001/04/xmlenc#sha256"/>
        <DigestValue>qtsZsIA+bm/W86lsOtOo/jbXkFGclNEYNG+E/mZm+hg=</DigestValue>
      </Reference>
      <Reference URI="/xl/worksheets/sheet27.xml?ContentType=application/vnd.openxmlformats-officedocument.spreadsheetml.worksheet+xml">
        <DigestMethod Algorithm="http://www.w3.org/2001/04/xmlenc#sha256"/>
        <DigestValue>KT1njg5aJJ0Jh1X6W4WIITNcLTfH7YZOLF1jK1Z/La8=</DigestValue>
      </Reference>
      <Reference URI="/xl/worksheets/sheet28.xml?ContentType=application/vnd.openxmlformats-officedocument.spreadsheetml.worksheet+xml">
        <DigestMethod Algorithm="http://www.w3.org/2001/04/xmlenc#sha256"/>
        <DigestValue>Poyl96Uer/Q/udwCX9JMmemcSdDxSAck+m4ZljXZ//U=</DigestValue>
      </Reference>
      <Reference URI="/xl/worksheets/sheet29.xml?ContentType=application/vnd.openxmlformats-officedocument.spreadsheetml.worksheet+xml">
        <DigestMethod Algorithm="http://www.w3.org/2001/04/xmlenc#sha256"/>
        <DigestValue>n0a+2YjfQyPrJ60Fa/3L+VCQ5lCvk+SqpXbbLmlux/8=</DigestValue>
      </Reference>
      <Reference URI="/xl/worksheets/sheet3.xml?ContentType=application/vnd.openxmlformats-officedocument.spreadsheetml.worksheet+xml">
        <DigestMethod Algorithm="http://www.w3.org/2001/04/xmlenc#sha256"/>
        <DigestValue>qGRZC5eCU60ignpaRP/tMYdzrHdBJ2Gaua2u9KmjAcc=</DigestValue>
      </Reference>
      <Reference URI="/xl/worksheets/sheet30.xml?ContentType=application/vnd.openxmlformats-officedocument.spreadsheetml.worksheet+xml">
        <DigestMethod Algorithm="http://www.w3.org/2001/04/xmlenc#sha256"/>
        <DigestValue>4u40rPisD61a7jqXq1jEeTSpiFtiMDSeqokhfNps4xk=</DigestValue>
      </Reference>
      <Reference URI="/xl/worksheets/sheet31.xml?ContentType=application/vnd.openxmlformats-officedocument.spreadsheetml.worksheet+xml">
        <DigestMethod Algorithm="http://www.w3.org/2001/04/xmlenc#sha256"/>
        <DigestValue>Opp902RzBPSxzwBfWyis4nXCAXkNHTd6DGJe3Wl5uzU=</DigestValue>
      </Reference>
      <Reference URI="/xl/worksheets/sheet32.xml?ContentType=application/vnd.openxmlformats-officedocument.spreadsheetml.worksheet+xml">
        <DigestMethod Algorithm="http://www.w3.org/2001/04/xmlenc#sha256"/>
        <DigestValue>x6sybQEuiZdACtZoH8bxbKsS/HCI3E7AXubSUkMivm4=</DigestValue>
      </Reference>
      <Reference URI="/xl/worksheets/sheet33.xml?ContentType=application/vnd.openxmlformats-officedocument.spreadsheetml.worksheet+xml">
        <DigestMethod Algorithm="http://www.w3.org/2001/04/xmlenc#sha256"/>
        <DigestValue>GpiQh4GrJWtBd5QcTFQepqUvHNwkKQMG8/5gOG2j1Jg=</DigestValue>
      </Reference>
      <Reference URI="/xl/worksheets/sheet4.xml?ContentType=application/vnd.openxmlformats-officedocument.spreadsheetml.worksheet+xml">
        <DigestMethod Algorithm="http://www.w3.org/2001/04/xmlenc#sha256"/>
        <DigestValue>L3/7sr0jh1uGJon2U6P3c4p4cowgN4fUKZIYUShDfGM=</DigestValue>
      </Reference>
      <Reference URI="/xl/worksheets/sheet5.xml?ContentType=application/vnd.openxmlformats-officedocument.spreadsheetml.worksheet+xml">
        <DigestMethod Algorithm="http://www.w3.org/2001/04/xmlenc#sha256"/>
        <DigestValue>GkgtciuIRnewGRkb5oLxI05I08zkYSwXqDjKVabxnzE=</DigestValue>
      </Reference>
      <Reference URI="/xl/worksheets/sheet6.xml?ContentType=application/vnd.openxmlformats-officedocument.spreadsheetml.worksheet+xml">
        <DigestMethod Algorithm="http://www.w3.org/2001/04/xmlenc#sha256"/>
        <DigestValue>yq3D5zFJ2EUWNcQzHpMp5BeSgonXw2uwWtO28H9zZqs=</DigestValue>
      </Reference>
      <Reference URI="/xl/worksheets/sheet7.xml?ContentType=application/vnd.openxmlformats-officedocument.spreadsheetml.worksheet+xml">
        <DigestMethod Algorithm="http://www.w3.org/2001/04/xmlenc#sha256"/>
        <DigestValue>QoS45BiR5keuiRd0/VlmJT26/5SCwKm78rwUamIudbk=</DigestValue>
      </Reference>
      <Reference URI="/xl/worksheets/sheet8.xml?ContentType=application/vnd.openxmlformats-officedocument.spreadsheetml.worksheet+xml">
        <DigestMethod Algorithm="http://www.w3.org/2001/04/xmlenc#sha256"/>
        <DigestValue>hvqz6plzZFMMUqcBvtaBp7ywP+uesb5OJKUmPDQUitM=</DigestValue>
      </Reference>
      <Reference URI="/xl/worksheets/sheet9.xml?ContentType=application/vnd.openxmlformats-officedocument.spreadsheetml.worksheet+xml">
        <DigestMethod Algorithm="http://www.w3.org/2001/04/xmlenc#sha256"/>
        <DigestValue>ATgxsfvUPEW8kyNUXCzd9DgRq5EUHqGJ+oc2VhbAS8E=</DigestValue>
      </Reference>
    </Manifest>
    <SignatureProperties>
      <SignatureProperty Id="idSignatureTime" Target="#idPackageSignature">
        <mdssi:SignatureTime xmlns:mdssi="http://schemas.openxmlformats.org/package/2006/digital-signature">
          <mdssi:Format>YYYY-MM-DDThh:mm:ssTZD</mdssi:Format>
          <mdssi:Value>2026-05-11T14:16:06Z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aaaa</SignatureComments>
          <WindowsVersion>10.0</WindowsVersion>
          <OfficeVersion>16.0.19929/27</OfficeVersion>
          <ApplicationVersion>16.0.19929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2026-05-11T14:16:06Z</xd:SigningTime>
          <xd:SigningCertificate>
            <xd:Cert>
              <xd:CertDigest>
                <DigestMethod Algorithm="http://www.w3.org/2001/04/xmlenc#sha256"/>
                <DigestValue>bU55H9dcBqi3ttBbYMli7D2XBNW2C5FpDZHhp0iA0fQ=</DigestValue>
              </xd:CertDigest>
              <xd:IssuerSerial>
                <X509IssuerName>CN=NBG Class 2 INT Sub CA, DC=nbg, DC=ge</X509IssuerName>
                <X509SerialNumber>186776948550523162888433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Qualifiers>
              <xd:CommitmentTypeQualifier>aaaa</xd:CommitmentTypeQualifier>
            </xd:CommitmentTypeQualifiers>
          </xd:CommitmentTypeIndication>
        </xd:SignedDataObject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cZgn7nI9h+Ov+B2SjHnvUW2lTNO9oK5+wLkjm7+0hqk=</DigestValue>
    </Reference>
    <Reference Type="http://www.w3.org/2000/09/xmldsig#Object" URI="#idOfficeObject">
      <DigestMethod Algorithm="http://www.w3.org/2001/04/xmlenc#sha256"/>
      <DigestValue>yze0DbHoS0+H3jOasK83mBR9QCJn6yxS2gRI94fmPQs=</DigestValue>
    </Reference>
    <Reference Type="http://uri.etsi.org/01903#SignedProperties" URI="#idSignedProperties">
      <Transforms>
        <Transform Algorithm="http://www.w3.org/TR/2001/REC-xml-c14n-20010315"/>
      </Transforms>
      <DigestMethod Algorithm="http://www.w3.org/2001/04/xmlenc#sha256"/>
      <DigestValue>4q5fIx0cfiRM9YDhM8XCCnD+//xfdp8nCO64iZRhZo8=</DigestValue>
    </Reference>
  </SignedInfo>
  <SignatureValue>PEut9ed/0V4TLmT2bghic5yoZlnOlezqarffKYho0U+PSWEBlHDX1cfv6aMfcPekdOUVi60lFPI6
hqkK1V7CYJXe2amtzSkmOiREwAnlvdeXWlDk/2ep7pJb/U25Kq9BybdCO4p0duLIyhOZ9KsYHvnN
JLQGZA/xHF+8RB/s37ULNuUpAWkkl6gbEt7sv8utXC41lX0w6T4hjnkCIrkS5FuzssxXawCSVnsz
6GyUNMRK4ZeBtpLGaNDVIibb9lAAaAjbG3XXSwRUOsKyUTPI1aSVOBuDj1xXA4nKlG8ngSTID6As
GeJ+QRJem8ZdcxPGQrcflvKBLiiqN3/KJZZgVQ==</SignatureValue>
  <KeyInfo>
    <X509Data>
      <X509Certificate>MIIGPjCCBSagAwIBAgIKJ3JJaAAEAAKI8DANBgkqhkiG9w0BAQsFADBKMRIwEAYKCZImiZPyLGQBGRYCZ2UxEzARBgoJkiaJk/IsZAEZFgNuYmcxHzAdBgNVBAMTFk5CRyBDbGFzcyAyIElOVCBTdWIgQ0EwHhcNMjUwNjMwMDcwNTI0WhcNMjcwNjMwMDcwNTI0WjA8MRcwFQYDVQQKEw5KU0MgQ3JlZG8gQmFuazEhMB8GA1UEAxMYQkNEIC0gRXJla2xlIFphdGlhc2h2aWxpMIIBIjANBgkqhkiG9w0BAQEFAAOCAQ8AMIIBCgKCAQEA45GSJSX5XVSnf7fyLnbR9YHGUbwE3pC0CZ1t6xWXnVPHQxewtNSfXrj/GpL6eGyUOsZvc651RVi8p0i6blXuPvbI2qHF7n/jRhoZizXHrd8tzM/oaXIkgIVzFiRL3zyXihQi0VSOrz82mef0bV9jzTJdnKItiLcob8S+qZ2xIgBLDSf1ojGhz7SeB1xxEePOS561Go6s+ahrJwP9uw/s0jUQM7WxMtQN5wKJjiBYUhmM2kEiXYHVtekvAfBsAnJpcyABc/kg/4xgIpln5BbaNNb2u8sAxNtCqXX/9U6nMCqwedqD4gXd8/eyHPne9qQq0d9FmrNNnEaG+e0b51X0RwIDAQABo4IDMjCCAy4wPAYJKwYBBAGCNxUHBC8wLQYlKwYBBAGCNxUI5rJgg431RIaBmQmDuKFKg76EcQSDxJEzhIOIXQIBZAIBIzAdBgNVHSUEFjAUBggrBgEFBQcDAgYIKwYBBQUHAwQwCwYDVR0PBAQDAgeAMCcGCSsGAQQBgjcVCgQaMBgwCgYIKwYBBQUHAwIwCgYIKwYBBQUHAwQwHQYDVR0OBBYEFJNIFQVzutRSv2LCzcizQy9x8tz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CDupBcsiReXJd6sxEhqCzqGB9pdjIsuuZYLLLseiVD0r1bfMg8g5c/EHMMP0ejeQi2MKQGPq0zG/1qDYNxJu1t/d6ALuqLW0CHiX58/jpTiX+Op6nIPI56b8va3wceRTcfOlVnbhz85UL31//oH2V+LKgGKMcIE/NVepgtQsz2plyGmtTzAtirmVmbYBk1ulUBW0xwugNPDu5vHCeLSEteN4eAcbKEU35Zjtdo4LImxka7r3K1xKGrmWnJw85V73WMRlatIekR+B9j0ZrUks50k785oza/1YE3s12bVdTCvimr3u5gFZ4pYAk9PVvxRVxz6CQLbbhDtOfKm6PYJ0c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OQ7Zn+wvRnmzXFJ7q8p/FIFCfFVXGJf7ZRQPH7GpZQ4=</DigestValue>
      </Reference>
      <Reference URI="/xl/calcChain.xml?ContentType=application/vnd.openxmlformats-officedocument.spreadsheetml.calcChain+xml">
        <DigestMethod Algorithm="http://www.w3.org/2001/04/xmlenc#sha256"/>
        <DigestValue>Nk0Y3qO1MoXKSXpBzljfyGCWTY7JXtt2cdVJo6p/tQw=</DigestValue>
      </Reference>
      <Reference URI="/xl/comments1.xml?ContentType=application/vnd.openxmlformats-officedocument.spreadsheetml.comments+xml">
        <DigestMethod Algorithm="http://www.w3.org/2001/04/xmlenc#sha256"/>
        <DigestValue>D1ZJOUA+rSHcom9m3ySIHuX7CboEvAibeubIv/6JwCs=</DigestValue>
      </Reference>
      <Reference URI="/xl/drawings/drawing1.xml?ContentType=application/vnd.openxmlformats-officedocument.drawing+xml">
        <DigestMethod Algorithm="http://www.w3.org/2001/04/xmlenc#sha256"/>
        <DigestValue>R1LJm+AhlNP5akpTq67x0rdMG+aWVkGYuvUF1YgTbNw=</DigestValue>
      </Reference>
      <Reference URI="/xl/drawings/vmlDrawing1.vml?ContentType=application/vnd.openxmlformats-officedocument.vmlDrawing">
        <DigestMethod Algorithm="http://www.w3.org/2001/04/xmlenc#sha256"/>
        <DigestValue>YeLyGFrTmqzQHUQPgxynTn9Z43LkZGu7npeFJV2FrEk=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S9Shbx/WLxct+XdbJLoy+21QXq0uliQl+Jr339wPZe8=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Xyyl6JAn2k3FeWNsfnEMFm6ceWInGICPL0p/6a6Dkc4=</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mnpi9eBsCRSPB7UCBnZpBlJUM/Y1BsNEt1BSjFl/W+c=</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gr+YulVqyxJmtCvVGqOr7TLdCaYWqpyNUVsu9jjGET8=</DigestValue>
      </Reference>
      <Reference URI="/xl/externalLinks/externalLink4.xml?ContentType=application/vnd.openxmlformats-officedocument.spreadsheetml.externalLink+xml">
        <DigestMethod Algorithm="http://www.w3.org/2001/04/xmlenc#sha256"/>
        <DigestValue>53YeaXFcHe3Q2aue/NluwglauvPXuBIS+ctAZfjkc54=</DigestValue>
      </Reference>
      <Reference URI="/xl/externalLinks/externalLink5.xml?ContentType=application/vnd.openxmlformats-officedocument.spreadsheetml.externalLink+xml">
        <DigestMethod Algorithm="http://www.w3.org/2001/04/xmlenc#sha256"/>
        <DigestValue>1Nr1IxEr6T1RXXysaETfk+2TFlZO07TpouaBU4+ti+4=</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yMi8stU5bqFShuh1MUNAff1/atoh6+i0/ROVy9FQsKk=</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ar6hk/aRBhJ3Q7h1Xd48HWTe7Gl3RUqECzD058YGBrM=</DigestValue>
      </Reference>
      <Reference URI="/xl/printerSettings/printerSettings17.bin?ContentType=application/vnd.openxmlformats-officedocument.spreadsheetml.printerSettings">
        <DigestMethod Algorithm="http://www.w3.org/2001/04/xmlenc#sha256"/>
        <DigestValue>ze+MZOtihPj9dKeV/Dz5QESpeY6Fdwmnkxhrh69STxA=</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iE26OokMEnQMYiWgMfFhVXzSbn0Dmk333xx6Y+G1iUw=</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EKGprfHc+H/gyzRZZBHrFfPlu2WlrJ3b9VoWeQJrTNM=</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nkR1lu9OLM1UMxWiPa7wm3YcnQOlFOICy95qYiodDz0=</DigestValue>
      </Reference>
      <Reference URI="/xl/sharedStrings.xml?ContentType=application/vnd.openxmlformats-officedocument.spreadsheetml.sharedStrings+xml">
        <DigestMethod Algorithm="http://www.w3.org/2001/04/xmlenc#sha256"/>
        <DigestValue>8l87uJHZs9blKxSjRrCgm5Qepcj4KYt0XeEPDE8QrEY=</DigestValue>
      </Reference>
      <Reference URI="/xl/styles.xml?ContentType=application/vnd.openxmlformats-officedocument.spreadsheetml.styles+xml">
        <DigestMethod Algorithm="http://www.w3.org/2001/04/xmlenc#sha256"/>
        <DigestValue>A7m2V4geUoTnMxuuTHM3aFpz6j/eBNy8s48YP5aC9Pk=</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+Wtx1DgjZpc8pZDpaOCV/jkNvzeuoANthSieVZu7U88=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uBCsLoCeDaoZuHLizZacnRXpOOOOxk0iSLefQ5jFwpo=</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nZKw4hKw2+3pXeBTsC/ZBicbgnGu7zTAAE186sjLnDw=</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BxYDmQ9cRpBlpnHPruyD4U4oagD+W5VqdP5BPawIYWA=</DigestValue>
      </Reference>
      <Reference URI="/xl/worksheets/sheet10.xml?ContentType=application/vnd.openxmlformats-officedocument.spreadsheetml.worksheet+xml">
        <DigestMethod Algorithm="http://www.w3.org/2001/04/xmlenc#sha256"/>
        <DigestValue>G0rmQGd3SDqkVDLgrM5fX4kgD8kQ0xt5Tu4ixJcD9hY=</DigestValue>
      </Reference>
      <Reference URI="/xl/worksheets/sheet11.xml?ContentType=application/vnd.openxmlformats-officedocument.spreadsheetml.worksheet+xml">
        <DigestMethod Algorithm="http://www.w3.org/2001/04/xmlenc#sha256"/>
        <DigestValue>/9QWJ5NEskT11DT3qtI1yo4WCBR3zdrJycrG9QPdF0g=</DigestValue>
      </Reference>
      <Reference URI="/xl/worksheets/sheet12.xml?ContentType=application/vnd.openxmlformats-officedocument.spreadsheetml.worksheet+xml">
        <DigestMethod Algorithm="http://www.w3.org/2001/04/xmlenc#sha256"/>
        <DigestValue>HGEMsVVrP9t311fam7MjAb76oCsp552MuBhr70ti4uE=</DigestValue>
      </Reference>
      <Reference URI="/xl/worksheets/sheet13.xml?ContentType=application/vnd.openxmlformats-officedocument.spreadsheetml.worksheet+xml">
        <DigestMethod Algorithm="http://www.w3.org/2001/04/xmlenc#sha256"/>
        <DigestValue>IImqwlvR7DqYcg7eR7C5qHrndIHfiPZ03xzJ1cOpMB4=</DigestValue>
      </Reference>
      <Reference URI="/xl/worksheets/sheet14.xml?ContentType=application/vnd.openxmlformats-officedocument.spreadsheetml.worksheet+xml">
        <DigestMethod Algorithm="http://www.w3.org/2001/04/xmlenc#sha256"/>
        <DigestValue>XI/OLZWZaBHCLYnsQSU4oAE6aa/1wdxa5nk3SR7KWrs=</DigestValue>
      </Reference>
      <Reference URI="/xl/worksheets/sheet15.xml?ContentType=application/vnd.openxmlformats-officedocument.spreadsheetml.worksheet+xml">
        <DigestMethod Algorithm="http://www.w3.org/2001/04/xmlenc#sha256"/>
        <DigestValue>gql7BaL9m67AnWMY22bhL1fyx5UDCCEXkTN6X3ArpZw=</DigestValue>
      </Reference>
      <Reference URI="/xl/worksheets/sheet16.xml?ContentType=application/vnd.openxmlformats-officedocument.spreadsheetml.worksheet+xml">
        <DigestMethod Algorithm="http://www.w3.org/2001/04/xmlenc#sha256"/>
        <DigestValue>bqEgiLkOV7ipOe/9XypbksqgVUMxjX5ghgwiSvXY4P8=</DigestValue>
      </Reference>
      <Reference URI="/xl/worksheets/sheet17.xml?ContentType=application/vnd.openxmlformats-officedocument.spreadsheetml.worksheet+xml">
        <DigestMethod Algorithm="http://www.w3.org/2001/04/xmlenc#sha256"/>
        <DigestValue>vyNf9M+WpMfnW6lp+1gOyhEtLOdM5SfVkO7W2HqJTMI=</DigestValue>
      </Reference>
      <Reference URI="/xl/worksheets/sheet18.xml?ContentType=application/vnd.openxmlformats-officedocument.spreadsheetml.worksheet+xml">
        <DigestMethod Algorithm="http://www.w3.org/2001/04/xmlenc#sha256"/>
        <DigestValue>ZLMdsQ0YiSQgSF3vZJWzXunYfZnD0qPxmTTCEXd1+d0=</DigestValue>
      </Reference>
      <Reference URI="/xl/worksheets/sheet19.xml?ContentType=application/vnd.openxmlformats-officedocument.spreadsheetml.worksheet+xml">
        <DigestMethod Algorithm="http://www.w3.org/2001/04/xmlenc#sha256"/>
        <DigestValue>BYZYvradsZWXWCD9zFAW6Omy63GvQsX+A3V0GQk1Tks=</DigestValue>
      </Reference>
      <Reference URI="/xl/worksheets/sheet2.xml?ContentType=application/vnd.openxmlformats-officedocument.spreadsheetml.worksheet+xml">
        <DigestMethod Algorithm="http://www.w3.org/2001/04/xmlenc#sha256"/>
        <DigestValue>we86oqLWozD3c5v/fQZg26jdtN6yN3o8bMhDTfn0N1U=</DigestValue>
      </Reference>
      <Reference URI="/xl/worksheets/sheet20.xml?ContentType=application/vnd.openxmlformats-officedocument.spreadsheetml.worksheet+xml">
        <DigestMethod Algorithm="http://www.w3.org/2001/04/xmlenc#sha256"/>
        <DigestValue>TGZqWEtWn299/V4ciWhM/YfXdpaiKgDdbV3uSmq68hQ=</DigestValue>
      </Reference>
      <Reference URI="/xl/worksheets/sheet21.xml?ContentType=application/vnd.openxmlformats-officedocument.spreadsheetml.worksheet+xml">
        <DigestMethod Algorithm="http://www.w3.org/2001/04/xmlenc#sha256"/>
        <DigestValue>N38zDSr0ERoEntELXKFlunnhHHd9hTRJKq7hNI+UPHs=</DigestValue>
      </Reference>
      <Reference URI="/xl/worksheets/sheet22.xml?ContentType=application/vnd.openxmlformats-officedocument.spreadsheetml.worksheet+xml">
        <DigestMethod Algorithm="http://www.w3.org/2001/04/xmlenc#sha256"/>
        <DigestValue>lemilYEb41ulWQPQzXVUiECE0bzKlwSPNAnmYQGxOms=</DigestValue>
      </Reference>
      <Reference URI="/xl/worksheets/sheet23.xml?ContentType=application/vnd.openxmlformats-officedocument.spreadsheetml.worksheet+xml">
        <DigestMethod Algorithm="http://www.w3.org/2001/04/xmlenc#sha256"/>
        <DigestValue>1NHVzRrYqBsW0YWwoAEOqOiMqOYTyGDj+diTdi4zRDw=</DigestValue>
      </Reference>
      <Reference URI="/xl/worksheets/sheet24.xml?ContentType=application/vnd.openxmlformats-officedocument.spreadsheetml.worksheet+xml">
        <DigestMethod Algorithm="http://www.w3.org/2001/04/xmlenc#sha256"/>
        <DigestValue>ZDQsDz/kdy4A+b1vulkGen5td4PaBcPq6BwxIcetbO8=</DigestValue>
      </Reference>
      <Reference URI="/xl/worksheets/sheet25.xml?ContentType=application/vnd.openxmlformats-officedocument.spreadsheetml.worksheet+xml">
        <DigestMethod Algorithm="http://www.w3.org/2001/04/xmlenc#sha256"/>
        <DigestValue>EPmjnAeODtmQkIS1O5l/yR/2iIx9oyz6Iw/W+vuV7OQ=</DigestValue>
      </Reference>
      <Reference URI="/xl/worksheets/sheet26.xml?ContentType=application/vnd.openxmlformats-officedocument.spreadsheetml.worksheet+xml">
        <DigestMethod Algorithm="http://www.w3.org/2001/04/xmlenc#sha256"/>
        <DigestValue>qtsZsIA+bm/W86lsOtOo/jbXkFGclNEYNG+E/mZm+hg=</DigestValue>
      </Reference>
      <Reference URI="/xl/worksheets/sheet27.xml?ContentType=application/vnd.openxmlformats-officedocument.spreadsheetml.worksheet+xml">
        <DigestMethod Algorithm="http://www.w3.org/2001/04/xmlenc#sha256"/>
        <DigestValue>KT1njg5aJJ0Jh1X6W4WIITNcLTfH7YZOLF1jK1Z/La8=</DigestValue>
      </Reference>
      <Reference URI="/xl/worksheets/sheet28.xml?ContentType=application/vnd.openxmlformats-officedocument.spreadsheetml.worksheet+xml">
        <DigestMethod Algorithm="http://www.w3.org/2001/04/xmlenc#sha256"/>
        <DigestValue>Poyl96Uer/Q/udwCX9JMmemcSdDxSAck+m4ZljXZ//U=</DigestValue>
      </Reference>
      <Reference URI="/xl/worksheets/sheet29.xml?ContentType=application/vnd.openxmlformats-officedocument.spreadsheetml.worksheet+xml">
        <DigestMethod Algorithm="http://www.w3.org/2001/04/xmlenc#sha256"/>
        <DigestValue>n0a+2YjfQyPrJ60Fa/3L+VCQ5lCvk+SqpXbbLmlux/8=</DigestValue>
      </Reference>
      <Reference URI="/xl/worksheets/sheet3.xml?ContentType=application/vnd.openxmlformats-officedocument.spreadsheetml.worksheet+xml">
        <DigestMethod Algorithm="http://www.w3.org/2001/04/xmlenc#sha256"/>
        <DigestValue>qGRZC5eCU60ignpaRP/tMYdzrHdBJ2Gaua2u9KmjAcc=</DigestValue>
      </Reference>
      <Reference URI="/xl/worksheets/sheet30.xml?ContentType=application/vnd.openxmlformats-officedocument.spreadsheetml.worksheet+xml">
        <DigestMethod Algorithm="http://www.w3.org/2001/04/xmlenc#sha256"/>
        <DigestValue>4u40rPisD61a7jqXq1jEeTSpiFtiMDSeqokhfNps4xk=</DigestValue>
      </Reference>
      <Reference URI="/xl/worksheets/sheet31.xml?ContentType=application/vnd.openxmlformats-officedocument.spreadsheetml.worksheet+xml">
        <DigestMethod Algorithm="http://www.w3.org/2001/04/xmlenc#sha256"/>
        <DigestValue>Opp902RzBPSxzwBfWyis4nXCAXkNHTd6DGJe3Wl5uzU=</DigestValue>
      </Reference>
      <Reference URI="/xl/worksheets/sheet32.xml?ContentType=application/vnd.openxmlformats-officedocument.spreadsheetml.worksheet+xml">
        <DigestMethod Algorithm="http://www.w3.org/2001/04/xmlenc#sha256"/>
        <DigestValue>x6sybQEuiZdACtZoH8bxbKsS/HCI3E7AXubSUkMivm4=</DigestValue>
      </Reference>
      <Reference URI="/xl/worksheets/sheet33.xml?ContentType=application/vnd.openxmlformats-officedocument.spreadsheetml.worksheet+xml">
        <DigestMethod Algorithm="http://www.w3.org/2001/04/xmlenc#sha256"/>
        <DigestValue>GpiQh4GrJWtBd5QcTFQepqUvHNwkKQMG8/5gOG2j1Jg=</DigestValue>
      </Reference>
      <Reference URI="/xl/worksheets/sheet4.xml?ContentType=application/vnd.openxmlformats-officedocument.spreadsheetml.worksheet+xml">
        <DigestMethod Algorithm="http://www.w3.org/2001/04/xmlenc#sha256"/>
        <DigestValue>L3/7sr0jh1uGJon2U6P3c4p4cowgN4fUKZIYUShDfGM=</DigestValue>
      </Reference>
      <Reference URI="/xl/worksheets/sheet5.xml?ContentType=application/vnd.openxmlformats-officedocument.spreadsheetml.worksheet+xml">
        <DigestMethod Algorithm="http://www.w3.org/2001/04/xmlenc#sha256"/>
        <DigestValue>GkgtciuIRnewGRkb5oLxI05I08zkYSwXqDjKVabxnzE=</DigestValue>
      </Reference>
      <Reference URI="/xl/worksheets/sheet6.xml?ContentType=application/vnd.openxmlformats-officedocument.spreadsheetml.worksheet+xml">
        <DigestMethod Algorithm="http://www.w3.org/2001/04/xmlenc#sha256"/>
        <DigestValue>yq3D5zFJ2EUWNcQzHpMp5BeSgonXw2uwWtO28H9zZqs=</DigestValue>
      </Reference>
      <Reference URI="/xl/worksheets/sheet7.xml?ContentType=application/vnd.openxmlformats-officedocument.spreadsheetml.worksheet+xml">
        <DigestMethod Algorithm="http://www.w3.org/2001/04/xmlenc#sha256"/>
        <DigestValue>QoS45BiR5keuiRd0/VlmJT26/5SCwKm78rwUamIudbk=</DigestValue>
      </Reference>
      <Reference URI="/xl/worksheets/sheet8.xml?ContentType=application/vnd.openxmlformats-officedocument.spreadsheetml.worksheet+xml">
        <DigestMethod Algorithm="http://www.w3.org/2001/04/xmlenc#sha256"/>
        <DigestValue>hvqz6plzZFMMUqcBvtaBp7ywP+uesb5OJKUmPDQUitM=</DigestValue>
      </Reference>
      <Reference URI="/xl/worksheets/sheet9.xml?ContentType=application/vnd.openxmlformats-officedocument.spreadsheetml.worksheet+xml">
        <DigestMethod Algorithm="http://www.w3.org/2001/04/xmlenc#sha256"/>
        <DigestValue>ATgxsfvUPEW8kyNUXCzd9DgRq5EUHqGJ+oc2VhbAS8E=</DigestValue>
      </Reference>
    </Manifest>
    <SignatureProperties>
      <SignatureProperty Id="idSignatureTime" Target="#idPackageSignature">
        <mdssi:SignatureTime xmlns:mdssi="http://schemas.openxmlformats.org/package/2006/digital-signature">
          <mdssi:Format>YYYY-MM-DDThh:mm:ssTZD</mdssi:Format>
          <mdssi:Value>2026-05-15T06:35:42Z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nbg reporting</SignatureComments>
          <WindowsVersion>10.0</WindowsVersion>
          <OfficeVersion>16.0.19929/27</OfficeVersion>
          <ApplicationVersion>16.0.19929</ApplicationVersion>
          <Monitors>1</Monitors>
          <HorizontalResolution>3840</HorizontalResolution>
          <VerticalResolution>2160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2026-05-15T06:35:42Z</xd:SigningTime>
          <xd:SigningCertificate>
            <xd:Cert>
              <xd:CertDigest>
                <DigestMethod Algorithm="http://www.w3.org/2001/04/xmlenc#sha256"/>
                <DigestValue>Q7Uepn9gkBAEvbbhMzOw/ABQnlA3wu/Avda6gvXjvFg=</DigestValue>
              </xd:CertDigest>
              <xd:IssuerSerial>
                <X509IssuerName>CN=NBG Class 2 INT Sub CA, DC=nbg, DC=ge</X509IssuerName>
                <X509SerialNumber>186280511134098578901232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nbg reporting</xd:CommitmentTypeQualifier>
            </xd:CommitmentTypeQualifiers>
          </xd:CommitmentTypeIndication>
        </xd:SignedDataObject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2026-05-09T10:50:44Z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