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24226"/>
  <xr:revisionPtr revIDLastSave="730" documentId="13_ncr:1_{E12D3F1A-62B9-4172-BDA6-FDE9D1BCC41C}" xr6:coauthVersionLast="47" xr6:coauthVersionMax="47" xr10:uidLastSave="{DB254697-806B-42A7-BF74-8F9AC9678C81}"/>
  <bookViews>
    <workbookView xWindow="-108" yWindow="-108" windowWidth="23256" windowHeight="12456"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 r:id="rId37"/>
    <externalReference r:id="rId38"/>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05" l="1"/>
  <c r="H7" i="102" l="1"/>
  <c r="H8" i="102"/>
  <c r="H9" i="102"/>
  <c r="H10" i="102"/>
  <c r="H11" i="102"/>
  <c r="H12" i="102"/>
  <c r="H13" i="102"/>
  <c r="H14" i="102"/>
  <c r="H15" i="102"/>
  <c r="H16" i="102"/>
  <c r="H17" i="102"/>
  <c r="H18" i="102"/>
  <c r="H19" i="102"/>
  <c r="H20" i="102"/>
  <c r="H21" i="102"/>
  <c r="H22" i="102"/>
  <c r="H23" i="102"/>
  <c r="H24" i="102"/>
  <c r="H25" i="102"/>
  <c r="H26" i="102"/>
  <c r="H27" i="102"/>
  <c r="H28" i="102"/>
  <c r="H29" i="102"/>
  <c r="H30" i="102"/>
  <c r="H31" i="102"/>
  <c r="H32" i="102"/>
  <c r="C16" i="100" l="1"/>
  <c r="C17" i="100"/>
  <c r="C13" i="100"/>
  <c r="C14" i="100"/>
  <c r="G36" i="80" l="1"/>
  <c r="D20" i="80"/>
  <c r="D16" i="80"/>
  <c r="E16" i="80" l="1"/>
  <c r="D12" i="80" l="1"/>
  <c r="F10" i="80" l="1"/>
  <c r="F39" i="93" l="1"/>
  <c r="F41" i="93"/>
  <c r="G38" i="94" l="1"/>
  <c r="F38" i="94"/>
  <c r="G29" i="93"/>
  <c r="F29" i="93"/>
  <c r="R13" i="104" l="1"/>
  <c r="R19" i="104" s="1"/>
  <c r="Q13" i="104" l="1"/>
  <c r="Q19" i="104" s="1"/>
  <c r="P13" i="104"/>
  <c r="P19" i="104" s="1"/>
  <c r="O13" i="104"/>
  <c r="O19" i="104" s="1"/>
  <c r="N13" i="104"/>
  <c r="N19" i="104" s="1"/>
  <c r="M20" i="104"/>
  <c r="M18" i="104"/>
  <c r="M17" i="104"/>
  <c r="M16" i="104"/>
  <c r="M15" i="104"/>
  <c r="M14" i="104"/>
  <c r="M12" i="104"/>
  <c r="M11" i="104"/>
  <c r="M10" i="104"/>
  <c r="M9" i="104"/>
  <c r="M8" i="104"/>
  <c r="M7" i="104"/>
  <c r="L13" i="104"/>
  <c r="L19" i="104" s="1"/>
  <c r="K13" i="104"/>
  <c r="K19" i="104" s="1"/>
  <c r="J13" i="104"/>
  <c r="J19" i="104" s="1"/>
  <c r="I13" i="104"/>
  <c r="H20" i="104"/>
  <c r="H18" i="104"/>
  <c r="H17" i="104"/>
  <c r="H16" i="104"/>
  <c r="H15" i="104"/>
  <c r="H14" i="104"/>
  <c r="H12" i="104"/>
  <c r="H11" i="104"/>
  <c r="H10" i="104"/>
  <c r="H9" i="104"/>
  <c r="H8" i="104"/>
  <c r="H7" i="104"/>
  <c r="G13" i="104"/>
  <c r="G19" i="104" s="1"/>
  <c r="F13" i="104"/>
  <c r="F19" i="104" s="1"/>
  <c r="E13" i="104"/>
  <c r="E19" i="104" s="1"/>
  <c r="D13" i="104"/>
  <c r="C20" i="104"/>
  <c r="C18" i="104"/>
  <c r="C17" i="104"/>
  <c r="C16" i="104"/>
  <c r="C15" i="104"/>
  <c r="C14" i="104"/>
  <c r="C12" i="104"/>
  <c r="C11" i="104"/>
  <c r="C10" i="104"/>
  <c r="C9" i="104"/>
  <c r="C8" i="104"/>
  <c r="C7" i="104"/>
  <c r="C13" i="104" l="1"/>
  <c r="D19" i="104"/>
  <c r="M13" i="104"/>
  <c r="H13" i="104"/>
  <c r="I19" i="104"/>
  <c r="M19" i="104"/>
  <c r="H19" i="104"/>
  <c r="C19" i="104"/>
  <c r="C12" i="101" l="1"/>
  <c r="C13" i="101"/>
  <c r="C14" i="101"/>
  <c r="C15" i="101"/>
  <c r="C11" i="101"/>
  <c r="C22" i="101" l="1"/>
  <c r="C21" i="101"/>
  <c r="C20" i="101"/>
  <c r="C19" i="101"/>
  <c r="C18" i="101"/>
  <c r="C17" i="101"/>
  <c r="AA10" i="101"/>
  <c r="Z10" i="101"/>
  <c r="Y10" i="101"/>
  <c r="X10" i="101"/>
  <c r="W10" i="101"/>
  <c r="V10" i="101"/>
  <c r="U10" i="101"/>
  <c r="T10" i="101"/>
  <c r="S10" i="101"/>
  <c r="R10" i="101"/>
  <c r="Q10" i="101"/>
  <c r="P10" i="101"/>
  <c r="O10" i="101"/>
  <c r="N10" i="101"/>
  <c r="M10" i="101"/>
  <c r="L10" i="101"/>
  <c r="K10" i="101"/>
  <c r="J10" i="101"/>
  <c r="I10" i="101"/>
  <c r="H10" i="101"/>
  <c r="G10" i="101"/>
  <c r="F10" i="101"/>
  <c r="E10" i="101"/>
  <c r="D10" i="101"/>
  <c r="C10" i="101"/>
  <c r="C9" i="101"/>
  <c r="C8" i="101"/>
  <c r="I33" i="102" l="1"/>
  <c r="J33" i="102"/>
  <c r="K33" i="102"/>
  <c r="L33" i="102"/>
  <c r="H33" i="102"/>
  <c r="D33" i="102"/>
  <c r="E33" i="102"/>
  <c r="F33" i="102"/>
  <c r="G33" i="102"/>
  <c r="C8" i="102"/>
  <c r="C9" i="102"/>
  <c r="C10" i="102"/>
  <c r="C11" i="102"/>
  <c r="C12" i="102"/>
  <c r="C13" i="102"/>
  <c r="C14" i="102"/>
  <c r="C15" i="102"/>
  <c r="C16" i="102"/>
  <c r="C17" i="102"/>
  <c r="C18" i="102"/>
  <c r="C19" i="102"/>
  <c r="C20" i="102"/>
  <c r="C21" i="102"/>
  <c r="C22" i="102"/>
  <c r="C23" i="102"/>
  <c r="C24" i="102"/>
  <c r="C25" i="102"/>
  <c r="C26" i="102"/>
  <c r="C27" i="102"/>
  <c r="C28" i="102"/>
  <c r="C29" i="102"/>
  <c r="C30" i="102"/>
  <c r="C31" i="102"/>
  <c r="C32" i="102"/>
  <c r="C7" i="102"/>
  <c r="C33" i="102" l="1"/>
  <c r="D15" i="100"/>
  <c r="C15" i="100" s="1"/>
  <c r="C22" i="100"/>
  <c r="AA8" i="100"/>
  <c r="Z8" i="100"/>
  <c r="Y8" i="100"/>
  <c r="X8" i="100"/>
  <c r="W8" i="100"/>
  <c r="V8" i="100"/>
  <c r="U8" i="100"/>
  <c r="T8" i="100"/>
  <c r="S8" i="100"/>
  <c r="R8" i="100"/>
  <c r="Q8" i="100"/>
  <c r="P8" i="100"/>
  <c r="O8" i="100"/>
  <c r="N8" i="100"/>
  <c r="M8" i="100"/>
  <c r="L8" i="100"/>
  <c r="K8" i="100"/>
  <c r="J8" i="100"/>
  <c r="I8" i="100"/>
  <c r="H8" i="100"/>
  <c r="G8" i="100"/>
  <c r="F8" i="100"/>
  <c r="E8" i="100"/>
  <c r="D8" i="100"/>
  <c r="C8" i="100"/>
  <c r="G31" i="80" l="1"/>
  <c r="G26" i="80" l="1"/>
  <c r="G16" i="80"/>
  <c r="G15" i="80" l="1"/>
  <c r="G13" i="80" l="1"/>
  <c r="G12" i="80"/>
  <c r="G10" i="80"/>
  <c r="G9" i="80" l="1"/>
  <c r="F8" i="107" l="1"/>
  <c r="F9" i="107"/>
  <c r="F7" i="107"/>
  <c r="F6" i="107" s="1"/>
  <c r="E6" i="107"/>
  <c r="D6" i="107"/>
  <c r="C31" i="79" l="1"/>
  <c r="C7" i="79"/>
  <c r="P9" i="37"/>
  <c r="O9" i="37"/>
  <c r="N9" i="37"/>
  <c r="M9" i="37"/>
  <c r="L9" i="37"/>
  <c r="K9" i="37"/>
  <c r="J9" i="37"/>
  <c r="P8" i="37"/>
  <c r="O8" i="37"/>
  <c r="N8" i="37"/>
  <c r="M8" i="37"/>
  <c r="L8" i="37"/>
  <c r="K8" i="37"/>
  <c r="J8" i="37"/>
  <c r="P7" i="37"/>
  <c r="O7" i="37"/>
  <c r="N7" i="37"/>
  <c r="M7" i="37"/>
  <c r="M6" i="37" s="1"/>
  <c r="L7" i="37"/>
  <c r="L6" i="37" s="1"/>
  <c r="K7" i="37"/>
  <c r="J7" i="37"/>
  <c r="J6" i="37" s="1"/>
  <c r="P6" i="37"/>
  <c r="O6" i="37"/>
  <c r="N6" i="37"/>
  <c r="K6" i="37"/>
  <c r="E9" i="37"/>
  <c r="E8" i="37"/>
  <c r="E7" i="37"/>
  <c r="D9" i="37"/>
  <c r="D8" i="37"/>
  <c r="D7" i="37"/>
  <c r="D6" i="37" s="1"/>
  <c r="E6" i="37"/>
  <c r="J23" i="36" l="1"/>
  <c r="I23" i="36"/>
  <c r="K23" i="36" s="1"/>
  <c r="G23" i="36"/>
  <c r="F23" i="36"/>
  <c r="H23" i="36" s="1"/>
  <c r="K19" i="36"/>
  <c r="K20" i="36"/>
  <c r="K18" i="36"/>
  <c r="J21" i="36"/>
  <c r="I21" i="36"/>
  <c r="K21" i="36" s="1"/>
  <c r="J16" i="36"/>
  <c r="I16" i="36"/>
  <c r="K10" i="36"/>
  <c r="K16" i="36" s="1"/>
  <c r="K11" i="36"/>
  <c r="K12" i="36"/>
  <c r="K13" i="36"/>
  <c r="K14" i="36"/>
  <c r="K15" i="36"/>
  <c r="K8" i="36"/>
  <c r="H20" i="36"/>
  <c r="H19" i="36"/>
  <c r="H21" i="36" s="1"/>
  <c r="H18" i="36"/>
  <c r="G21" i="36"/>
  <c r="F21" i="36"/>
  <c r="G16" i="36"/>
  <c r="F16" i="36"/>
  <c r="H15" i="36"/>
  <c r="H14" i="36"/>
  <c r="H13" i="36"/>
  <c r="H12" i="36"/>
  <c r="H16" i="36" s="1"/>
  <c r="H11" i="36"/>
  <c r="H10" i="36"/>
  <c r="H8" i="36"/>
  <c r="D21" i="36"/>
  <c r="C21" i="36"/>
  <c r="E20" i="36"/>
  <c r="E19" i="36"/>
  <c r="E21" i="36" s="1"/>
  <c r="E18" i="36"/>
  <c r="D16" i="36"/>
  <c r="C16" i="36"/>
  <c r="E11" i="36"/>
  <c r="E12" i="36"/>
  <c r="E13" i="36"/>
  <c r="E14" i="36"/>
  <c r="E15" i="36"/>
  <c r="E10" i="36"/>
  <c r="E16" i="36" s="1"/>
  <c r="F24" i="36" l="1"/>
  <c r="I24" i="36"/>
  <c r="J24" i="36"/>
  <c r="J25" i="36" s="1"/>
  <c r="K24" i="36"/>
  <c r="G24" i="36"/>
  <c r="H24" i="36"/>
  <c r="H25" i="36" s="1"/>
  <c r="K25" i="36"/>
  <c r="G25" i="36"/>
  <c r="F25" i="36"/>
  <c r="I25" i="36"/>
  <c r="C22" i="74" l="1"/>
  <c r="D29" i="93" l="1"/>
  <c r="C29" i="93"/>
  <c r="E35" i="72" l="1"/>
  <c r="E34" i="72"/>
  <c r="E32" i="72"/>
  <c r="E30" i="72"/>
  <c r="E26" i="72"/>
  <c r="E22" i="72"/>
  <c r="E23" i="72"/>
  <c r="E21" i="72"/>
  <c r="E12" i="72"/>
  <c r="E13" i="72"/>
  <c r="E10" i="72"/>
  <c r="E11" i="72"/>
  <c r="E9" i="72"/>
  <c r="G30" i="94" l="1"/>
  <c r="F30" i="94"/>
  <c r="G17" i="94"/>
  <c r="G14" i="94" s="1"/>
  <c r="F17" i="94"/>
  <c r="F14" i="94" s="1"/>
  <c r="G8" i="94"/>
  <c r="F8" i="94"/>
  <c r="G37" i="93"/>
  <c r="F37" i="93"/>
  <c r="G13" i="93"/>
  <c r="F13" i="93"/>
  <c r="C13" i="93"/>
  <c r="D13" i="93"/>
  <c r="G6" i="93"/>
  <c r="F6" i="93"/>
  <c r="F68" i="92"/>
  <c r="F47" i="92"/>
  <c r="G41" i="92"/>
  <c r="F41" i="92"/>
  <c r="F7" i="92"/>
  <c r="G7" i="92"/>
  <c r="C38" i="94" l="1"/>
  <c r="Q33" i="37" l="1"/>
  <c r="I33" i="37"/>
  <c r="Q32" i="37"/>
  <c r="I32" i="37"/>
  <c r="Q31" i="37"/>
  <c r="I31" i="37"/>
  <c r="I30" i="37"/>
  <c r="Q29" i="37"/>
  <c r="I29" i="37"/>
  <c r="Q28" i="37"/>
  <c r="I28" i="37"/>
  <c r="Q27" i="37"/>
  <c r="Q26" i="37" s="1"/>
  <c r="I27" i="37"/>
  <c r="I26" i="37"/>
  <c r="Q25" i="37"/>
  <c r="I25" i="37"/>
  <c r="Q24" i="37"/>
  <c r="I24" i="37"/>
  <c r="Q23" i="37"/>
  <c r="I23" i="37"/>
  <c r="I22" i="37"/>
  <c r="Q21" i="37"/>
  <c r="I21" i="37"/>
  <c r="Q20" i="37"/>
  <c r="I20" i="37"/>
  <c r="Q19" i="37"/>
  <c r="I19" i="37"/>
  <c r="I18" i="37"/>
  <c r="Q17" i="37"/>
  <c r="I17" i="37"/>
  <c r="Q16" i="37"/>
  <c r="I16" i="37"/>
  <c r="Q15" i="37"/>
  <c r="Q14" i="37" s="1"/>
  <c r="I15" i="37"/>
  <c r="I14" i="37"/>
  <c r="Q13" i="37"/>
  <c r="I13" i="37"/>
  <c r="Q12" i="37"/>
  <c r="I12" i="37"/>
  <c r="Q11" i="37"/>
  <c r="I11" i="37"/>
  <c r="I10" i="37"/>
  <c r="K34" i="37"/>
  <c r="G9" i="37"/>
  <c r="F9" i="37"/>
  <c r="I9" i="37" s="1"/>
  <c r="C9" i="37"/>
  <c r="G8" i="37"/>
  <c r="F8" i="37"/>
  <c r="C8" i="37"/>
  <c r="O34" i="37"/>
  <c r="N34" i="37"/>
  <c r="M34" i="37"/>
  <c r="J34" i="37"/>
  <c r="G7" i="37"/>
  <c r="F7" i="37"/>
  <c r="C7" i="37"/>
  <c r="P34" i="37"/>
  <c r="L34" i="37"/>
  <c r="E34" i="37"/>
  <c r="C13" i="79" s="1"/>
  <c r="D34" i="37"/>
  <c r="B2" i="37"/>
  <c r="B1" i="37"/>
  <c r="C26" i="79"/>
  <c r="C22" i="79"/>
  <c r="Q18" i="37" l="1"/>
  <c r="G6" i="37"/>
  <c r="G34" i="37" s="1"/>
  <c r="C11" i="79" s="1"/>
  <c r="I7" i="37"/>
  <c r="F6" i="37"/>
  <c r="F34" i="37" s="1"/>
  <c r="Q8" i="37"/>
  <c r="I8" i="37"/>
  <c r="Q22" i="37"/>
  <c r="Q30" i="37"/>
  <c r="Q10" i="37"/>
  <c r="C6" i="37"/>
  <c r="C34" i="37" s="1"/>
  <c r="Q9" i="37"/>
  <c r="Q7" i="37"/>
  <c r="Q6" i="37" s="1"/>
  <c r="Q34" i="37" s="1"/>
  <c r="I6" i="37" l="1"/>
  <c r="I34" i="37"/>
  <c r="C12" i="79" s="1"/>
  <c r="C14" i="79" s="1"/>
  <c r="C10" i="79"/>
  <c r="C6" i="107"/>
  <c r="B2" i="107"/>
  <c r="B1" i="107"/>
  <c r="H8" i="74" l="1"/>
  <c r="D38" i="94" l="1"/>
  <c r="B2" i="106" l="1"/>
  <c r="B1" i="106"/>
  <c r="B1" i="105"/>
  <c r="B2" i="105"/>
  <c r="E12" i="106" l="1"/>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0" i="99" l="1"/>
  <c r="C18" i="99" s="1"/>
  <c r="C7" i="98"/>
  <c r="D7" i="98"/>
  <c r="C10" i="98"/>
  <c r="D10" i="98"/>
  <c r="D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H34" i="97" l="1"/>
  <c r="H22" i="95"/>
  <c r="C15" i="98"/>
  <c r="H21" i="96"/>
  <c r="C62" i="69"/>
  <c r="C58" i="69"/>
  <c r="C67" i="69" s="1"/>
  <c r="C46" i="69"/>
  <c r="C40" i="69"/>
  <c r="C29" i="69"/>
  <c r="C26" i="69"/>
  <c r="C23" i="69"/>
  <c r="C18" i="69"/>
  <c r="C14" i="69"/>
  <c r="C6" i="69"/>
  <c r="C35" i="69" s="1"/>
  <c r="D8" i="72"/>
  <c r="E8" i="72"/>
  <c r="D16" i="72"/>
  <c r="E16" i="72"/>
  <c r="D20" i="72"/>
  <c r="E20" i="72"/>
  <c r="D25" i="72"/>
  <c r="E25" i="72"/>
  <c r="D28" i="72"/>
  <c r="E28" i="72"/>
  <c r="D31" i="72"/>
  <c r="E31" i="72"/>
  <c r="C31" i="72"/>
  <c r="C28" i="72"/>
  <c r="C25" i="72"/>
  <c r="C20" i="72"/>
  <c r="C16" i="72"/>
  <c r="C8" i="72"/>
  <c r="C52" i="69" l="1"/>
  <c r="C68" i="69" s="1"/>
  <c r="C37" i="72"/>
  <c r="E37" i="72"/>
  <c r="D37" i="72"/>
  <c r="H43" i="94"/>
  <c r="E43" i="94"/>
  <c r="H42" i="94"/>
  <c r="E42" i="94"/>
  <c r="H41" i="94"/>
  <c r="E41" i="94"/>
  <c r="H40" i="94"/>
  <c r="E40" i="94"/>
  <c r="H39" i="94"/>
  <c r="E39" i="94"/>
  <c r="E38" i="94"/>
  <c r="H37" i="94"/>
  <c r="E37" i="94"/>
  <c r="H36" i="94"/>
  <c r="E36" i="94"/>
  <c r="H35" i="94"/>
  <c r="E35" i="94"/>
  <c r="H34" i="94"/>
  <c r="E34" i="94"/>
  <c r="H33" i="94"/>
  <c r="E33" i="94"/>
  <c r="H32" i="94"/>
  <c r="E32" i="94"/>
  <c r="H31" i="94"/>
  <c r="E31" i="94"/>
  <c r="H30" i="94"/>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H13" i="94"/>
  <c r="E13" i="94"/>
  <c r="H12" i="94"/>
  <c r="E12" i="94"/>
  <c r="D11" i="94"/>
  <c r="C11" i="94"/>
  <c r="H10" i="94"/>
  <c r="E10" i="94"/>
  <c r="H9" i="94"/>
  <c r="E9" i="94"/>
  <c r="D8" i="94"/>
  <c r="C8" i="94"/>
  <c r="H7" i="94"/>
  <c r="E7" i="94"/>
  <c r="H6" i="94"/>
  <c r="E6" i="94"/>
  <c r="H44" i="93"/>
  <c r="E44" i="93"/>
  <c r="H42" i="93"/>
  <c r="E42" i="93"/>
  <c r="H41" i="93"/>
  <c r="E41" i="93"/>
  <c r="H40" i="93"/>
  <c r="E40" i="93"/>
  <c r="H39" i="93"/>
  <c r="E39" i="93"/>
  <c r="H38" i="93"/>
  <c r="E38" i="93"/>
  <c r="H37" i="93"/>
  <c r="D37" i="93"/>
  <c r="C37" i="93"/>
  <c r="H36" i="93"/>
  <c r="E36" i="93"/>
  <c r="H35" i="93"/>
  <c r="E35" i="93"/>
  <c r="G34" i="93"/>
  <c r="F34" i="93"/>
  <c r="H34" i="93" s="1"/>
  <c r="D34" i="93"/>
  <c r="C34" i="93"/>
  <c r="H33" i="93"/>
  <c r="E33" i="93"/>
  <c r="H32" i="93"/>
  <c r="E32" i="93"/>
  <c r="H31" i="93"/>
  <c r="E31" i="93"/>
  <c r="H30" i="93"/>
  <c r="E30" i="93"/>
  <c r="H29" i="93"/>
  <c r="E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E13" i="93"/>
  <c r="H12" i="93"/>
  <c r="E12" i="93"/>
  <c r="H11" i="93"/>
  <c r="E11" i="93"/>
  <c r="H10" i="93"/>
  <c r="E10" i="93"/>
  <c r="H9" i="93"/>
  <c r="E9" i="93"/>
  <c r="H8" i="93"/>
  <c r="E8" i="93"/>
  <c r="H7" i="93"/>
  <c r="E7" i="93"/>
  <c r="D6" i="93"/>
  <c r="C6" i="93"/>
  <c r="G68" i="92"/>
  <c r="H67" i="92"/>
  <c r="E67" i="92"/>
  <c r="H66" i="92"/>
  <c r="E66" i="92"/>
  <c r="H65" i="92"/>
  <c r="E65" i="92"/>
  <c r="H64" i="92"/>
  <c r="E64" i="92"/>
  <c r="H63" i="92"/>
  <c r="D63" i="92"/>
  <c r="C63" i="92"/>
  <c r="E63" i="92" s="1"/>
  <c r="H62" i="92"/>
  <c r="E62" i="92"/>
  <c r="H61" i="92"/>
  <c r="E61" i="92"/>
  <c r="H60" i="92"/>
  <c r="E60" i="92"/>
  <c r="H59" i="92"/>
  <c r="D59" i="92"/>
  <c r="C59" i="92"/>
  <c r="H58" i="92"/>
  <c r="E58" i="92"/>
  <c r="H57" i="92"/>
  <c r="E57" i="92"/>
  <c r="H56" i="92"/>
  <c r="E56" i="92"/>
  <c r="H55" i="92"/>
  <c r="E55" i="92"/>
  <c r="H52" i="92"/>
  <c r="E52" i="92"/>
  <c r="H51" i="92"/>
  <c r="E51" i="92"/>
  <c r="H50" i="92"/>
  <c r="E50" i="92"/>
  <c r="H49" i="92"/>
  <c r="E49" i="92"/>
  <c r="H48" i="92"/>
  <c r="E48" i="92"/>
  <c r="G47" i="92"/>
  <c r="D47" i="92"/>
  <c r="C47" i="92"/>
  <c r="E47" i="92" s="1"/>
  <c r="H46" i="92"/>
  <c r="E46" i="92"/>
  <c r="H45" i="92"/>
  <c r="E45" i="92"/>
  <c r="H44" i="92"/>
  <c r="E44" i="92"/>
  <c r="H43" i="92"/>
  <c r="E43" i="92"/>
  <c r="H42" i="92"/>
  <c r="E42" i="92"/>
  <c r="H41" i="92"/>
  <c r="D41" i="92"/>
  <c r="D53" i="92" s="1"/>
  <c r="C41" i="92"/>
  <c r="H40" i="92"/>
  <c r="E40" i="92"/>
  <c r="H39" i="92"/>
  <c r="E39" i="92"/>
  <c r="H38" i="92"/>
  <c r="E38" i="92"/>
  <c r="H35" i="92"/>
  <c r="E35" i="92"/>
  <c r="H34" i="92"/>
  <c r="E34" i="92"/>
  <c r="H33" i="92"/>
  <c r="E33" i="92"/>
  <c r="H32" i="92"/>
  <c r="E32" i="92"/>
  <c r="H31" i="92"/>
  <c r="E31" i="92"/>
  <c r="G30" i="92"/>
  <c r="F30" i="92"/>
  <c r="H30" i="92" s="1"/>
  <c r="D30" i="92"/>
  <c r="C30" i="92"/>
  <c r="H29" i="92"/>
  <c r="E29" i="92"/>
  <c r="H28" i="92"/>
  <c r="E28" i="92"/>
  <c r="G27" i="92"/>
  <c r="F27" i="92"/>
  <c r="H27" i="92" s="1"/>
  <c r="D27" i="92"/>
  <c r="C27" i="92"/>
  <c r="E27" i="92" s="1"/>
  <c r="H26" i="92"/>
  <c r="E26" i="92"/>
  <c r="H25" i="92"/>
  <c r="E25" i="92"/>
  <c r="G24" i="92"/>
  <c r="F24" i="92"/>
  <c r="D24" i="92"/>
  <c r="C24" i="92"/>
  <c r="E24" i="92" s="1"/>
  <c r="H23" i="92"/>
  <c r="E23" i="92"/>
  <c r="H22" i="92"/>
  <c r="E22" i="92"/>
  <c r="H21" i="92"/>
  <c r="E21" i="92"/>
  <c r="H20" i="92"/>
  <c r="E20" i="92"/>
  <c r="G19" i="92"/>
  <c r="F19" i="92"/>
  <c r="H19" i="92" s="1"/>
  <c r="D19" i="92"/>
  <c r="C19" i="92"/>
  <c r="H18" i="92"/>
  <c r="E18" i="92"/>
  <c r="H17" i="92"/>
  <c r="E17" i="92"/>
  <c r="H16" i="92"/>
  <c r="E16" i="92"/>
  <c r="G15" i="92"/>
  <c r="F15" i="92"/>
  <c r="H15" i="92" s="1"/>
  <c r="D15" i="92"/>
  <c r="C15" i="92"/>
  <c r="E15" i="92" s="1"/>
  <c r="H14" i="92"/>
  <c r="E14" i="92"/>
  <c r="H13" i="92"/>
  <c r="E13" i="92"/>
  <c r="H12" i="92"/>
  <c r="E12" i="92"/>
  <c r="H11" i="92"/>
  <c r="E11" i="92"/>
  <c r="H10" i="92"/>
  <c r="E10" i="92"/>
  <c r="H9" i="92"/>
  <c r="E9" i="92"/>
  <c r="H8" i="92"/>
  <c r="E8" i="92"/>
  <c r="H7" i="92"/>
  <c r="D7" i="92"/>
  <c r="C7" i="92"/>
  <c r="E37" i="93" l="1"/>
  <c r="C43" i="93"/>
  <c r="C45" i="93" s="1"/>
  <c r="G36" i="92"/>
  <c r="E41" i="92"/>
  <c r="E19" i="92"/>
  <c r="C68" i="92"/>
  <c r="E6" i="93"/>
  <c r="D68" i="92"/>
  <c r="D69" i="92" s="1"/>
  <c r="F43" i="93"/>
  <c r="F45" i="93" s="1"/>
  <c r="F36" i="92"/>
  <c r="H36" i="92" s="1"/>
  <c r="E59" i="92"/>
  <c r="G43" i="93"/>
  <c r="G45" i="93" s="1"/>
  <c r="C36" i="92"/>
  <c r="G53" i="92"/>
  <c r="G69" i="92" s="1"/>
  <c r="E34" i="93"/>
  <c r="D36" i="92"/>
  <c r="E30" i="92"/>
  <c r="H47" i="92"/>
  <c r="H8" i="94"/>
  <c r="E8" i="94"/>
  <c r="E14" i="94"/>
  <c r="H38" i="94"/>
  <c r="E30" i="94"/>
  <c r="E11" i="94"/>
  <c r="E17" i="94"/>
  <c r="H11" i="94"/>
  <c r="H14" i="94"/>
  <c r="H6" i="93"/>
  <c r="D43" i="93"/>
  <c r="D45" i="93" s="1"/>
  <c r="C53" i="92"/>
  <c r="H68" i="92"/>
  <c r="F53" i="92"/>
  <c r="F69" i="92" s="1"/>
  <c r="E7" i="92"/>
  <c r="H24" i="92"/>
  <c r="H69" i="92" l="1"/>
  <c r="H43" i="93"/>
  <c r="H53" i="92"/>
  <c r="E36" i="92"/>
  <c r="H45" i="93"/>
  <c r="E68" i="92"/>
  <c r="E45" i="93"/>
  <c r="E43" i="93"/>
  <c r="C69" i="92"/>
  <c r="E69" i="92" s="1"/>
  <c r="C6" i="79" s="1"/>
  <c r="C8" i="79" s="1"/>
  <c r="C32" i="79" s="1"/>
  <c r="C34" i="79" s="1"/>
  <c r="E53" i="92"/>
  <c r="B1" i="80" l="1"/>
  <c r="G33" i="80"/>
  <c r="F33" i="80"/>
  <c r="E33" i="80"/>
  <c r="D33" i="80"/>
  <c r="C33" i="80"/>
  <c r="G24" i="80"/>
  <c r="G37" i="80" s="1"/>
  <c r="F24" i="80"/>
  <c r="E24" i="80"/>
  <c r="D24" i="80"/>
  <c r="C24" i="80"/>
  <c r="G18" i="80"/>
  <c r="F18" i="80"/>
  <c r="E18" i="80"/>
  <c r="D18" i="80"/>
  <c r="C18" i="80"/>
  <c r="G14" i="80"/>
  <c r="F14" i="80"/>
  <c r="E14" i="80"/>
  <c r="D14" i="80"/>
  <c r="C14" i="80"/>
  <c r="G11" i="80"/>
  <c r="F11" i="80"/>
  <c r="E11" i="80"/>
  <c r="D11" i="80"/>
  <c r="C11" i="80"/>
  <c r="G8" i="80"/>
  <c r="F8" i="80"/>
  <c r="E8" i="80"/>
  <c r="D8" i="80"/>
  <c r="C8" i="80"/>
  <c r="G21" i="80" l="1"/>
  <c r="G39" i="80" s="1"/>
  <c r="G6" i="71"/>
  <c r="G13" i="71" s="1"/>
  <c r="F6" i="71"/>
  <c r="F13" i="71" s="1"/>
  <c r="E6" i="71"/>
  <c r="E13" i="71" s="1"/>
  <c r="D6" i="71"/>
  <c r="D13" i="71" s="1"/>
  <c r="C6" i="71"/>
  <c r="C13" i="71" s="1"/>
  <c r="B18" i="105" s="1"/>
  <c r="B1" i="79" l="1"/>
  <c r="B1" i="36"/>
  <c r="B1" i="74"/>
  <c r="B1" i="64"/>
  <c r="B1" i="35"/>
  <c r="B1" i="69"/>
  <c r="B1" i="77"/>
  <c r="B1" i="28"/>
  <c r="B1" i="73"/>
  <c r="B1" i="72"/>
  <c r="B1" i="52"/>
  <c r="B1" i="71"/>
  <c r="B1" i="6"/>
  <c r="C21" i="77" l="1"/>
  <c r="D16" i="77"/>
  <c r="D17" i="77"/>
  <c r="D15" i="77"/>
  <c r="D12" i="77"/>
  <c r="D13" i="77"/>
  <c r="D11" i="77"/>
  <c r="D8" i="77"/>
  <c r="D9" i="77"/>
  <c r="D7" i="77"/>
  <c r="C20" i="77"/>
  <c r="C19" i="77"/>
  <c r="D21" i="77" l="1"/>
  <c r="D19" i="77"/>
  <c r="D20" i="77"/>
  <c r="H14" i="74" l="1"/>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V7" i="64" l="1"/>
  <c r="H13" i="74"/>
  <c r="H15" i="74"/>
  <c r="H16" i="74"/>
  <c r="H17" i="74"/>
  <c r="H21" i="74"/>
  <c r="T21" i="64" l="1"/>
  <c r="U21" i="64"/>
  <c r="V9" i="64"/>
  <c r="D22" i="74" l="1"/>
  <c r="E22" i="74"/>
  <c r="H22" i="74" s="1"/>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B10" i="105" s="1"/>
  <c r="C36" i="28"/>
  <c r="C42" i="28" s="1"/>
  <c r="B9" i="105" s="1"/>
  <c r="C12" i="28"/>
  <c r="C6" i="28" l="1"/>
  <c r="C29" i="28" s="1"/>
  <c r="B8" i="105" s="1"/>
  <c r="B7" i="105" s="1"/>
  <c r="B16" i="105" l="1"/>
  <c r="B14" i="105" s="1"/>
  <c r="B6" i="105"/>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1" i="105" l="1"/>
  <c r="B22" i="105"/>
  <c r="B23" i="105"/>
  <c r="C5" i="71"/>
  <c r="E5" i="71"/>
  <c r="F5" i="71"/>
  <c r="D5"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<sst xmlns="http://schemas.openxmlformats.org/spreadsheetml/2006/main" count="1653" uniqueCount="1041">
  <si>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</si>
  <si>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</si>
  <si>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</si>
  <si>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</si>
  <si>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</si>
  <si>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</si>
  <si>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</si>
  <si>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</si>
  <si>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</si>
  <si>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</si>
  <si>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</si>
  <si>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</si>
  <si>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</si>
  <si>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</si>
  <si>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</si>
  <si>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</si>
  <si>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</si>
  <si>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</si>
  <si>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</si>
  <si>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</si>
  <si>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</si>
  <si>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</si>
  <si>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</si>
  <si>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</si>
  <si>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</si>
  <si>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</si>
  <si>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</si>
  <si>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</si>
  <si>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</si>
  <si>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</si>
  <si>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</si>
  <si>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</si>
  <si>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</si>
  <si>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</si>
  <si>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</si>
  <si>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</si>
  <si>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</si>
  <si>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</si>
  <si>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</si>
  <si>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</si>
  <si>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</si>
  <si>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</si>
  <si>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</si>
  <si>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</si>
  <si>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</si>
  <si>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</si>
  <si>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</si>
  <si>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</si>
  <si>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</si>
  <si>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</si>
  <si>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</si>
  <si>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</si>
  <si>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</si>
  <si>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</si>
  <si>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</si>
  <si>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</si>
  <si>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</si>
  <si>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</si>
  <si>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</si>
  <si>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</si>
  <si>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</si>
  <si>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</si>
  <si>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</si>
  <si>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</si>
  <si>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</si>
  <si>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</si>
  <si>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</si>
  <si>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</si>
  <si>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</si>
  <si>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</si>
  <si>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</si>
  <si>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</si>
  <si>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</si>
  <si>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</si>
  <si>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</si>
  <si>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</si>
  <si>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</si>
  <si>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</si>
  <si>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</si>
  <si>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</si>
  <si>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</si>
  <si>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</si>
  <si>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</si>
  <si>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</si>
  <si>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</si>
  <si>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</si>
  <si>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</si>
  <si>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</si>
  <si>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</si>
  <si>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</si>
  <si>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</si>
  <si>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</si>
  <si>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</si>
  <si>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</si>
  <si>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</si>
  <si>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</si>
  <si>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</si>
  <si>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</si>
  <si>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</si>
  <si>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</si>
  <si>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</si>
  <si>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</si>
  <si>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</si>
  <si>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</si>
  <si>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</si>
  <si>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</si>
  <si>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</si>
  <si>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</si>
  <si>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</si>
  <si>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</si>
  <si>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</si>
  <si>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</si>
  <si>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</si>
  <si>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</si>
  <si>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</si>
  <si>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</si>
  <si>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</si>
  <si>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</si>
  <si>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</si>
  <si>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</si>
  <si>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</si>
  <si>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</si>
  <si>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</si>
  <si>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</si>
  <si>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</si>
  <si>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</si>
  <si>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</si>
  <si>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</si>
  <si>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</si>
  <si>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</si>
  <si>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</si>
  <si>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</si>
  <si>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</si>
  <si>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</si>
  <si>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</si>
  <si>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</si>
  <si>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</si>
  <si>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</si>
  <si>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</si>
  <si>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</si>
  <si>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</si>
  <si>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</si>
  <si>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</si>
  <si>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</si>
  <si>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</si>
  <si>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</si>
  <si>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</si>
  <si>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</si>
  <si>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</si>
  <si>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</si>
  <si>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</si>
  <si>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</si>
  <si>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</si>
  <si>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</si>
  <si>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</si>
  <si>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</si>
  <si>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</si>
  <si>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</si>
  <si>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</si>
  <si>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</si>
  <si>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</si>
  <si>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</si>
  <si>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</si>
  <si>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</si>
  <si>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</si>
  <si>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</si>
  <si>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</si>
  <si>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</si>
  <si>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</si>
  <si>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</si>
  <si>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</si>
  <si>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</si>
  <si>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</si>
  <si>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</si>
  <si>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</si>
  <si>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</si>
  <si>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</si>
  <si>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</si>
  <si>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</si>
  <si>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</si>
  <si>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</si>
  <si>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</si>
  <si>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</si>
  <si>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</si>
  <si>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</si>
  <si>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</si>
  <si>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</si>
  <si>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</si>
  <si>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</si>
  <si>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</si>
  <si>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</si>
  <si>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</si>
  <si>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</si>
  <si>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</si>
  <si>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</si>
  <si>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</si>
  <si>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</si>
  <si>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</si>
  <si>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</si>
  <si>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</si>
  <si>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</si>
  <si>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</si>
  <si>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</si>
  <si>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</si>
  <si>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</si>
  <si>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</si>
  <si>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</si>
  <si>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</si>
  <si>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</si>
  <si>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</si>
  <si>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</si>
  <si>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</si>
  <si>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</si>
  <si>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</si>
  <si>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</si>
  <si>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</si>
  <si>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</si>
  <si>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</si>
  <si>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</si>
  <si>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</si>
  <si>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</si>
  <si>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</si>
  <si>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</si>
  <si>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</si>
  <si>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</si>
  <si>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</si>
  <si>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</si>
  <si>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</si>
  <si>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</si>
  <si>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</si>
  <si>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</si>
  <si>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</si>
  <si>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</si>
  <si>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</si>
  <si>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</si>
  <si>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</si>
  <si>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</si>
  <si>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</si>
  <si>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</si>
  <si>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</si>
  <si>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</si>
  <si>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</si>
  <si>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</si>
  <si>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</si>
  <si>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</si>
  <si>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</si>
  <si>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</si>
  <si>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</si>
  <si>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</si>
  <si>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</si>
  <si>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</si>
  <si>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</si>
  <si>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</si>
  <si>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</si>
  <si>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</si>
  <si>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</si>
  <si>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</si>
  <si>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</si>
  <si>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</si>
  <si>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</si>
  <si>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</si>
  <si>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</si>
  <si>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</si>
  <si>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</si>
  <si>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</si>
  <si>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</si>
  <si>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</si>
  <si>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</si>
  <si>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</si>
  <si>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</si>
  <si>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</si>
  <si>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</si>
  <si>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</si>
  <si>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</si>
  <si>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</si>
  <si>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</si>
  <si>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</si>
  <si>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</si>
  <si>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</si>
  <si>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</si>
  <si>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</si>
  <si>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</si>
  <si>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</si>
  <si>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</si>
  <si>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</si>
  <si>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</si>
  <si>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</si>
  <si>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</si>
  <si>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</si>
  <si>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</si>
  <si>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</si>
  <si>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</si>
  <si>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</si>
  <si>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</si>
  <si>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</si>
  <si>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</si>
  <si>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</si>
  <si>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</si>
  <si>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</si>
  <si>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</si>
  <si>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</si>
  <si>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</si>
  <si>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</si>
  <si>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</si>
  <si>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</si>
  <si>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</si>
  <si>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</si>
  <si>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</si>
  <si>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</si>
  <si>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</si>
  <si>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</si>
  <si>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</si>
  <si>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</si>
  <si>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</si>
  <si>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</si>
  <si>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</si>
  <si>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</si>
  <si>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</si>
  <si>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</si>
  <si>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</si>
  <si>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</si>
  <si>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</si>
  <si>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</si>
  <si>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</si>
  <si>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</si>
  <si>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</si>
  <si>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</si>
  <si>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</si>
  <si>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</si>
  <si>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</si>
  <si>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</si>
  <si>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</si>
  <si>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</si>
  <si>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</si>
  <si>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</si>
  <si>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</si>
  <si>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</si>
  <si>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</si>
  <si>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</si>
  <si>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</si>
  <si>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</si>
  <si>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</si>
  <si>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</si>
  <si>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</si>
  <si>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</si>
  <si>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</si>
  <si>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</si>
  <si>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</si>
  <si>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</si>
  <si>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</si>
  <si>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</si>
  <si>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</si>
  <si>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</si>
  <si>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</si>
  <si>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</si>
  <si>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</si>
  <si>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</si>
  <si>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</si>
  <si>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</si>
  <si>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</si>
  <si>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</si>
  <si>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</si>
  <si>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</si>
  <si>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</si>
  <si>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</si>
  <si>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</si>
  <si>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</si>
  <si>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</si>
  <si>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</si>
  <si>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</si>
  <si>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</si>
  <si>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</si>
  <si>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</si>
  <si>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</si>
  <si>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</si>
  <si>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</si>
  <si>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</si>
  <si>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</si>
  <si>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</si>
  <si>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</si>
  <si>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</si>
  <si>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</si>
  <si>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</si>
  <si>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</si>
  <si>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</si>
  <si>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</si>
  <si>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</si>
  <si>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</si>
  <si>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</si>
  <si>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</si>
  <si>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</si>
  <si>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</si>
  <si>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</si>
  <si>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</si>
  <si>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</si>
  <si>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</si>
  <si>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</si>
  <si>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</si>
  <si>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</si>
  <si>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</si>
  <si>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</si>
  <si>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</si>
  <si>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</si>
  <si>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</si>
  <si>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</si>
  <si>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</si>
  <si>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</si>
  <si>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</si>
  <si>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</si>
  <si>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</si>
  <si>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</si>
  <si>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</si>
  <si>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</si>
  <si>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</si>
  <si>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</si>
  <si>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</si>
  <si>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</si>
  <si>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</si>
  <si>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</si>
  <si>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</si>
  <si>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</si>
  <si>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</si>
  <si>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</si>
  <si>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</si>
  <si>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</si>
  <si>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</si>
  <si>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</si>
  <si>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</si>
  <si>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</si>
  <si>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</si>
  <si>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</si>
  <si>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</si>
  <si>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</si>
  <si>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</si>
  <si>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</si>
  <si>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</si>
  <si>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</si>
  <si>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</si>
  <si>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</si>
  <si>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</si>
  <si>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</si>
  <si>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</si>
  <si>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</si>
  <si>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</si>
  <si>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</si>
  <si>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</si>
  <si>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</si>
  <si>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</si>
  <si>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</si>
  <si>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</si>
  <si>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</si>
  <si>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</si>
  <si>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</si>
  <si>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</si>
  <si>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</si>
  <si>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</si>
  <si>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</si>
  <si>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</si>
  <si>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</si>
  <si>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</si>
  <si>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</si>
  <si>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</si>
  <si>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</si>
  <si>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</si>
  <si>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</si>
  <si>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</si>
  <si>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</si>
  <si>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</si>
  <si>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</si>
  <si>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</si>
  <si>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</si>
  <si>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</si>
  <si>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</si>
  <si>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</si>
  <si>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</si>
  <si>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</si>
  <si>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</si>
  <si>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</si>
  <si>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</si>
  <si>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</si>
  <si>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</si>
  <si>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</si>
  <si>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</si>
  <si>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</si>
  <si>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</si>
  <si>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</si>
  <si>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</si>
  <si>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</si>
  <si>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</si>
  <si>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</si>
  <si>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</si>
  <si>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</si>
  <si>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</si>
  <si>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</si>
  <si>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</si>
  <si>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</si>
  <si>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</si>
  <si>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</si>
  <si>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</si>
  <si>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</si>
  <si>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</si>
  <si>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</si>
  <si>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</si>
  <si>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</si>
  <si>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</si>
  <si>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</si>
  <si>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</si>
  <si>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</si>
  <si>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</si>
  <si>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</si>
  <si>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</si>
  <si>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</si>
  <si>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</si>
  <si>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</si>
  <si>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</si>
  <si>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</si>
  <si>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</si>
  <si>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</si>
  <si>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</si>
  <si>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</si>
  <si>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</si>
  <si>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</si>
  <si>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</si>
  <si>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</si>
  <si>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</si>
  <si>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</si>
  <si>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</si>
  <si>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</si>
  <si>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</si>
  <si>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</si>
  <si>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</si>
  <si>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</si>
  <si>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</si>
  <si>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</si>
  <si>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</si>
  <si>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</si>
  <si>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</si>
  <si>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</si>
  <si>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</si>
  <si>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</si>
  <si>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</si>
  <si>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</si>
  <si>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</si>
  <si>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</si>
  <si>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</si>
  <si>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</si>
  <si>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</si>
  <si>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</si>
  <si>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</si>
  <si>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</si>
  <si>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</si>
  <si>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</si>
  <si>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</si>
  <si>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</si>
  <si>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</si>
  <si>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</si>
  <si>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</si>
  <si>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</si>
  <si>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</si>
  <si>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</si>
  <si>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</si>
  <si>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</si>
  <si>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</si>
  <si>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</si>
  <si>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</si>
  <si>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</si>
  <si>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</si>
  <si>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</si>
  <si>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</si>
  <si>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</si>
  <si>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</si>
  <si>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</si>
  <si>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</si>
  <si>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</si>
  <si>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</si>
  <si>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</si>
  <si>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</si>
  <si>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</si>
  <si>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</si>
  <si>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</si>
  <si>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</si>
  <si>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</si>
  <si>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</si>
  <si>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</si>
  <si>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</si>
  <si>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</si>
  <si>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</si>
  <si>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</si>
  <si>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</si>
  <si>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</si>
  <si>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</si>
  <si>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</si>
  <si>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</si>
  <si>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</si>
  <si>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</si>
  <si>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</si>
  <si>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</si>
  <si>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</si>
  <si>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</si>
  <si>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</si>
  <si>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</si>
  <si>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</si>
  <si>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</si>
  <si>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</si>
  <si>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</si>
  <si>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</si>
  <si>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</si>
  <si>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</si>
  <si>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</si>
  <si>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</si>
  <si>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</si>
  <si>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</si>
  <si>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</si>
  <si>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</si>
  <si>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</si>
  <si>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</si>
  <si>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</si>
  <si>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</si>
  <si>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</si>
  <si>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</si>
  <si>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</si>
  <si>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</si>
  <si>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</si>
  <si>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</si>
  <si>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</si>
  <si>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</si>
  <si>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</si>
  <si>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</si>
  <si>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</si>
  <si>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</si>
  <si>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</si>
  <si>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</si>
  <si>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</si>
  <si>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</si>
  <si>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</si>
  <si>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</si>
  <si>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</si>
  <si>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</si>
  <si>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</si>
  <si>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</si>
  <si>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</si>
  <si>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</si>
  <si>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</si>
  <si>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</si>
  <si>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</si>
  <si>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</si>
  <si>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</si>
  <si>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</si>
  <si>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</si>
  <si>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</si>
  <si>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</si>
  <si>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</si>
  <si>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</si>
  <si>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</si>
  <si>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</si>
  <si>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</si>
  <si>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</si>
  <si>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</si>
  <si>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</si>
  <si>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</si>
  <si>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</si>
  <si>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</si>
  <si>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</si>
  <si>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</si>
  <si>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</si>
  <si>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</si>
  <si>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</si>
  <si>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</si>
  <si>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</si>
  <si>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</si>
  <si>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</si>
  <si>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</si>
  <si>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</si>
  <si>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</si>
  <si>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</si>
  <si>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</si>
  <si>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</si>
  <si>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</si>
  <si>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</si>
  <si>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</si>
  <si>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</si>
  <si>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</si>
  <si>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</si>
  <si>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</si>
  <si>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</si>
  <si>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</si>
  <si>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</si>
  <si>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</si>
  <si>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</si>
  <si>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</si>
  <si>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</si>
  <si>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</si>
  <si>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</si>
  <si>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</si>
  <si>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</si>
  <si>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</si>
  <si>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</si>
  <si>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</si>
  <si>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</si>
  <si>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</si>
  <si>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</si>
  <si>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</si>
  <si>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</si>
  <si>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</si>
  <si>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</si>
  <si>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</si>
  <si>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</si>
  <si>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</si>
  <si>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</si>
  <si>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</si>
  <si>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</si>
  <si>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</si>
  <si>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</si>
  <si>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</si>
  <si>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</si>
  <si>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</si>
  <si>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</si>
  <si>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</si>
  <si>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</si>
  <si>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</si>
  <si>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</si>
  <si>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</si>
  <si>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</si>
  <si>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</si>
  <si>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</si>
  <si>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</si>
  <si>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</si>
  <si>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</si>
  <si>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</si>
  <si>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</si>
  <si>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</si>
  <si>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</si>
  <si>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</si>
  <si>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</si>
  <si>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</si>
  <si>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</si>
  <si>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</si>
  <si>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</si>
  <si>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</si>
  <si>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</si>
  <si>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</si>
  <si>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</si>
  <si>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</si>
  <si>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</si>
  <si>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</si>
  <si>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</si>
  <si>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</si>
  <si>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</si>
  <si>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</si>
  <si>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</si>
  <si>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</si>
  <si>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</si>
  <si>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</si>
  <si>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</si>
  <si>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</si>
  <si>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</si>
  <si>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</si>
  <si>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</si>
  <si>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</si>
  <si>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</si>
  <si>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</si>
  <si>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</si>
  <si>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</si>
  <si>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</si>
  <si>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</si>
  <si>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</si>
  <si>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</si>
  <si>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</si>
  <si>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</si>
  <si>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</si>
  <si>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</si>
  <si>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</si>
  <si>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</si>
  <si>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</si>
  <si>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</si>
  <si>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</si>
  <si>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</si>
  <si>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</si>
  <si>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</si>
  <si>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</si>
  <si>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</si>
  <si>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</si>
  <si>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</si>
  <si>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</si>
  <si>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</si>
  <si>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</si>
  <si>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</si>
  <si>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</si>
  <si>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</si>
  <si>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</si>
  <si>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</si>
  <si>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</si>
  <si>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</si>
  <si>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</si>
  <si>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</si>
  <si>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</si>
  <si>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</si>
  <si>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</si>
  <si>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</si>
  <si>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</si>
  <si>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</si>
  <si>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</si>
  <si>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</si>
  <si>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</si>
  <si>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</si>
  <si>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</si>
  <si>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</si>
  <si>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</si>
  <si>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</si>
  <si>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</si>
  <si>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</si>
  <si>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</si>
  <si>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</si>
  <si>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</si>
  <si>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</si>
  <si>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</si>
  <si>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</si>
  <si>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</si>
  <si>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</si>
  <si>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</si>
  <si>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</si>
  <si>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</si>
  <si>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</si>
  <si>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</si>
  <si>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</si>
  <si>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</si>
  <si>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</si>
  <si>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</si>
  <si>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</si>
  <si>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</si>
  <si>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</si>
  <si>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</si>
  <si>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</si>
  <si>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</si>
  <si>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</si>
  <si>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</si>
  <si>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</si>
  <si>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</si>
  <si>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</si>
  <si>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</si>
  <si>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</si>
  <si>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</si>
  <si>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</si>
  <si>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</si>
  <si>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</si>
  <si>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</si>
  <si>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</si>
  <si>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</si>
  <si>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</si>
  <si>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</si>
  <si>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</si>
  <si>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</si>
  <si>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</si>
  <si>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</si>
  <si>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</si>
  <si>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</si>
  <si>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</si>
  <si>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</si>
  <si>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</si>
  <si>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</si>
  <si>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</si>
  <si>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</si>
  <si>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</si>
  <si>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</si>
  <si>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</si>
  <si>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</si>
  <si>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</si>
  <si>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</si>
  <si>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</si>
  <si>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</si>
  <si>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</si>
  <si>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</si>
  <si>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</si>
  <si>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</si>
  <si>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</si>
  <si>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</si>
  <si>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</si>
  <si>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</si>
  <si>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</si>
  <si>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</si>
  <si>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</si>
  <si>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</si>
  <si>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</si>
  <si>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</si>
  <si>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</si>
  <si>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</si>
  <si>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</si>
  <si>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</si>
  <si>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</si>
  <si>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</si>
  <si>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</si>
  <si>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</si>
  <si>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</si>
  <si>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</si>
  <si>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</si>
  <si>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</si>
  <si>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</si>
  <si>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</si>
  <si>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</si>
  <si>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</si>
  <si>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</si>
  <si>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</si>
  <si>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</si>
  <si>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</si>
  <si>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</si>
  <si>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</si>
  <si>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</si>
  <si>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</si>
  <si>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</si>
  <si>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</si>
  <si>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</si>
  <si>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</si>
  <si>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</si>
  <si>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</si>
  <si>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</si>
  <si>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</si>
  <si>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</si>
  <si>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</si>
  <si>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</si>
  <si>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</si>
  <si>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</si>
  <si>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</si>
  <si>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</si>
  <si>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</si>
  <si>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</si>
  <si>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</si>
  <si>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</si>
  <si>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</si>
  <si>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</si>
  <si>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</si>
  <si>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</si>
  <si>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</si>
  <si>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</si>
  <si>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</si>
  <si>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</si>
  <si>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</si>
  <si>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</si>
  <si>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</si>
  <si>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</si>
  <si>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</si>
  <si>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</si>
  <si>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</si>
  <si>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</si>
  <si>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</si>
  <si>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</si>
  <si>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</si>
  <si>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</si>
  <si>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</si>
  <si>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</si>
  <si>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</si>
  <si>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</si>
  <si>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</si>
  <si>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</si>
  <si>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</si>
  <si>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</si>
  <si>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</si>
  <si>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</si>
  <si>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</si>
  <si>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</si>
  <si>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</si>
  <si>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</si>
  <si>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</si>
  <si>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</si>
  <si>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</si>
  <si>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</si>
  <si>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</si>
  <si>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</si>
  <si>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</si>
  <si>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</si>
  <si>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</si>
  <si>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</si>
  <si>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</si>
  <si>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</si>
  <si>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</si>
  <si>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</si>
  <si>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</si>
  <si>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</si>
  <si>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</si>
  <si>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</si>
  <si>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</si>
  <si>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</si>
  <si>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</si>
  <si>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</si>
  <si>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</si>
  <si>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</si>
  <si>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</si>
  <si>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</si>
  <si>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</si>
  <si>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</si>
  <si>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</si>
  <si>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</si>
  <si>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</si>
  <si>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</si>
  <si>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</si>
  <si>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</si>
  <si>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</si>
  <si>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</si>
  <si>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</si>
  <si>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</si>
  <si>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</si>
  <si>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</si>
  <si>
    <t>Thomas Engelhardt (Germany)</t>
  </si>
  <si>
    <t>Johannes Mainhardt (Germany)</t>
  </si>
  <si>
    <t>Andrew Pospielovsky (Great Britain)</t>
  </si>
  <si>
    <t>Almira Zejnilagic (Great Britain)</t>
  </si>
  <si>
    <t>არადამოუკიდებელი თავმჯდომარე</t>
  </si>
  <si>
    <t>არადამოუკიდებელ წევრი</t>
  </si>
  <si>
    <t>დამოუკიდებელი წევრი</t>
  </si>
  <si>
    <t>Margarita Cherikbaeva (Kyrgyzstan)</t>
  </si>
  <si>
    <t>ზაალ ფირცხელავა</t>
  </si>
  <si>
    <t>გენერალური დირექტორი</t>
  </si>
  <si>
    <t>ერეკლე ზათიაშვილი</t>
  </si>
  <si>
    <t>ფინანსური დირექტორი</t>
  </si>
  <si>
    <t>ზაზა ტყეშელაშვილი</t>
  </si>
  <si>
    <t>საკრედიტო ოპერაციების დირექტორი</t>
  </si>
  <si>
    <t>ნიკოლოზ ქუთათელაძე</t>
  </si>
  <si>
    <t>კომერციული დირექტორი</t>
  </si>
  <si>
    <t>ალექსანდრე ქუმსიაშვილი</t>
  </si>
  <si>
    <t>საინფორმაციო ტექნოლოგიების დირექტორი</t>
  </si>
  <si>
    <t>გიორგი ნადარეიშვილი</t>
  </si>
  <si>
    <t>რისკების დირექტორი</t>
  </si>
  <si>
    <t xml:space="preserve">Access Credo GmbH (Germany) </t>
  </si>
  <si>
    <t>Gojo &amp; C0mpant Inc.</t>
  </si>
  <si>
    <t>Societe de Promotion et de Participation pour la Cooperation Economique (Proparco)</t>
  </si>
  <si>
    <t>British International Investment PLC (UK)</t>
  </si>
  <si>
    <t xml:space="preserve">European Investment Bank (Luxembourg) </t>
  </si>
  <si>
    <t xml:space="preserve">International Finance Corporation (USA) </t>
  </si>
  <si>
    <t xml:space="preserve">Kreditanstalt für Wiederaufbau (Germany) </t>
  </si>
  <si>
    <t xml:space="preserve">LFS Advisory GmbH (Germany) </t>
  </si>
  <si>
    <t>Omidyar Tufts Active Citizenship Trust (USA)</t>
  </si>
  <si>
    <t>Agence Francaise de developpement</t>
  </si>
  <si>
    <t xml:space="preserve"> ცხრილი 9 (Capital), C10 </t>
  </si>
  <si>
    <t xml:space="preserve"> ცხრილი 9 (Capital), C28 და C38</t>
  </si>
  <si>
    <t xml:space="preserve"> ცხრილი 9 (Capital), C2</t>
  </si>
  <si>
    <t xml:space="preserve"> ცხრილი 9 (Capital), C3</t>
  </si>
  <si>
    <t xml:space="preserve"> ცხრილი 9 (Capital), C6</t>
  </si>
  <si>
    <t>სს "კრედო ბანკი"</t>
  </si>
  <si>
    <t>ტომას ენგელჰარდტი</t>
  </si>
  <si>
    <t>www.credo.ge</t>
  </si>
  <si>
    <t>Satyagraha Inc.</t>
  </si>
  <si>
    <t>Dr. Bernd Zattler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</si>
</sst>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s>
  <fonts count="167">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
      <b/>
      <sz val="11"/>
      <color theme="1"/>
      <name val="Sylfaen"/>
      <family val="1"/>
    </font>
    <font>
      <sz val="11"/>
      <name val="Sylfaen"/>
      <family val="1"/>
    </font>
    <font>
      <b/>
      <sz val="9"/>
      <name val="Calibri"/>
      <family val="2"/>
      <scheme val="minor"/>
    </font>
  </fonts>
  <fills count="8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00"/>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9"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68"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69"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9"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0" fontId="69"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9"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168"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9"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9"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4" applyNumberFormat="0" applyFill="0" applyAlignment="0" applyProtection="0"/>
    <xf numFmtId="168" fontId="94" fillId="0" borderId="104" applyNumberFormat="0" applyFill="0" applyAlignment="0" applyProtection="0"/>
    <xf numFmtId="169" fontId="94" fillId="0" borderId="104" applyNumberFormat="0" applyFill="0" applyAlignment="0" applyProtection="0"/>
    <xf numFmtId="168" fontId="94" fillId="0" borderId="104" applyNumberFormat="0" applyFill="0" applyAlignment="0" applyProtection="0"/>
    <xf numFmtId="168" fontId="94" fillId="0" borderId="104" applyNumberFormat="0" applyFill="0" applyAlignment="0" applyProtection="0"/>
    <xf numFmtId="169" fontId="94" fillId="0" borderId="104" applyNumberFormat="0" applyFill="0" applyAlignment="0" applyProtection="0"/>
    <xf numFmtId="168" fontId="94" fillId="0" borderId="104" applyNumberFormat="0" applyFill="0" applyAlignment="0" applyProtection="0"/>
    <xf numFmtId="168" fontId="94" fillId="0" borderId="104" applyNumberFormat="0" applyFill="0" applyAlignment="0" applyProtection="0"/>
    <xf numFmtId="169" fontId="94" fillId="0" borderId="104" applyNumberFormat="0" applyFill="0" applyAlignment="0" applyProtection="0"/>
    <xf numFmtId="168" fontId="94" fillId="0" borderId="104" applyNumberFormat="0" applyFill="0" applyAlignment="0" applyProtection="0"/>
    <xf numFmtId="168" fontId="94" fillId="0" borderId="104" applyNumberFormat="0" applyFill="0" applyAlignment="0" applyProtection="0"/>
    <xf numFmtId="169" fontId="94" fillId="0" borderId="104" applyNumberFormat="0" applyFill="0" applyAlignment="0" applyProtection="0"/>
    <xf numFmtId="168" fontId="94"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169" fontId="94"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168" fontId="94"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168" fontId="94"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188" fontId="2" fillId="69" borderId="98" applyFont="0">
      <alignment horizontal="right" vertical="center"/>
    </xf>
    <xf numFmtId="3" fontId="2" fillId="69" borderId="98" applyFont="0">
      <alignment horizontal="right" vertical="center"/>
    </xf>
    <xf numFmtId="0" fontId="83" fillId="63" borderId="103" applyNumberFormat="0" applyAlignment="0" applyProtection="0"/>
    <xf numFmtId="168" fontId="85" fillId="63" borderId="103" applyNumberFormat="0" applyAlignment="0" applyProtection="0"/>
    <xf numFmtId="169" fontId="85" fillId="63" borderId="103" applyNumberFormat="0" applyAlignment="0" applyProtection="0"/>
    <xf numFmtId="168" fontId="85" fillId="63" borderId="103" applyNumberFormat="0" applyAlignment="0" applyProtection="0"/>
    <xf numFmtId="168" fontId="85" fillId="63" borderId="103" applyNumberFormat="0" applyAlignment="0" applyProtection="0"/>
    <xf numFmtId="169" fontId="85" fillId="63" borderId="103" applyNumberFormat="0" applyAlignment="0" applyProtection="0"/>
    <xf numFmtId="168" fontId="85" fillId="63" borderId="103" applyNumberFormat="0" applyAlignment="0" applyProtection="0"/>
    <xf numFmtId="168" fontId="85" fillId="63" borderId="103" applyNumberFormat="0" applyAlignment="0" applyProtection="0"/>
    <xf numFmtId="169" fontId="85" fillId="63" borderId="103" applyNumberFormat="0" applyAlignment="0" applyProtection="0"/>
    <xf numFmtId="168" fontId="85" fillId="63" borderId="103" applyNumberFormat="0" applyAlignment="0" applyProtection="0"/>
    <xf numFmtId="168" fontId="85" fillId="63" borderId="103" applyNumberFormat="0" applyAlignment="0" applyProtection="0"/>
    <xf numFmtId="169" fontId="85" fillId="63" borderId="103" applyNumberFormat="0" applyAlignment="0" applyProtection="0"/>
    <xf numFmtId="168" fontId="85"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169" fontId="85"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168" fontId="85"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168" fontId="85"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3" fontId="2" fillId="74" borderId="98" applyFont="0">
      <alignment horizontal="right" vertical="center"/>
      <protection locked="0"/>
    </xf>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 fillId="73" borderId="102" applyNumberFormat="0" applyFont="0" applyAlignment="0" applyProtection="0"/>
    <xf numFmtId="0" fontId="27"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3" fontId="2" fillId="71" borderId="98" applyFont="0">
      <alignment horizontal="right" vertical="center"/>
      <protection locked="0"/>
    </xf>
    <xf numFmtId="0" fontId="66" fillId="42" borderId="101" applyNumberFormat="0" applyAlignment="0" applyProtection="0"/>
    <xf numFmtId="168" fontId="68" fillId="42" borderId="101" applyNumberFormat="0" applyAlignment="0" applyProtection="0"/>
    <xf numFmtId="169" fontId="68" fillId="42" borderId="101" applyNumberFormat="0" applyAlignment="0" applyProtection="0"/>
    <xf numFmtId="168" fontId="68" fillId="42" borderId="101" applyNumberFormat="0" applyAlignment="0" applyProtection="0"/>
    <xf numFmtId="168" fontId="68" fillId="42" borderId="101" applyNumberFormat="0" applyAlignment="0" applyProtection="0"/>
    <xf numFmtId="169" fontId="68" fillId="42" borderId="101" applyNumberFormat="0" applyAlignment="0" applyProtection="0"/>
    <xf numFmtId="168" fontId="68" fillId="42" borderId="101" applyNumberFormat="0" applyAlignment="0" applyProtection="0"/>
    <xf numFmtId="168" fontId="68" fillId="42" borderId="101" applyNumberFormat="0" applyAlignment="0" applyProtection="0"/>
    <xf numFmtId="169" fontId="68" fillId="42" borderId="101" applyNumberFormat="0" applyAlignment="0" applyProtection="0"/>
    <xf numFmtId="168" fontId="68" fillId="42" borderId="101" applyNumberFormat="0" applyAlignment="0" applyProtection="0"/>
    <xf numFmtId="168" fontId="68" fillId="42" borderId="101" applyNumberFormat="0" applyAlignment="0" applyProtection="0"/>
    <xf numFmtId="169" fontId="68" fillId="42" borderId="101" applyNumberFormat="0" applyAlignment="0" applyProtection="0"/>
    <xf numFmtId="168" fontId="68"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169" fontId="68"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168" fontId="68"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168" fontId="68"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2" fillId="70" borderId="99" applyNumberFormat="0" applyFont="0" applyBorder="0" applyProtection="0">
      <alignment horizontal="left" vertical="center"/>
    </xf>
    <xf numFmtId="9" fontId="2" fillId="70" borderId="98" applyFont="0" applyProtection="0">
      <alignment horizontal="right" vertical="center"/>
    </xf>
    <xf numFmtId="3" fontId="2" fillId="70" borderId="98" applyFont="0" applyProtection="0">
      <alignment horizontal="right" vertical="center"/>
    </xf>
    <xf numFmtId="0" fontId="62" fillId="69" borderId="99" applyFont="0" applyBorder="0">
      <alignment horizontal="center" wrapText="1"/>
    </xf>
    <xf numFmtId="168" fontId="54" fillId="0" borderId="96">
      <alignment horizontal="left" vertical="center"/>
    </xf>
    <xf numFmtId="0" fontId="54" fillId="0" borderId="96">
      <alignment horizontal="left" vertical="center"/>
    </xf>
    <xf numFmtId="0" fontId="54" fillId="0" borderId="96">
      <alignment horizontal="left" vertical="center"/>
    </xf>
    <xf numFmtId="0" fontId="2" fillId="68" borderId="98" applyNumberFormat="0" applyFont="0" applyBorder="0" applyProtection="0">
      <alignment horizontal="center" vertical="center"/>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8" fillId="63" borderId="101" applyNumberFormat="0" applyAlignment="0" applyProtection="0"/>
    <xf numFmtId="168" fontId="40" fillId="63" borderId="101" applyNumberFormat="0" applyAlignment="0" applyProtection="0"/>
    <xf numFmtId="169" fontId="40" fillId="63" borderId="101" applyNumberFormat="0" applyAlignment="0" applyProtection="0"/>
    <xf numFmtId="168" fontId="40" fillId="63" borderId="101" applyNumberFormat="0" applyAlignment="0" applyProtection="0"/>
    <xf numFmtId="168" fontId="40" fillId="63" borderId="101" applyNumberFormat="0" applyAlignment="0" applyProtection="0"/>
    <xf numFmtId="169" fontId="40" fillId="63" borderId="101" applyNumberFormat="0" applyAlignment="0" applyProtection="0"/>
    <xf numFmtId="168" fontId="40" fillId="63" borderId="101" applyNumberFormat="0" applyAlignment="0" applyProtection="0"/>
    <xf numFmtId="168" fontId="40" fillId="63" borderId="101" applyNumberFormat="0" applyAlignment="0" applyProtection="0"/>
    <xf numFmtId="169" fontId="40" fillId="63" borderId="101" applyNumberFormat="0" applyAlignment="0" applyProtection="0"/>
    <xf numFmtId="168" fontId="40" fillId="63" borderId="101" applyNumberFormat="0" applyAlignment="0" applyProtection="0"/>
    <xf numFmtId="168" fontId="40" fillId="63" borderId="101" applyNumberFormat="0" applyAlignment="0" applyProtection="0"/>
    <xf numFmtId="169" fontId="40" fillId="63" borderId="101" applyNumberFormat="0" applyAlignment="0" applyProtection="0"/>
    <xf numFmtId="168" fontId="40"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169" fontId="40"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168" fontId="40"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168" fontId="40"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9" fillId="0" borderId="0"/>
    <xf numFmtId="0" fontId="1" fillId="0" borderId="0"/>
    <xf numFmtId="0" fontId="1" fillId="0" borderId="0"/>
  </cellStyleXfs>
  <cellXfs count="951">
    <xf numFmtId="0" fontId="0" fillId="0" borderId="0" xfId="0"/>
    <xf numFmtId="0" fontId="4" fillId="0" borderId="0" xfId="0" applyFont="1"/>
    <xf numFmtId="0" fontId="0" fillId="0" borderId="0" xfId="0" applyAlignment="1">
      <alignment wrapText="1"/>
    </xf>
    <xf numFmtId="167" fontId="3" fillId="0" borderId="0" xfId="0" applyNumberFormat="1" applyFont="1" applyAlignment="1">
      <alignment horizontal="center"/>
    </xf>
    <xf numFmtId="167" fontId="0" fillId="0" borderId="0" xfId="0" applyNumberFormat="1" applyAlignment="1">
      <alignment horizontal="center"/>
    </xf>
    <xf numFmtId="167" fontId="5" fillId="0" borderId="0" xfId="0" applyNumberFormat="1" applyFont="1" applyAlignment="1">
      <alignment horizontal="center"/>
    </xf>
    <xf numFmtId="0" fontId="4" fillId="0" borderId="3" xfId="0" applyFont="1" applyBorder="1"/>
    <xf numFmtId="0" fontId="9" fillId="0" borderId="16" xfId="0" applyFont="1" applyBorder="1"/>
    <xf numFmtId="0" fontId="12" fillId="0" borderId="0" xfId="0" applyFont="1"/>
    <xf numFmtId="0" fontId="9" fillId="0" borderId="0" xfId="0" applyFont="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xf numFmtId="0" fontId="9" fillId="0" borderId="8" xfId="0" applyFont="1" applyBorder="1" applyAlignment="1">
      <alignment wrapText="1"/>
    </xf>
    <xf numFmtId="0" fontId="9" fillId="0" borderId="21"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4" fillId="0" borderId="21" xfId="0" applyFont="1" applyBorder="1"/>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Protection="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Alignment="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9" xfId="9" applyFont="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3" fillId="0" borderId="60" xfId="0" applyNumberFormat="1" applyFont="1" applyBorder="1" applyAlignment="1">
      <alignment horizontal="center"/>
    </xf>
    <xf numFmtId="167" fontId="23" fillId="0" borderId="58" xfId="0" applyNumberFormat="1" applyFont="1" applyBorder="1" applyAlignment="1">
      <alignment horizontal="center"/>
    </xf>
    <xf numFmtId="167" fontId="19" fillId="0" borderId="58" xfId="0" applyNumberFormat="1" applyFont="1" applyBorder="1" applyAlignment="1">
      <alignment horizontal="center"/>
    </xf>
    <xf numFmtId="167" fontId="23" fillId="0" borderId="61" xfId="0" applyNumberFormat="1" applyFont="1" applyBorder="1" applyAlignment="1">
      <alignment horizontal="center"/>
    </xf>
    <xf numFmtId="167" fontId="23" fillId="0" borderId="62"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3" xfId="0" applyFont="1" applyBorder="1"/>
    <xf numFmtId="0" fontId="4" fillId="0" borderId="17" xfId="0" applyFont="1" applyBorder="1"/>
    <xf numFmtId="0" fontId="4" fillId="0" borderId="22" xfId="0" applyFont="1" applyBorder="1"/>
    <xf numFmtId="0" fontId="7" fillId="3" borderId="19" xfId="5" applyFont="1" applyFill="1" applyBorder="1" applyAlignment="1" applyProtection="1">
      <alignment horizontal="right" vertical="center"/>
      <protection locked="0"/>
    </xf>
    <xf numFmtId="0" fontId="15"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7"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Border="1" applyAlignment="1">
      <alignment vertical="center" wrapText="1"/>
    </xf>
    <xf numFmtId="0" fontId="6" fillId="35" borderId="9" xfId="0" applyFont="1" applyFill="1" applyBorder="1" applyAlignment="1">
      <alignment wrapText="1"/>
    </xf>
    <xf numFmtId="0" fontId="6" fillId="35" borderId="68" xfId="0" applyFont="1" applyFill="1" applyBorder="1" applyAlignment="1">
      <alignment wrapText="1"/>
    </xf>
    <xf numFmtId="0" fontId="15"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4" fillId="0" borderId="6" xfId="0" applyFont="1" applyBorder="1" applyAlignment="1">
      <alignment horizontal="center" vertical="center" wrapText="1"/>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4" fillId="0" borderId="22"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76" xfId="0" applyNumberFormat="1" applyFont="1" applyBorder="1" applyAlignment="1">
      <alignment horizontal="right" vertical="center"/>
    </xf>
    <xf numFmtId="49" fontId="106" fillId="0" borderId="79" xfId="0" applyNumberFormat="1" applyFont="1" applyBorder="1" applyAlignment="1">
      <alignment horizontal="right" vertical="center"/>
    </xf>
    <xf numFmtId="49" fontId="106" fillId="0" borderId="84" xfId="0" applyNumberFormat="1" applyFont="1" applyBorder="1" applyAlignment="1">
      <alignment horizontal="right" vertical="center"/>
    </xf>
    <xf numFmtId="0" fontId="106" fillId="0" borderId="0" xfId="0" applyFont="1" applyAlignment="1">
      <alignment horizontal="left"/>
    </xf>
    <xf numFmtId="0" fontId="106" fillId="0" borderId="84" xfId="0" applyFont="1" applyBorder="1" applyAlignment="1">
      <alignment horizontal="right" vertical="center"/>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3" fontId="9" fillId="2" borderId="23" xfId="0" applyNumberFormat="1" applyFont="1" applyFill="1" applyBorder="1" applyAlignment="1" applyProtection="1">
      <alignment vertical="center"/>
      <protection locked="0"/>
    </xf>
    <xf numFmtId="3" fontId="21" fillId="35" borderId="23"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193" fontId="0" fillId="35" borderId="18" xfId="0" applyNumberFormat="1" applyFill="1" applyBorder="1" applyAlignment="1">
      <alignment horizontal="center" vertical="center"/>
    </xf>
    <xf numFmtId="193" fontId="0" fillId="0" borderId="20" xfId="0" applyNumberFormat="1" applyBorder="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7" fillId="35"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5"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5" borderId="20" xfId="2" applyNumberFormat="1" applyFont="1" applyFill="1" applyBorder="1" applyAlignment="1" applyProtection="1">
      <alignment vertical="top" wrapText="1"/>
      <protection locked="0"/>
    </xf>
    <xf numFmtId="193" fontId="7" fillId="35" borderId="24" xfId="2" applyNumberFormat="1" applyFont="1" applyFill="1" applyBorder="1" applyAlignment="1" applyProtection="1">
      <alignment vertical="top" wrapText="1"/>
    </xf>
    <xf numFmtId="193" fontId="19" fillId="0" borderId="13" xfId="0" applyNumberFormat="1" applyFont="1" applyBorder="1" applyAlignment="1">
      <alignment vertical="center"/>
    </xf>
    <xf numFmtId="193" fontId="4" fillId="0" borderId="3" xfId="0" applyNumberFormat="1" applyFont="1" applyBorder="1"/>
    <xf numFmtId="193" fontId="4" fillId="35" borderId="23" xfId="0" applyNumberFormat="1" applyFont="1" applyFill="1" applyBorder="1"/>
    <xf numFmtId="193" fontId="4" fillId="0" borderId="19" xfId="0" applyNumberFormat="1" applyFont="1" applyBorder="1"/>
    <xf numFmtId="193" fontId="4" fillId="0" borderId="20" xfId="0" applyNumberFormat="1" applyFont="1" applyBorder="1"/>
    <xf numFmtId="193" fontId="4" fillId="35" borderId="51" xfId="0" applyNumberFormat="1" applyFont="1" applyFill="1" applyBorder="1"/>
    <xf numFmtId="193" fontId="4" fillId="35" borderId="22" xfId="0" applyNumberFormat="1" applyFont="1" applyFill="1" applyBorder="1"/>
    <xf numFmtId="193" fontId="4" fillId="35" borderId="24" xfId="0" applyNumberFormat="1" applyFont="1" applyFill="1" applyBorder="1"/>
    <xf numFmtId="193" fontId="4" fillId="35" borderId="52"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xf numFmtId="0" fontId="4" fillId="0" borderId="26" xfId="0" applyFont="1" applyBorder="1" applyAlignment="1">
      <alignment wrapText="1"/>
    </xf>
    <xf numFmtId="193" fontId="4" fillId="0" borderId="21" xfId="0" applyNumberFormat="1" applyFont="1" applyBorder="1"/>
    <xf numFmtId="193" fontId="4" fillId="0" borderId="21" xfId="0" applyNumberFormat="1" applyFont="1" applyBorder="1" applyAlignment="1">
      <alignment wrapText="1"/>
    </xf>
    <xf numFmtId="0" fontId="4"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6" fillId="0" borderId="0" xfId="0" applyFont="1" applyAlignment="1">
      <alignment horizontal="center" wrapText="1"/>
    </xf>
    <xf numFmtId="9" fontId="4" fillId="0" borderId="20" xfId="20961" applyFont="1" applyBorder="1"/>
    <xf numFmtId="9" fontId="4" fillId="35" borderId="24" xfId="20961" applyFont="1" applyFill="1" applyBorder="1"/>
    <xf numFmtId="167" fontId="4" fillId="0" borderId="20" xfId="0" applyNumberFormat="1" applyFont="1" applyBorder="1"/>
    <xf numFmtId="167" fontId="6" fillId="35" borderId="23" xfId="0" applyNumberFormat="1" applyFont="1" applyFill="1" applyBorder="1" applyAlignment="1">
      <alignment horizontal="center" vertical="center"/>
    </xf>
    <xf numFmtId="0" fontId="9" fillId="0" borderId="16" xfId="0" applyFont="1" applyBorder="1" applyAlignment="1">
      <alignment horizontal="right" vertical="center" wrapText="1"/>
    </xf>
    <xf numFmtId="0" fontId="7" fillId="0" borderId="17" xfId="0" applyFont="1" applyBorder="1" applyAlignment="1">
      <alignment vertical="center" wrapText="1"/>
    </xf>
    <xf numFmtId="169" fontId="26" fillId="36" borderId="0" xfId="20"/>
    <xf numFmtId="169" fontId="26" fillId="36" borderId="92" xfId="20" applyBorder="1"/>
    <xf numFmtId="0" fontId="4" fillId="0" borderId="7" xfId="0" applyFont="1" applyBorder="1" applyAlignment="1">
      <alignment vertical="center"/>
    </xf>
    <xf numFmtId="0" fontId="4" fillId="0" borderId="53" xfId="0" applyFont="1" applyBorder="1" applyAlignment="1">
      <alignment vertical="center"/>
    </xf>
    <xf numFmtId="0" fontId="4" fillId="0" borderId="98" xfId="0" applyFont="1" applyBorder="1" applyAlignment="1">
      <alignment vertical="center"/>
    </xf>
    <xf numFmtId="0" fontId="6" fillId="0" borderId="98" xfId="0" applyFont="1" applyBorder="1" applyAlignment="1">
      <alignment vertical="center"/>
    </xf>
    <xf numFmtId="0" fontId="4" fillId="0" borderId="17" xfId="0" applyFont="1" applyBorder="1" applyAlignment="1">
      <alignment vertical="center"/>
    </xf>
    <xf numFmtId="0" fontId="4" fillId="0" borderId="94" xfId="0" applyFont="1" applyBorder="1" applyAlignment="1">
      <alignment vertical="center"/>
    </xf>
    <xf numFmtId="0" fontId="4" fillId="0" borderId="95" xfId="0" applyFont="1" applyBorder="1" applyAlignment="1">
      <alignment vertical="center"/>
    </xf>
    <xf numFmtId="0" fontId="4" fillId="0" borderId="16" xfId="0" applyFont="1" applyBorder="1" applyAlignment="1">
      <alignment horizontal="center" vertical="center"/>
    </xf>
    <xf numFmtId="0" fontId="4" fillId="0" borderId="106" xfId="0" applyFont="1" applyBorder="1" applyAlignment="1">
      <alignment horizontal="center" vertical="center"/>
    </xf>
    <xf numFmtId="0" fontId="4" fillId="0" borderId="108" xfId="0" applyFont="1" applyBorder="1" applyAlignment="1">
      <alignment horizontal="center" vertical="center"/>
    </xf>
    <xf numFmtId="169" fontId="26" fillId="36" borderId="29" xfId="20" applyBorder="1"/>
    <xf numFmtId="169" fontId="26" fillId="36" borderId="109" xfId="20" applyBorder="1"/>
    <xf numFmtId="169" fontId="26" fillId="36" borderId="100" xfId="20" applyBorder="1"/>
    <xf numFmtId="169" fontId="26" fillId="36" borderId="55" xfId="20" applyBorder="1"/>
    <xf numFmtId="0" fontId="4" fillId="3" borderId="63" xfId="0" applyFont="1" applyFill="1" applyBorder="1" applyAlignment="1">
      <alignment horizontal="center" vertical="center"/>
    </xf>
    <xf numFmtId="0" fontId="4" fillId="3" borderId="0" xfId="0" applyFont="1" applyFill="1" applyAlignment="1">
      <alignment vertical="center"/>
    </xf>
    <xf numFmtId="0" fontId="4" fillId="0" borderId="69" xfId="0" applyFont="1" applyBorder="1" applyAlignment="1">
      <alignment horizontal="center" vertical="center"/>
    </xf>
    <xf numFmtId="0" fontId="4" fillId="3" borderId="96"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98" xfId="0" applyFont="1" applyBorder="1" applyAlignment="1">
      <alignment horizontal="center" vertical="center" wrapText="1"/>
    </xf>
    <xf numFmtId="0" fontId="106" fillId="0" borderId="86" xfId="0" applyFont="1" applyBorder="1" applyAlignment="1">
      <alignment horizontal="right" vertical="center"/>
    </xf>
    <xf numFmtId="0" fontId="4" fillId="0" borderId="112" xfId="0" applyFont="1" applyBorder="1" applyAlignment="1">
      <alignment horizontal="center" vertical="center" wrapText="1"/>
    </xf>
    <xf numFmtId="0" fontId="6" fillId="3" borderId="113" xfId="0" applyFont="1" applyFill="1" applyBorder="1" applyAlignment="1">
      <alignment vertical="center"/>
    </xf>
    <xf numFmtId="0" fontId="4" fillId="3" borderId="21" xfId="0" applyFont="1" applyFill="1" applyBorder="1" applyAlignment="1">
      <alignment vertical="center"/>
    </xf>
    <xf numFmtId="0" fontId="4" fillId="0" borderId="114" xfId="0" applyFont="1" applyBorder="1" applyAlignment="1">
      <alignment horizontal="center" vertical="center"/>
    </xf>
    <xf numFmtId="0" fontId="6" fillId="0" borderId="23" xfId="0" applyFont="1" applyBorder="1" applyAlignment="1">
      <alignment vertical="center"/>
    </xf>
    <xf numFmtId="169" fontId="26" fillId="36" borderId="25" xfId="20" applyBorder="1"/>
    <xf numFmtId="0" fontId="4" fillId="0" borderId="7" xfId="0" applyFont="1" applyBorder="1" applyAlignment="1">
      <alignment horizontal="center" vertical="center" wrapText="1"/>
    </xf>
    <xf numFmtId="0" fontId="4" fillId="0" borderId="64" xfId="0" applyFont="1" applyBorder="1" applyAlignment="1">
      <alignment horizontal="center" vertical="center" wrapText="1"/>
    </xf>
    <xf numFmtId="0" fontId="7" fillId="0" borderId="16" xfId="11" applyFont="1" applyBorder="1" applyAlignment="1">
      <alignment vertical="center"/>
    </xf>
    <xf numFmtId="0" fontId="7" fillId="0" borderId="17" xfId="11" applyFont="1" applyBorder="1" applyAlignment="1">
      <alignment vertical="center"/>
    </xf>
    <xf numFmtId="0" fontId="15" fillId="0" borderId="18" xfId="11" applyFont="1" applyBorder="1" applyAlignment="1">
      <alignment horizontal="center" vertical="center"/>
    </xf>
    <xf numFmtId="0" fontId="0" fillId="0" borderId="114" xfId="0" applyBorder="1"/>
    <xf numFmtId="0" fontId="0" fillId="0" borderId="22" xfId="0" applyBorder="1"/>
    <xf numFmtId="0" fontId="6" fillId="35" borderId="115" xfId="0" applyFont="1" applyFill="1" applyBorder="1" applyAlignment="1">
      <alignment vertical="center" wrapText="1"/>
    </xf>
    <xf numFmtId="0" fontId="7" fillId="0" borderId="0" xfId="0" applyFont="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4" xfId="0" applyFont="1" applyFill="1" applyBorder="1" applyAlignment="1">
      <alignment horizontal="left" vertical="center" wrapText="1"/>
    </xf>
    <xf numFmtId="0" fontId="6" fillId="35" borderId="98" xfId="0" applyFont="1" applyFill="1" applyBorder="1" applyAlignment="1">
      <alignment horizontal="left" vertical="center" wrapText="1"/>
    </xf>
    <xf numFmtId="0" fontId="6" fillId="35" borderId="112" xfId="0" applyFont="1" applyFill="1" applyBorder="1" applyAlignment="1">
      <alignment horizontal="left" vertical="center" wrapText="1"/>
    </xf>
    <xf numFmtId="0" fontId="4" fillId="0" borderId="114" xfId="0" applyFont="1" applyBorder="1" applyAlignment="1">
      <alignment horizontal="right" vertical="center" wrapText="1"/>
    </xf>
    <xf numFmtId="0" fontId="4" fillId="0" borderId="98" xfId="0" applyFont="1" applyBorder="1" applyAlignment="1">
      <alignment horizontal="left" vertical="center" wrapText="1"/>
    </xf>
    <xf numFmtId="0" fontId="109" fillId="0" borderId="114" xfId="0" applyFont="1" applyBorder="1" applyAlignment="1">
      <alignment horizontal="right" vertical="center" wrapText="1"/>
    </xf>
    <xf numFmtId="0" fontId="109" fillId="0" borderId="98" xfId="0" applyFont="1" applyBorder="1" applyAlignment="1">
      <alignment horizontal="left" vertical="center" wrapText="1"/>
    </xf>
    <xf numFmtId="0" fontId="6" fillId="0" borderId="114"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9" fillId="0" borderId="0" xfId="0" applyFont="1" applyAlignment="1">
      <alignment horizontal="left" vertical="center"/>
    </xf>
    <xf numFmtId="49" fontId="110" fillId="0" borderId="22" xfId="5" applyNumberFormat="1" applyFont="1" applyBorder="1" applyAlignment="1" applyProtection="1">
      <alignment horizontal="left" vertical="center"/>
      <protection locked="0"/>
    </xf>
    <xf numFmtId="0" fontId="111" fillId="0" borderId="23" xfId="9" applyFont="1" applyBorder="1" applyAlignment="1" applyProtection="1">
      <alignment horizontal="left" vertical="center" wrapText="1"/>
      <protection locked="0"/>
    </xf>
    <xf numFmtId="0" fontId="20" fillId="0" borderId="114" xfId="0" applyFont="1" applyBorder="1" applyAlignment="1">
      <alignment horizontal="center" vertical="center" wrapText="1"/>
    </xf>
    <xf numFmtId="3" fontId="21" fillId="35" borderId="98" xfId="0" applyNumberFormat="1" applyFont="1" applyFill="1" applyBorder="1" applyAlignment="1">
      <alignment vertical="center" wrapText="1"/>
    </xf>
    <xf numFmtId="3" fontId="21" fillId="35" borderId="112" xfId="0" applyNumberFormat="1" applyFont="1" applyFill="1" applyBorder="1" applyAlignment="1">
      <alignment vertical="center" wrapText="1"/>
    </xf>
    <xf numFmtId="14" fontId="7" fillId="3" borderId="98" xfId="8" quotePrefix="1" applyNumberFormat="1" applyFont="1" applyFill="1" applyBorder="1" applyAlignment="1" applyProtection="1">
      <alignment horizontal="left" vertical="center" wrapText="1" indent="2"/>
      <protection locked="0"/>
    </xf>
    <xf numFmtId="3" fontId="21" fillId="0" borderId="98" xfId="0" applyNumberFormat="1" applyFont="1" applyBorder="1" applyAlignment="1">
      <alignment vertical="center" wrapText="1"/>
    </xf>
    <xf numFmtId="14" fontId="7" fillId="3" borderId="98" xfId="8" quotePrefix="1" applyNumberFormat="1" applyFont="1" applyFill="1" applyBorder="1" applyAlignment="1" applyProtection="1">
      <alignment horizontal="left" vertical="center" wrapText="1" indent="3"/>
      <protection locked="0"/>
    </xf>
    <xf numFmtId="0" fontId="11" fillId="0" borderId="98" xfId="17" applyFill="1" applyBorder="1" applyAlignment="1" applyProtection="1"/>
    <xf numFmtId="49" fontId="109" fillId="0" borderId="114" xfId="0" applyNumberFormat="1" applyFont="1" applyBorder="1" applyAlignment="1">
      <alignment horizontal="right" vertical="center" wrapText="1"/>
    </xf>
    <xf numFmtId="0" fontId="7" fillId="3" borderId="98" xfId="20960" applyFont="1" applyFill="1" applyBorder="1"/>
    <xf numFmtId="0" fontId="103" fillId="0" borderId="98" xfId="20960" applyFont="1" applyBorder="1" applyAlignment="1">
      <alignment horizontal="center" vertical="center"/>
    </xf>
    <xf numFmtId="0" fontId="4" fillId="0" borderId="98" xfId="0" applyFont="1" applyBorder="1"/>
    <xf numFmtId="0" fontId="11" fillId="0" borderId="98" xfId="17" applyFill="1" applyBorder="1" applyAlignment="1" applyProtection="1">
      <alignment horizontal="left" vertical="center" wrapText="1"/>
    </xf>
    <xf numFmtId="49" fontId="109" fillId="0" borderId="98" xfId="0" applyNumberFormat="1" applyFont="1" applyBorder="1" applyAlignment="1">
      <alignment horizontal="right" vertical="center" wrapText="1"/>
    </xf>
    <xf numFmtId="0" fontId="11" fillId="0" borderId="98" xfId="17" applyFill="1" applyBorder="1" applyAlignment="1" applyProtection="1">
      <alignment horizontal="left" vertical="center"/>
    </xf>
    <xf numFmtId="10" fontId="7" fillId="0" borderId="98" xfId="20961" applyNumberFormat="1" applyFont="1" applyFill="1" applyBorder="1" applyAlignment="1">
      <alignment horizontal="left" vertical="center" wrapText="1"/>
    </xf>
    <xf numFmtId="10" fontId="4" fillId="0" borderId="98" xfId="20961" applyNumberFormat="1" applyFont="1" applyFill="1" applyBorder="1" applyAlignment="1">
      <alignment horizontal="left" vertical="center" wrapText="1"/>
    </xf>
    <xf numFmtId="10" fontId="6" fillId="35" borderId="98" xfId="0" applyNumberFormat="1" applyFont="1" applyFill="1" applyBorder="1" applyAlignment="1">
      <alignment horizontal="left" vertical="center" wrapText="1"/>
    </xf>
    <xf numFmtId="10" fontId="109" fillId="0" borderId="98" xfId="20961" applyNumberFormat="1" applyFont="1" applyFill="1" applyBorder="1" applyAlignment="1">
      <alignment horizontal="left" vertical="center" wrapText="1"/>
    </xf>
    <xf numFmtId="10" fontId="6" fillId="35" borderId="98" xfId="20961" applyNumberFormat="1" applyFont="1" applyFill="1" applyBorder="1" applyAlignment="1">
      <alignment horizontal="left" vertical="center" wrapText="1"/>
    </xf>
    <xf numFmtId="10" fontId="6" fillId="35" borderId="98" xfId="0" applyNumberFormat="1" applyFont="1" applyFill="1" applyBorder="1" applyAlignment="1">
      <alignment horizontal="center" vertical="center" wrapText="1"/>
    </xf>
    <xf numFmtId="10" fontId="111" fillId="0" borderId="23"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4" xfId="0" applyFont="1" applyBorder="1" applyAlignment="1">
      <alignment horizontal="right" vertical="center" wrapText="1"/>
    </xf>
    <xf numFmtId="0" fontId="7" fillId="0" borderId="98" xfId="0" applyFont="1" applyBorder="1" applyAlignment="1">
      <alignment vertical="center" wrapText="1"/>
    </xf>
    <xf numFmtId="0" fontId="4" fillId="0" borderId="98" xfId="0" applyFont="1" applyBorder="1" applyAlignment="1">
      <alignment vertical="center" wrapText="1"/>
    </xf>
    <xf numFmtId="0" fontId="4" fillId="0" borderId="98" xfId="0" applyFont="1" applyBorder="1" applyAlignment="1">
      <alignment horizontal="left" vertical="center" wrapText="1" indent="2"/>
    </xf>
    <xf numFmtId="3" fontId="21" fillId="35" borderId="99" xfId="0" applyNumberFormat="1" applyFont="1" applyFill="1" applyBorder="1" applyAlignment="1">
      <alignment vertical="center" wrapText="1"/>
    </xf>
    <xf numFmtId="3" fontId="21" fillId="35" borderId="21" xfId="0" applyNumberFormat="1" applyFont="1" applyFill="1" applyBorder="1" applyAlignment="1">
      <alignment vertical="center" wrapText="1"/>
    </xf>
    <xf numFmtId="3" fontId="21" fillId="35" borderId="25" xfId="0" applyNumberFormat="1" applyFont="1" applyFill="1" applyBorder="1" applyAlignment="1">
      <alignment vertical="center" wrapText="1"/>
    </xf>
    <xf numFmtId="3" fontId="21" fillId="35"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2" xfId="0" applyFont="1" applyBorder="1"/>
    <xf numFmtId="0" fontId="9" fillId="0" borderId="112" xfId="0" applyFont="1" applyBorder="1"/>
    <xf numFmtId="0" fontId="10" fillId="0" borderId="18" xfId="0" applyFont="1" applyBorder="1" applyAlignment="1">
      <alignment horizontal="center"/>
    </xf>
    <xf numFmtId="0" fontId="10" fillId="0" borderId="112"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9" fillId="0" borderId="114" xfId="0" applyFont="1" applyBorder="1" applyAlignment="1">
      <alignment horizontal="center" vertical="center" wrapText="1"/>
    </xf>
    <xf numFmtId="0" fontId="15" fillId="0" borderId="98" xfId="0" applyFont="1" applyBorder="1" applyAlignment="1">
      <alignment horizontal="center" vertical="center" wrapText="1"/>
    </xf>
    <xf numFmtId="0" fontId="16" fillId="0" borderId="98" xfId="0" applyFont="1" applyBorder="1" applyAlignment="1">
      <alignment horizontal="left" vertical="center" wrapText="1"/>
    </xf>
    <xf numFmtId="193" fontId="7" fillId="0" borderId="98" xfId="0" applyNumberFormat="1" applyFont="1" applyBorder="1" applyAlignment="1" applyProtection="1">
      <alignment vertical="center" wrapText="1"/>
      <protection locked="0"/>
    </xf>
    <xf numFmtId="193" fontId="7" fillId="0" borderId="98" xfId="0" applyNumberFormat="1" applyFont="1" applyBorder="1" applyAlignment="1" applyProtection="1">
      <alignment horizontal="right" vertical="center" wrapText="1"/>
      <protection locked="0"/>
    </xf>
    <xf numFmtId="0" fontId="9" fillId="2" borderId="114" xfId="0" applyFont="1" applyFill="1" applyBorder="1" applyAlignment="1">
      <alignment horizontal="right" vertical="center"/>
    </xf>
    <xf numFmtId="0" fontId="9" fillId="2" borderId="98" xfId="0" applyFont="1" applyFill="1" applyBorder="1" applyAlignment="1">
      <alignment vertical="center"/>
    </xf>
    <xf numFmtId="193" fontId="9" fillId="2" borderId="98" xfId="0" applyNumberFormat="1" applyFont="1" applyFill="1" applyBorder="1" applyAlignment="1" applyProtection="1">
      <alignment vertical="center"/>
      <protection locked="0"/>
    </xf>
    <xf numFmtId="0" fontId="15" fillId="0" borderId="114" xfId="0" applyFont="1" applyBorder="1" applyAlignment="1">
      <alignment horizontal="center" vertical="center" wrapText="1"/>
    </xf>
    <xf numFmtId="14" fontId="4" fillId="0" borderId="0" xfId="0" applyNumberFormat="1" applyFont="1"/>
    <xf numFmtId="10" fontId="4" fillId="0" borderId="98" xfId="20961" applyNumberFormat="1" applyFont="1" applyFill="1" applyBorder="1" applyAlignment="1" applyProtection="1">
      <alignment horizontal="right" vertical="center" wrapText="1"/>
      <protection locked="0"/>
    </xf>
    <xf numFmtId="0" fontId="4" fillId="3" borderId="54"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8" xfId="0" applyFont="1" applyBorder="1" applyAlignment="1">
      <alignment horizontal="center"/>
    </xf>
    <xf numFmtId="0" fontId="4" fillId="3" borderId="63"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92" xfId="0" applyFont="1" applyFill="1" applyBorder="1" applyAlignment="1">
      <alignment horizontal="center" vertical="center" wrapText="1"/>
    </xf>
    <xf numFmtId="0" fontId="4" fillId="0" borderId="114" xfId="0" applyFont="1" applyBorder="1"/>
    <xf numFmtId="0" fontId="4" fillId="0" borderId="98" xfId="0" applyFont="1" applyBorder="1" applyAlignment="1">
      <alignment wrapText="1"/>
    </xf>
    <xf numFmtId="164" fontId="4" fillId="0" borderId="98" xfId="7" applyNumberFormat="1" applyFont="1" applyBorder="1"/>
    <xf numFmtId="164" fontId="4" fillId="0" borderId="112" xfId="7" applyNumberFormat="1" applyFont="1" applyBorder="1"/>
    <xf numFmtId="0" fontId="14" fillId="0" borderId="98" xfId="0" applyFont="1" applyBorder="1" applyAlignment="1">
      <alignment horizontal="left" wrapText="1" indent="2"/>
    </xf>
    <xf numFmtId="169" fontId="26" fillId="36" borderId="98" xfId="20" applyBorder="1"/>
    <xf numFmtId="164" fontId="4" fillId="0" borderId="98" xfId="7" applyNumberFormat="1" applyFont="1" applyBorder="1" applyAlignment="1">
      <alignment vertical="center"/>
    </xf>
    <xf numFmtId="0" fontId="6" fillId="0" borderId="114" xfId="0" applyFont="1" applyBorder="1"/>
    <xf numFmtId="0" fontId="6" fillId="0" borderId="98" xfId="0" applyFont="1" applyBorder="1" applyAlignment="1">
      <alignment wrapText="1"/>
    </xf>
    <xf numFmtId="164" fontId="6" fillId="0" borderId="112" xfId="7" applyNumberFormat="1" applyFont="1" applyBorder="1"/>
    <xf numFmtId="0" fontId="3" fillId="3" borderId="63"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2" xfId="7" applyNumberFormat="1" applyFont="1" applyFill="1" applyBorder="1"/>
    <xf numFmtId="164" fontId="4" fillId="0" borderId="98" xfId="7" applyNumberFormat="1" applyFont="1" applyFill="1" applyBorder="1"/>
    <xf numFmtId="164" fontId="4" fillId="0" borderId="98" xfId="7" applyNumberFormat="1" applyFont="1" applyFill="1" applyBorder="1" applyAlignment="1">
      <alignment vertical="center"/>
    </xf>
    <xf numFmtId="0" fontId="14" fillId="0" borderId="98"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92" xfId="0" applyFont="1" applyFill="1" applyBorder="1"/>
    <xf numFmtId="0" fontId="6" fillId="0" borderId="22" xfId="0" applyFont="1" applyBorder="1"/>
    <xf numFmtId="0" fontId="6" fillId="0" borderId="23" xfId="0" applyFont="1" applyBorder="1" applyAlignment="1">
      <alignment wrapText="1"/>
    </xf>
    <xf numFmtId="169" fontId="26" fillId="36" borderId="115" xfId="20" applyBorder="1"/>
    <xf numFmtId="10" fontId="6" fillId="0" borderId="24" xfId="20961" applyNumberFormat="1" applyFont="1" applyBorder="1"/>
    <xf numFmtId="0" fontId="9" fillId="2" borderId="106" xfId="0" applyFont="1" applyFill="1" applyBorder="1" applyAlignment="1">
      <alignment horizontal="right" vertical="center"/>
    </xf>
    <xf numFmtId="0" fontId="9" fillId="2" borderId="94" xfId="0" applyFont="1" applyFill="1" applyBorder="1" applyAlignment="1">
      <alignment vertical="center"/>
    </xf>
    <xf numFmtId="193" fontId="9" fillId="2" borderId="94" xfId="0" applyNumberFormat="1" applyFont="1" applyFill="1" applyBorder="1" applyAlignment="1" applyProtection="1">
      <alignment vertical="center"/>
      <protection locked="0"/>
    </xf>
    <xf numFmtId="0" fontId="9" fillId="0" borderId="98" xfId="0" applyFont="1" applyBorder="1" applyAlignment="1">
      <alignment horizontal="left" vertical="center" wrapText="1"/>
    </xf>
    <xf numFmtId="0" fontId="6" fillId="3" borderId="0" xfId="0" applyFont="1" applyFill="1" applyAlignment="1">
      <alignment horizontal="center"/>
    </xf>
    <xf numFmtId="0" fontId="106" fillId="0" borderId="86" xfId="0" applyFont="1" applyBorder="1" applyAlignment="1">
      <alignment horizontal="left" vertical="center"/>
    </xf>
    <xf numFmtId="0" fontId="106" fillId="0" borderId="84" xfId="0" applyFont="1" applyBorder="1" applyAlignment="1">
      <alignment vertical="center" wrapText="1"/>
    </xf>
    <xf numFmtId="0" fontId="106" fillId="0" borderId="84" xfId="0" applyFont="1" applyBorder="1" applyAlignment="1">
      <alignment horizontal="left" vertical="center" wrapText="1"/>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28" xfId="0" applyFont="1" applyBorder="1" applyAlignment="1">
      <alignment horizontal="left" vertical="center" wrapText="1"/>
    </xf>
    <xf numFmtId="0" fontId="125" fillId="0" borderId="0" xfId="0" applyFont="1"/>
    <xf numFmtId="49" fontId="106" fillId="0" borderId="98" xfId="0" applyNumberFormat="1" applyFont="1" applyBorder="1" applyAlignment="1">
      <alignment horizontal="right" vertical="center"/>
    </xf>
    <xf numFmtId="0" fontId="126" fillId="0" borderId="0" xfId="0" applyFont="1"/>
    <xf numFmtId="0" fontId="117" fillId="0" borderId="0" xfId="0" applyFont="1" applyAlignment="1">
      <alignment horizontal="left" indent="1"/>
    </xf>
    <xf numFmtId="0" fontId="117" fillId="0" borderId="0" xfId="0" applyFont="1" applyAlignment="1">
      <alignment horizontal="left" indent="2"/>
    </xf>
    <xf numFmtId="49" fontId="117" fillId="0" borderId="0" xfId="0" applyNumberFormat="1" applyFont="1" applyAlignment="1">
      <alignment horizontal="left" indent="3"/>
    </xf>
    <xf numFmtId="49" fontId="117" fillId="0" borderId="0" xfId="0" applyNumberFormat="1" applyFont="1" applyAlignment="1">
      <alignment horizontal="left" indent="1"/>
    </xf>
    <xf numFmtId="49" fontId="117" fillId="0" borderId="0" xfId="0" applyNumberFormat="1" applyFont="1" applyAlignment="1">
      <alignment horizontal="left" wrapText="1" indent="2"/>
    </xf>
    <xf numFmtId="49" fontId="117" fillId="0" borderId="0" xfId="0" applyNumberFormat="1" applyFont="1" applyAlignment="1">
      <alignment horizontal="left" wrapText="1" indent="3"/>
    </xf>
    <xf numFmtId="0" fontId="117" fillId="0" borderId="0" xfId="0" applyFont="1" applyAlignment="1">
      <alignment horizontal="left" wrapText="1" indent="1"/>
    </xf>
    <xf numFmtId="0" fontId="117" fillId="0" borderId="0" xfId="0" applyFont="1" applyAlignment="1">
      <alignment horizontal="left" vertical="top" wrapText="1"/>
    </xf>
    <xf numFmtId="193" fontId="7" fillId="3" borderId="112" xfId="2" applyNumberFormat="1" applyFont="1" applyFill="1" applyBorder="1" applyAlignment="1" applyProtection="1">
      <alignment vertical="top" wrapText="1"/>
      <protection locked="0"/>
    </xf>
    <xf numFmtId="0" fontId="9" fillId="0" borderId="98" xfId="0" applyFont="1" applyBorder="1" applyAlignment="1">
      <alignment horizontal="center" vertical="center" wrapText="1"/>
    </xf>
    <xf numFmtId="0" fontId="3" fillId="0" borderId="98" xfId="0" applyFont="1" applyBorder="1" applyAlignment="1">
      <alignment horizontal="center" vertical="center"/>
    </xf>
    <xf numFmtId="0" fontId="130" fillId="3" borderId="98" xfId="21414" applyFont="1" applyFill="1" applyBorder="1" applyAlignment="1">
      <alignment horizontal="left" vertical="center" wrapText="1"/>
    </xf>
    <xf numFmtId="0" fontId="0" fillId="0" borderId="98" xfId="0" applyBorder="1"/>
    <xf numFmtId="0" fontId="131" fillId="0" borderId="98" xfId="21414" applyFont="1" applyBorder="1" applyAlignment="1">
      <alignment horizontal="left" vertical="center" wrapText="1" indent="1"/>
    </xf>
    <xf numFmtId="0" fontId="132" fillId="3" borderId="98" xfId="21414" applyFont="1" applyFill="1" applyBorder="1" applyAlignment="1">
      <alignment horizontal="left" vertical="center" wrapText="1"/>
    </xf>
    <xf numFmtId="0" fontId="131" fillId="3" borderId="98" xfId="21414" applyFont="1" applyFill="1" applyBorder="1" applyAlignment="1">
      <alignment horizontal="left" vertical="center" wrapText="1" indent="1"/>
    </xf>
    <xf numFmtId="0" fontId="130" fillId="0" borderId="135" xfId="0" applyFont="1" applyBorder="1" applyAlignment="1">
      <alignment horizontal="left" vertical="center" wrapText="1"/>
    </xf>
    <xf numFmtId="0" fontId="132" fillId="0" borderId="135" xfId="0" applyFont="1" applyBorder="1" applyAlignment="1">
      <alignment horizontal="left" vertical="center" wrapText="1"/>
    </xf>
    <xf numFmtId="0" fontId="133" fillId="3" borderId="135" xfId="0" applyFont="1" applyFill="1" applyBorder="1" applyAlignment="1">
      <alignment horizontal="left" vertical="center" wrapText="1" indent="1"/>
    </xf>
    <xf numFmtId="0" fontId="132" fillId="3" borderId="135" xfId="0" applyFont="1" applyFill="1" applyBorder="1" applyAlignment="1">
      <alignment horizontal="left" vertical="center" wrapText="1"/>
    </xf>
    <xf numFmtId="0" fontId="132" fillId="3" borderId="136" xfId="0" applyFont="1" applyFill="1" applyBorder="1" applyAlignment="1">
      <alignment horizontal="left" vertical="center" wrapText="1"/>
    </xf>
    <xf numFmtId="0" fontId="133" fillId="0" borderId="135" xfId="0" applyFont="1" applyBorder="1" applyAlignment="1">
      <alignment horizontal="left" vertical="center" wrapText="1" indent="1"/>
    </xf>
    <xf numFmtId="0" fontId="133" fillId="0" borderId="98" xfId="21414" applyFont="1" applyBorder="1" applyAlignment="1">
      <alignment horizontal="left" vertical="center" wrapText="1" indent="1"/>
    </xf>
    <xf numFmtId="0" fontId="132" fillId="0" borderId="98" xfId="21414" applyFont="1" applyBorder="1" applyAlignment="1">
      <alignment horizontal="left" vertical="center" wrapText="1"/>
    </xf>
    <xf numFmtId="0" fontId="134" fillId="0" borderId="98" xfId="21414" applyFont="1" applyBorder="1" applyAlignment="1">
      <alignment horizontal="center" vertical="center" wrapText="1"/>
    </xf>
    <xf numFmtId="0" fontId="132" fillId="3" borderId="137" xfId="0" applyFont="1" applyFill="1" applyBorder="1" applyAlignment="1">
      <alignment horizontal="left" vertical="center" wrapText="1"/>
    </xf>
    <xf numFmtId="0" fontId="0" fillId="0" borderId="138" xfId="0" applyBorder="1"/>
    <xf numFmtId="0" fontId="131" fillId="3" borderId="138" xfId="21414" applyFont="1" applyFill="1" applyBorder="1" applyAlignment="1">
      <alignment horizontal="left" vertical="center" wrapText="1" indent="1"/>
    </xf>
    <xf numFmtId="0" fontId="131" fillId="3" borderId="135" xfId="0" applyFont="1" applyFill="1" applyBorder="1" applyAlignment="1">
      <alignment horizontal="left" vertical="center" wrapText="1" indent="1"/>
    </xf>
    <xf numFmtId="0" fontId="131" fillId="0" borderId="138" xfId="21414" applyFont="1" applyBorder="1" applyAlignment="1">
      <alignment horizontal="left" vertical="center" wrapText="1" indent="1"/>
    </xf>
    <xf numFmtId="0" fontId="131" fillId="0" borderId="135" xfId="0" applyFont="1" applyBorder="1" applyAlignment="1">
      <alignment horizontal="left" vertical="center" wrapText="1" indent="1"/>
    </xf>
    <xf numFmtId="0" fontId="131" fillId="0" borderId="136" xfId="0" applyFont="1" applyBorder="1" applyAlignment="1">
      <alignment horizontal="left" vertical="center" wrapText="1" indent="1"/>
    </xf>
    <xf numFmtId="0" fontId="132" fillId="0" borderId="138" xfId="21414" applyFont="1" applyBorder="1" applyAlignment="1">
      <alignment horizontal="left" vertical="center" wrapText="1"/>
    </xf>
    <xf numFmtId="0" fontId="132" fillId="3" borderId="138" xfId="21414" applyFont="1" applyFill="1" applyBorder="1" applyAlignment="1">
      <alignment horizontal="left" vertical="center" wrapText="1"/>
    </xf>
    <xf numFmtId="0" fontId="134" fillId="0" borderId="138" xfId="21414" applyFont="1" applyBorder="1" applyAlignment="1">
      <alignment horizontal="center" vertical="center" wrapText="1"/>
    </xf>
    <xf numFmtId="0" fontId="135" fillId="0" borderId="138" xfId="0" applyFont="1" applyBorder="1" applyAlignment="1">
      <alignment horizontal="left"/>
    </xf>
    <xf numFmtId="0" fontId="132" fillId="0" borderId="138" xfId="0" applyFont="1" applyBorder="1" applyAlignment="1">
      <alignment horizontal="left" vertical="center" wrapText="1"/>
    </xf>
    <xf numFmtId="0" fontId="0" fillId="0" borderId="0" xfId="0" applyAlignment="1">
      <alignment horizontal="left" vertical="center"/>
    </xf>
    <xf numFmtId="0" fontId="9" fillId="0" borderId="138" xfId="0" applyFont="1" applyBorder="1" applyAlignment="1">
      <alignment horizontal="center" vertical="center" wrapText="1"/>
    </xf>
    <xf numFmtId="0" fontId="132" fillId="0" borderId="143" xfId="0" applyFont="1" applyBorder="1" applyAlignment="1">
      <alignment horizontal="justify" vertical="center" wrapText="1"/>
    </xf>
    <xf numFmtId="0" fontId="131" fillId="0" borderId="137" xfId="0" applyFont="1" applyBorder="1" applyAlignment="1">
      <alignment horizontal="left" vertical="center" wrapText="1" indent="1"/>
    </xf>
    <xf numFmtId="0" fontId="132" fillId="0" borderId="135" xfId="0" applyFont="1" applyBorder="1" applyAlignment="1">
      <alignment horizontal="justify" vertical="center" wrapText="1"/>
    </xf>
    <xf numFmtId="0" fontId="130" fillId="0" borderId="135" xfId="0" applyFont="1" applyBorder="1" applyAlignment="1">
      <alignment horizontal="justify" vertical="center" wrapText="1"/>
    </xf>
    <xf numFmtId="0" fontId="132" fillId="3" borderId="135" xfId="0" applyFont="1" applyFill="1" applyBorder="1" applyAlignment="1">
      <alignment horizontal="justify" vertical="center" wrapText="1"/>
    </xf>
    <xf numFmtId="0" fontId="132" fillId="0" borderId="136" xfId="0" applyFont="1" applyBorder="1" applyAlignment="1">
      <alignment horizontal="justify" vertical="center" wrapText="1"/>
    </xf>
    <xf numFmtId="0" fontId="132" fillId="0" borderId="137" xfId="0" applyFont="1" applyBorder="1" applyAlignment="1">
      <alignment horizontal="justify" vertical="center" wrapText="1"/>
    </xf>
    <xf numFmtId="0" fontId="132" fillId="0" borderId="138" xfId="21414" applyFont="1" applyBorder="1" applyAlignment="1">
      <alignment horizontal="justify" vertical="center" wrapText="1"/>
    </xf>
    <xf numFmtId="0" fontId="133" fillId="0" borderId="129" xfId="0" applyFont="1" applyBorder="1" applyAlignment="1">
      <alignment horizontal="left" vertical="center" wrapText="1" indent="1"/>
    </xf>
    <xf numFmtId="0" fontId="130" fillId="0" borderId="135" xfId="0" applyFont="1" applyBorder="1" applyAlignment="1">
      <alignment vertical="center" wrapText="1"/>
    </xf>
    <xf numFmtId="0" fontId="132" fillId="0" borderId="135" xfId="0" applyFont="1" applyBorder="1" applyAlignment="1">
      <alignment vertical="center" wrapText="1"/>
    </xf>
    <xf numFmtId="0" fontId="132" fillId="0" borderId="138" xfId="21414" applyFont="1" applyBorder="1" applyAlignment="1">
      <alignment vertical="center" wrapText="1"/>
    </xf>
    <xf numFmtId="0" fontId="9" fillId="0" borderId="112" xfId="0" applyFont="1" applyBorder="1" applyAlignment="1">
      <alignment horizontal="center" vertical="center" wrapText="1"/>
    </xf>
    <xf numFmtId="0" fontId="0" fillId="0" borderId="138" xfId="0" applyBorder="1" applyAlignment="1">
      <alignment horizontal="center"/>
    </xf>
    <xf numFmtId="193" fontId="9" fillId="0" borderId="138" xfId="0" applyNumberFormat="1" applyFont="1" applyBorder="1" applyAlignment="1">
      <alignment horizontal="right"/>
    </xf>
    <xf numFmtId="193" fontId="9" fillId="35" borderId="138" xfId="0" applyNumberFormat="1" applyFont="1" applyFill="1" applyBorder="1" applyAlignment="1">
      <alignment horizontal="right"/>
    </xf>
    <xf numFmtId="193" fontId="9" fillId="35" borderId="112" xfId="0" applyNumberFormat="1" applyFont="1" applyFill="1" applyBorder="1" applyAlignment="1">
      <alignment horizontal="right"/>
    </xf>
    <xf numFmtId="0" fontId="15" fillId="0" borderId="138" xfId="0" applyFont="1" applyBorder="1" applyAlignment="1">
      <alignment vertical="center" wrapText="1"/>
    </xf>
    <xf numFmtId="0" fontId="7" fillId="0" borderId="138" xfId="0" applyFont="1" applyBorder="1" applyAlignment="1">
      <alignment horizontal="left" vertical="center" wrapText="1" indent="1"/>
    </xf>
    <xf numFmtId="0" fontId="3" fillId="0" borderId="138" xfId="0" applyFont="1" applyBorder="1" applyAlignment="1">
      <alignment vertical="center"/>
    </xf>
    <xf numFmtId="0" fontId="136" fillId="0" borderId="138" xfId="0" applyFont="1" applyBorder="1" applyAlignment="1" applyProtection="1">
      <alignment horizontal="left" vertical="center" indent="1"/>
      <protection locked="0"/>
    </xf>
    <xf numFmtId="0" fontId="137" fillId="0" borderId="138" xfId="0" applyFont="1" applyBorder="1" applyAlignment="1" applyProtection="1">
      <alignment horizontal="left" vertical="center" indent="3"/>
      <protection locked="0"/>
    </xf>
    <xf numFmtId="0" fontId="138" fillId="0" borderId="138" xfId="0" applyFont="1" applyBorder="1" applyAlignment="1" applyProtection="1">
      <alignment horizontal="left" vertical="center" indent="3"/>
      <protection locked="0"/>
    </xf>
    <xf numFmtId="0" fontId="3" fillId="0" borderId="138" xfId="0" applyFont="1" applyBorder="1"/>
    <xf numFmtId="0" fontId="0" fillId="0" borderId="0" xfId="0" applyAlignment="1">
      <alignment horizontal="center"/>
    </xf>
    <xf numFmtId="193" fontId="9" fillId="0" borderId="0" xfId="0" applyNumberFormat="1" applyFont="1" applyAlignment="1">
      <alignment horizontal="right"/>
    </xf>
    <xf numFmtId="49" fontId="106" fillId="0" borderId="138" xfId="0" applyNumberFormat="1" applyFont="1" applyBorder="1" applyAlignment="1">
      <alignment horizontal="right" vertical="center"/>
    </xf>
    <xf numFmtId="0" fontId="0" fillId="0" borderId="138" xfId="0" applyBorder="1" applyAlignment="1">
      <alignment horizontal="center" vertical="center"/>
    </xf>
    <xf numFmtId="43" fontId="4" fillId="0" borderId="98" xfId="7" applyFont="1" applyBorder="1" applyAlignment="1">
      <alignment vertical="center"/>
    </xf>
    <xf numFmtId="0" fontId="0" fillId="0" borderId="142" xfId="0" applyBorder="1" applyAlignment="1">
      <alignment horizontal="center"/>
    </xf>
    <xf numFmtId="0" fontId="131" fillId="0" borderId="142" xfId="21414" applyFont="1" applyBorder="1" applyAlignment="1">
      <alignment horizontal="left" vertical="center" wrapText="1" indent="1"/>
    </xf>
    <xf numFmtId="0" fontId="131" fillId="3" borderId="138" xfId="0" applyFont="1" applyFill="1" applyBorder="1" applyAlignment="1">
      <alignment horizontal="left" vertical="center" wrapText="1" indent="1"/>
    </xf>
    <xf numFmtId="167" fontId="23" fillId="0" borderId="138" xfId="0" applyNumberFormat="1" applyFont="1" applyBorder="1" applyAlignment="1">
      <alignment horizontal="center"/>
    </xf>
    <xf numFmtId="0" fontId="23" fillId="0" borderId="138" xfId="0" applyFont="1" applyBorder="1"/>
    <xf numFmtId="0" fontId="131" fillId="0" borderId="138" xfId="0" applyFont="1" applyBorder="1" applyAlignment="1">
      <alignment horizontal="left" vertical="center" wrapText="1" indent="1"/>
    </xf>
    <xf numFmtId="0" fontId="133" fillId="3" borderId="138" xfId="0" applyFont="1" applyFill="1" applyBorder="1" applyAlignment="1">
      <alignment horizontal="left" vertical="center" wrapText="1" indent="1"/>
    </xf>
    <xf numFmtId="0" fontId="133" fillId="0" borderId="138" xfId="0" applyFont="1" applyBorder="1" applyAlignment="1">
      <alignment horizontal="left" vertical="center" wrapText="1" indent="1"/>
    </xf>
    <xf numFmtId="167" fontId="22" fillId="0" borderId="56" xfId="0" applyNumberFormat="1" applyFont="1" applyBorder="1" applyAlignment="1">
      <alignment horizontal="center"/>
    </xf>
    <xf numFmtId="167" fontId="18" fillId="0" borderId="58" xfId="0" applyNumberFormat="1" applyFont="1" applyBorder="1" applyAlignment="1">
      <alignment horizontal="center"/>
    </xf>
    <xf numFmtId="193" fontId="23" fillId="0" borderId="12" xfId="0" applyNumberFormat="1" applyFont="1" applyBorder="1" applyAlignment="1">
      <alignment horizontal="center" vertical="center"/>
    </xf>
    <xf numFmtId="193" fontId="19" fillId="0" borderId="12" xfId="0" applyNumberFormat="1" applyFont="1" applyBorder="1" applyAlignment="1">
      <alignment horizontal="center" vertical="center"/>
    </xf>
    <xf numFmtId="193" fontId="23" fillId="0" borderId="13" xfId="0" applyNumberFormat="1" applyFont="1" applyBorder="1" applyAlignment="1">
      <alignment horizontal="center" vertical="center"/>
    </xf>
    <xf numFmtId="193" fontId="22" fillId="0" borderId="14" xfId="0" applyNumberFormat="1" applyFont="1" applyBorder="1" applyAlignment="1">
      <alignment horizontal="center" vertical="center"/>
    </xf>
    <xf numFmtId="193" fontId="23" fillId="0" borderId="138" xfId="0" applyNumberFormat="1" applyFont="1" applyBorder="1" applyAlignment="1">
      <alignment horizontal="center" vertical="center"/>
    </xf>
    <xf numFmtId="0" fontId="23" fillId="0" borderId="138" xfId="0" applyFont="1" applyBorder="1" applyAlignment="1">
      <alignment horizontal="center"/>
    </xf>
    <xf numFmtId="0" fontId="23" fillId="0" borderId="138" xfId="0" applyFont="1" applyBorder="1" applyAlignment="1">
      <alignment horizontal="center" vertical="center"/>
    </xf>
    <xf numFmtId="193" fontId="22" fillId="0" borderId="30" xfId="0" applyNumberFormat="1" applyFont="1" applyBorder="1" applyAlignment="1">
      <alignment horizontal="center" vertical="center"/>
    </xf>
    <xf numFmtId="193" fontId="104" fillId="0" borderId="12" xfId="0" applyNumberFormat="1" applyFont="1" applyBorder="1" applyAlignment="1">
      <alignment horizontal="center" vertical="center"/>
    </xf>
    <xf numFmtId="193" fontId="22" fillId="0" borderId="12" xfId="0" applyNumberFormat="1" applyFont="1" applyBorder="1" applyAlignment="1">
      <alignment horizontal="center" vertical="center"/>
    </xf>
    <xf numFmtId="193" fontId="22" fillId="0" borderId="15" xfId="0" applyNumberFormat="1" applyFont="1" applyBorder="1" applyAlignment="1">
      <alignment horizontal="center" vertical="center"/>
    </xf>
    <xf numFmtId="193" fontId="22" fillId="0" borderId="13" xfId="0" applyNumberFormat="1" applyFont="1" applyBorder="1" applyAlignment="1">
      <alignment horizontal="center" vertical="center"/>
    </xf>
    <xf numFmtId="193" fontId="22" fillId="0" borderId="138" xfId="0" applyNumberFormat="1" applyFont="1" applyBorder="1" applyAlignment="1">
      <alignment horizontal="center" vertical="center"/>
    </xf>
    <xf numFmtId="0" fontId="22" fillId="0" borderId="138" xfId="0" applyFont="1" applyBorder="1" applyAlignment="1">
      <alignment horizontal="center" vertical="center"/>
    </xf>
    <xf numFmtId="0" fontId="120" fillId="0" borderId="138" xfId="0" applyFont="1" applyBorder="1"/>
    <xf numFmtId="49" fontId="122" fillId="0" borderId="138" xfId="5" applyNumberFormat="1" applyFont="1" applyBorder="1" applyAlignment="1" applyProtection="1">
      <alignment horizontal="right" vertical="center"/>
      <protection locked="0"/>
    </xf>
    <xf numFmtId="0" fontId="121" fillId="3" borderId="138" xfId="13" applyFont="1" applyFill="1" applyBorder="1" applyAlignment="1" applyProtection="1">
      <alignment horizontal="left" vertical="center" wrapText="1"/>
      <protection locked="0"/>
    </xf>
    <xf numFmtId="49" fontId="121" fillId="3" borderId="138" xfId="5" applyNumberFormat="1" applyFont="1" applyFill="1" applyBorder="1" applyAlignment="1" applyProtection="1">
      <alignment horizontal="right" vertical="center"/>
      <protection locked="0"/>
    </xf>
    <xf numFmtId="0" fontId="121" fillId="0" borderId="138" xfId="13" applyFont="1" applyBorder="1" applyAlignment="1" applyProtection="1">
      <alignment horizontal="left" vertical="center" wrapText="1"/>
      <protection locked="0"/>
    </xf>
    <xf numFmtId="49" fontId="121" fillId="0" borderId="138" xfId="5" applyNumberFormat="1" applyFont="1" applyBorder="1" applyAlignment="1" applyProtection="1">
      <alignment horizontal="right" vertical="center"/>
      <protection locked="0"/>
    </xf>
    <xf numFmtId="0" fontId="123" fillId="0" borderId="138" xfId="13" applyFont="1" applyBorder="1" applyAlignment="1" applyProtection="1">
      <alignment horizontal="left" vertical="center" wrapText="1"/>
      <protection locked="0"/>
    </xf>
    <xf numFmtId="0" fontId="120" fillId="0" borderId="138" xfId="0" applyFont="1" applyBorder="1" applyAlignment="1">
      <alignment horizontal="center" vertical="center" wrapText="1"/>
    </xf>
    <xf numFmtId="166" fontId="116" fillId="35" borderId="146" xfId="21413" applyFont="1" applyFill="1" applyBorder="1"/>
    <xf numFmtId="0" fontId="116" fillId="0" borderId="146" xfId="0" applyFont="1" applyBorder="1"/>
    <xf numFmtId="0" fontId="116" fillId="0" borderId="146" xfId="0" applyFont="1" applyBorder="1" applyAlignment="1">
      <alignment horizontal="left" indent="8"/>
    </xf>
    <xf numFmtId="0" fontId="116" fillId="0" borderId="146" xfId="0" applyFont="1" applyBorder="1" applyAlignment="1">
      <alignment wrapText="1"/>
    </xf>
    <xf numFmtId="0" fontId="119" fillId="0" borderId="146" xfId="0" applyFont="1" applyBorder="1"/>
    <xf numFmtId="49" fontId="122" fillId="0" borderId="146" xfId="5" applyNumberFormat="1" applyFont="1" applyBorder="1" applyAlignment="1" applyProtection="1">
      <alignment horizontal="right" vertical="center" wrapText="1"/>
      <protection locked="0"/>
    </xf>
    <xf numFmtId="49" fontId="121" fillId="3" borderId="146" xfId="5" applyNumberFormat="1" applyFont="1" applyFill="1" applyBorder="1" applyAlignment="1" applyProtection="1">
      <alignment horizontal="right" vertical="center" wrapText="1"/>
      <protection locked="0"/>
    </xf>
    <xf numFmtId="49" fontId="121" fillId="0" borderId="146" xfId="5" applyNumberFormat="1" applyFont="1" applyBorder="1" applyAlignment="1" applyProtection="1">
      <alignment horizontal="right" vertical="center" wrapText="1"/>
      <protection locked="0"/>
    </xf>
    <xf numFmtId="0" fontId="116" fillId="0" borderId="146"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14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46" xfId="0" applyFont="1" applyBorder="1" applyAlignment="1">
      <alignment horizontal="left" vertical="center" wrapText="1"/>
    </xf>
    <xf numFmtId="0" fontId="119" fillId="0" borderId="146" xfId="0" applyFont="1" applyBorder="1" applyAlignment="1">
      <alignment horizontal="left" wrapText="1" indent="1"/>
    </xf>
    <xf numFmtId="0" fontId="119" fillId="0" borderId="146" xfId="0" applyFont="1" applyBorder="1" applyAlignment="1">
      <alignment horizontal="left" vertical="center" indent="1"/>
    </xf>
    <xf numFmtId="0" fontId="116" fillId="0" borderId="146" xfId="0" applyFont="1" applyBorder="1" applyAlignment="1">
      <alignment horizontal="left" wrapText="1" indent="1"/>
    </xf>
    <xf numFmtId="0" fontId="116" fillId="0" borderId="146" xfId="0" applyFont="1" applyBorder="1" applyAlignment="1">
      <alignment horizontal="left" indent="1"/>
    </xf>
    <xf numFmtId="0" fontId="116" fillId="0" borderId="146" xfId="0" applyFont="1" applyBorder="1" applyAlignment="1">
      <alignment horizontal="left" wrapText="1" indent="4"/>
    </xf>
    <xf numFmtId="0" fontId="116" fillId="0" borderId="146" xfId="0" applyFont="1" applyBorder="1" applyAlignment="1">
      <alignment horizontal="left" indent="3"/>
    </xf>
    <xf numFmtId="0" fontId="119" fillId="0" borderId="146" xfId="0" applyFont="1" applyBorder="1" applyAlignment="1">
      <alignment horizontal="left" indent="1"/>
    </xf>
    <xf numFmtId="0" fontId="120" fillId="0" borderId="146" xfId="0" applyFont="1" applyBorder="1" applyAlignment="1">
      <alignment horizontal="center" vertical="center" wrapText="1"/>
    </xf>
    <xf numFmtId="0" fontId="116" fillId="78" borderId="146" xfId="0" applyFont="1" applyFill="1" applyBorder="1"/>
    <xf numFmtId="0" fontId="119" fillId="0" borderId="7" xfId="0" applyFont="1" applyBorder="1"/>
    <xf numFmtId="0" fontId="116" fillId="0" borderId="146" xfId="0" applyFont="1" applyBorder="1" applyAlignment="1">
      <alignment horizontal="left" wrapText="1" indent="2"/>
    </xf>
    <xf numFmtId="0" fontId="116" fillId="0" borderId="146" xfId="0" applyFont="1" applyBorder="1" applyAlignment="1">
      <alignment horizontal="left" wrapText="1"/>
    </xf>
    <xf numFmtId="0" fontId="119" fillId="80" borderId="146" xfId="0" applyFont="1" applyFill="1" applyBorder="1"/>
    <xf numFmtId="0" fontId="116" fillId="0" borderId="14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3"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45"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44" xfId="0" applyFont="1" applyBorder="1" applyAlignment="1">
      <alignment horizontal="center" vertical="center" wrapText="1"/>
    </xf>
    <xf numFmtId="49" fontId="116" fillId="0" borderId="152" xfId="0" applyNumberFormat="1" applyFont="1" applyBorder="1" applyAlignment="1">
      <alignment horizontal="left" wrapText="1" indent="1"/>
    </xf>
    <xf numFmtId="0" fontId="116" fillId="0" borderId="154" xfId="0" applyFont="1" applyBorder="1" applyAlignment="1">
      <alignment horizontal="left" wrapText="1" indent="1"/>
    </xf>
    <xf numFmtId="49" fontId="116" fillId="0" borderId="155" xfId="0" applyNumberFormat="1" applyFont="1" applyBorder="1" applyAlignment="1">
      <alignment horizontal="left" wrapText="1" indent="1"/>
    </xf>
    <xf numFmtId="0" fontId="116" fillId="0" borderId="156" xfId="0" applyFont="1" applyBorder="1" applyAlignment="1">
      <alignment horizontal="left" wrapText="1" indent="1"/>
    </xf>
    <xf numFmtId="49" fontId="116" fillId="0" borderId="156" xfId="0" applyNumberFormat="1" applyFont="1" applyBorder="1" applyAlignment="1">
      <alignment horizontal="left" wrapText="1" indent="3"/>
    </xf>
    <xf numFmtId="49" fontId="116" fillId="0" borderId="155" xfId="0" applyNumberFormat="1" applyFont="1" applyBorder="1" applyAlignment="1">
      <alignment horizontal="left" wrapText="1" indent="3"/>
    </xf>
    <xf numFmtId="49" fontId="116" fillId="0" borderId="156" xfId="0" applyNumberFormat="1" applyFont="1" applyBorder="1" applyAlignment="1">
      <alignment horizontal="left" wrapText="1" indent="2"/>
    </xf>
    <xf numFmtId="49" fontId="116" fillId="0" borderId="155" xfId="0" applyNumberFormat="1" applyFont="1" applyBorder="1" applyAlignment="1">
      <alignment horizontal="left" wrapText="1" indent="2"/>
    </xf>
    <xf numFmtId="49" fontId="116" fillId="0" borderId="155" xfId="0" applyNumberFormat="1" applyFont="1" applyBorder="1" applyAlignment="1">
      <alignment horizontal="left" vertical="top" wrapText="1" indent="2"/>
    </xf>
    <xf numFmtId="49" fontId="116" fillId="0" borderId="155" xfId="0" applyNumberFormat="1" applyFont="1" applyBorder="1" applyAlignment="1">
      <alignment horizontal="left" indent="1"/>
    </xf>
    <xf numFmtId="0" fontId="116" fillId="0" borderId="156" xfId="0" applyFont="1" applyBorder="1" applyAlignment="1">
      <alignment horizontal="left" indent="1"/>
    </xf>
    <xf numFmtId="49" fontId="116" fillId="0" borderId="156" xfId="0" applyNumberFormat="1" applyFont="1" applyBorder="1" applyAlignment="1">
      <alignment horizontal="left" indent="1"/>
    </xf>
    <xf numFmtId="49" fontId="116" fillId="0" borderId="156" xfId="0" applyNumberFormat="1" applyFont="1" applyBorder="1" applyAlignment="1">
      <alignment horizontal="left" indent="3"/>
    </xf>
    <xf numFmtId="49" fontId="116" fillId="0" borderId="155" xfId="0" applyNumberFormat="1" applyFont="1" applyBorder="1" applyAlignment="1">
      <alignment horizontal="left" indent="3"/>
    </xf>
    <xf numFmtId="0" fontId="116" fillId="0" borderId="156" xfId="0" applyFont="1" applyBorder="1" applyAlignment="1">
      <alignment horizontal="left" indent="2"/>
    </xf>
    <xf numFmtId="0" fontId="116" fillId="0" borderId="155" xfId="0" applyFont="1" applyBorder="1" applyAlignment="1">
      <alignment horizontal="left" indent="2"/>
    </xf>
    <xf numFmtId="0" fontId="116" fillId="0" borderId="155" xfId="0" applyFont="1" applyBorder="1" applyAlignment="1">
      <alignment horizontal="left" indent="1"/>
    </xf>
    <xf numFmtId="0" fontId="119" fillId="0" borderId="64" xfId="0" applyFont="1" applyBorder="1"/>
    <xf numFmtId="0" fontId="116" fillId="0" borderId="69" xfId="0" applyFont="1" applyBorder="1"/>
    <xf numFmtId="0" fontId="116" fillId="0" borderId="0" xfId="0" applyFont="1" applyAlignment="1">
      <alignment horizontal="left"/>
    </xf>
    <xf numFmtId="0" fontId="119" fillId="0" borderId="146" xfId="0" applyFont="1" applyBorder="1" applyAlignment="1">
      <alignment horizontal="left" vertical="center" wrapText="1"/>
    </xf>
    <xf numFmtId="0" fontId="9" fillId="0" borderId="0" xfId="0" applyFont="1" applyAlignment="1">
      <alignment wrapText="1"/>
    </xf>
    <xf numFmtId="0" fontId="119" fillId="0" borderId="14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3" xfId="0" applyFont="1" applyBorder="1" applyAlignment="1">
      <alignment horizontal="left" vertical="center" wrapText="1" indent="1" readingOrder="1"/>
    </xf>
    <xf numFmtId="0" fontId="121" fillId="0" borderId="146" xfId="0" applyFont="1" applyBorder="1" applyAlignment="1">
      <alignment horizontal="left" indent="3"/>
    </xf>
    <xf numFmtId="0" fontId="119" fillId="0" borderId="146" xfId="0" applyFont="1" applyBorder="1" applyAlignment="1">
      <alignment vertical="center" wrapText="1" readingOrder="1"/>
    </xf>
    <xf numFmtId="0" fontId="121" fillId="0" borderId="146" xfId="0" applyFont="1" applyBorder="1" applyAlignment="1">
      <alignment horizontal="left" indent="2"/>
    </xf>
    <xf numFmtId="0" fontId="116" fillId="0" borderId="134" xfId="0" applyFont="1" applyBorder="1" applyAlignment="1">
      <alignment vertical="center" wrapText="1" readingOrder="1"/>
    </xf>
    <xf numFmtId="0" fontId="121" fillId="0" borderId="147" xfId="0" applyFont="1" applyBorder="1" applyAlignment="1">
      <alignment horizontal="left" indent="2"/>
    </xf>
    <xf numFmtId="0" fontId="116" fillId="0" borderId="133" xfId="0" applyFont="1" applyBorder="1" applyAlignment="1">
      <alignment vertical="center" wrapText="1" readingOrder="1"/>
    </xf>
    <xf numFmtId="0" fontId="116" fillId="0" borderId="132" xfId="0" applyFont="1" applyBorder="1" applyAlignment="1">
      <alignment vertical="center" wrapText="1" readingOrder="1"/>
    </xf>
    <xf numFmtId="0" fontId="139" fillId="0" borderId="7" xfId="0" applyFont="1" applyBorder="1"/>
    <xf numFmtId="0" fontId="106" fillId="0" borderId="146" xfId="0" applyFont="1" applyBorder="1" applyAlignment="1">
      <alignment vertical="center" wrapText="1"/>
    </xf>
    <xf numFmtId="0" fontId="106" fillId="0" borderId="146" xfId="0" applyFont="1" applyBorder="1" applyAlignment="1">
      <alignment horizontal="left" vertical="center" wrapText="1"/>
    </xf>
    <xf numFmtId="0" fontId="106" fillId="0" borderId="146" xfId="0" applyFont="1" applyBorder="1" applyAlignment="1">
      <alignment horizontal="left" indent="2"/>
    </xf>
    <xf numFmtId="0" fontId="106" fillId="0" borderId="146" xfId="0" applyFont="1" applyBorder="1" applyAlignment="1">
      <alignment horizontal="left" vertical="center" indent="1"/>
    </xf>
    <xf numFmtId="0" fontId="106" fillId="0" borderId="146" xfId="0" applyFont="1" applyBorder="1" applyAlignment="1">
      <alignment horizontal="left" vertical="center" wrapText="1" indent="1"/>
    </xf>
    <xf numFmtId="0" fontId="106" fillId="0" borderId="146" xfId="0" applyFont="1" applyBorder="1" applyAlignment="1">
      <alignment horizontal="right" vertical="center"/>
    </xf>
    <xf numFmtId="49" fontId="106" fillId="0" borderId="146" xfId="0" applyNumberFormat="1" applyFont="1" applyBorder="1" applyAlignment="1">
      <alignment horizontal="right" vertical="center"/>
    </xf>
    <xf numFmtId="49" fontId="106" fillId="0" borderId="146" xfId="0" applyNumberFormat="1" applyFont="1" applyBorder="1" applyAlignment="1">
      <alignment vertical="top" wrapText="1"/>
    </xf>
    <xf numFmtId="49" fontId="106" fillId="0" borderId="146" xfId="0" applyNumberFormat="1" applyFont="1" applyBorder="1" applyAlignment="1">
      <alignment horizontal="left" vertical="top" wrapText="1" indent="2"/>
    </xf>
    <xf numFmtId="49" fontId="106" fillId="0" borderId="146" xfId="0" applyNumberFormat="1" applyFont="1" applyBorder="1" applyAlignment="1">
      <alignment horizontal="left" vertical="center" wrapText="1" indent="3"/>
    </xf>
    <xf numFmtId="49" fontId="106" fillId="0" borderId="146" xfId="0" applyNumberFormat="1" applyFont="1" applyBorder="1" applyAlignment="1">
      <alignment horizontal="left" wrapText="1" indent="2"/>
    </xf>
    <xf numFmtId="49" fontId="106" fillId="0" borderId="146" xfId="0" applyNumberFormat="1" applyFont="1" applyBorder="1" applyAlignment="1">
      <alignment horizontal="left" vertical="top" wrapText="1"/>
    </xf>
    <xf numFmtId="49" fontId="106" fillId="0" borderId="146" xfId="0" applyNumberFormat="1" applyFont="1" applyBorder="1" applyAlignment="1">
      <alignment horizontal="left" wrapText="1" indent="3"/>
    </xf>
    <xf numFmtId="49" fontId="106" fillId="0" borderId="146" xfId="0" applyNumberFormat="1" applyFont="1" applyBorder="1" applyAlignment="1">
      <alignment vertical="center"/>
    </xf>
    <xf numFmtId="49" fontId="106" fillId="0" borderId="146" xfId="0" applyNumberFormat="1" applyFont="1" applyBorder="1" applyAlignment="1">
      <alignment horizontal="left" indent="3"/>
    </xf>
    <xf numFmtId="0" fontId="106" fillId="0" borderId="146" xfId="0" applyFont="1" applyBorder="1" applyAlignment="1">
      <alignment horizontal="left" indent="1"/>
    </xf>
    <xf numFmtId="0" fontId="106" fillId="0" borderId="146" xfId="0" applyFont="1" applyBorder="1" applyAlignment="1">
      <alignment horizontal="left" wrapText="1" indent="2"/>
    </xf>
    <xf numFmtId="0" fontId="106" fillId="0" borderId="146" xfId="0" applyFont="1" applyBorder="1" applyAlignment="1">
      <alignment horizontal="left" vertical="top" wrapText="1"/>
    </xf>
    <xf numFmtId="0" fontId="105" fillId="0" borderId="7" xfId="0" applyFont="1" applyBorder="1" applyAlignment="1">
      <alignment wrapText="1"/>
    </xf>
    <xf numFmtId="0" fontId="106" fillId="0" borderId="146" xfId="0" applyFont="1" applyBorder="1" applyAlignment="1">
      <alignment horizontal="left" vertical="top" wrapText="1" indent="2"/>
    </xf>
    <xf numFmtId="0" fontId="106" fillId="0" borderId="146" xfId="0" applyFont="1" applyBorder="1" applyAlignment="1">
      <alignment horizontal="left" wrapText="1"/>
    </xf>
    <xf numFmtId="0" fontId="106" fillId="0" borderId="146" xfId="12672" applyFont="1" applyBorder="1" applyAlignment="1">
      <alignment horizontal="left" vertical="center" wrapText="1" indent="2"/>
    </xf>
    <xf numFmtId="0" fontId="106" fillId="0" borderId="146" xfId="0" applyFont="1" applyBorder="1" applyAlignment="1">
      <alignment wrapText="1"/>
    </xf>
    <xf numFmtId="0" fontId="106" fillId="0" borderId="146" xfId="0" applyFont="1" applyBorder="1"/>
    <xf numFmtId="0" fontId="106" fillId="0" borderId="146" xfId="12672" applyFont="1" applyBorder="1" applyAlignment="1">
      <alignment horizontal="left" vertical="center" wrapText="1"/>
    </xf>
    <xf numFmtId="0" fontId="105" fillId="0" borderId="146" xfId="0" applyFont="1" applyBorder="1" applyAlignment="1">
      <alignment wrapText="1"/>
    </xf>
    <xf numFmtId="0" fontId="106" fillId="0" borderId="148" xfId="0" applyFont="1" applyBorder="1" applyAlignment="1">
      <alignment horizontal="left" vertical="center" wrapText="1"/>
    </xf>
    <xf numFmtId="0" fontId="106" fillId="3" borderId="146" xfId="5" applyFont="1" applyFill="1" applyBorder="1" applyAlignment="1" applyProtection="1">
      <alignment horizontal="right" vertical="center"/>
      <protection locked="0"/>
    </xf>
    <xf numFmtId="2" fontId="106" fillId="3" borderId="146" xfId="5" applyNumberFormat="1" applyFont="1" applyFill="1" applyBorder="1" applyAlignment="1" applyProtection="1">
      <alignment horizontal="right" vertical="center"/>
      <protection locked="0"/>
    </xf>
    <xf numFmtId="0" fontId="106" fillId="0" borderId="146" xfId="0" applyFont="1" applyBorder="1" applyAlignment="1">
      <alignment vertical="center"/>
    </xf>
    <xf numFmtId="0" fontId="106" fillId="0" borderId="148" xfId="13" applyFont="1" applyBorder="1" applyAlignment="1" applyProtection="1">
      <alignment horizontal="left" vertical="top" wrapText="1"/>
      <protection locked="0"/>
    </xf>
    <xf numFmtId="0" fontId="106" fillId="0" borderId="149" xfId="13" applyFont="1" applyBorder="1" applyAlignment="1" applyProtection="1">
      <alignment horizontal="left" vertical="top" wrapText="1"/>
      <protection locked="0"/>
    </xf>
    <xf numFmtId="0" fontId="106" fillId="0" borderId="147" xfId="0" applyFont="1" applyBorder="1" applyAlignment="1">
      <alignment vertical="center" wrapText="1"/>
    </xf>
    <xf numFmtId="0" fontId="125" fillId="0" borderId="0" xfId="0" applyFont="1" applyAlignment="1">
      <alignment horizontal="left" indent="2"/>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25" fillId="0" borderId="0" xfId="0" applyFont="1" applyAlignment="1">
      <alignment horizontal="left" vertical="center" wrapText="1"/>
    </xf>
    <xf numFmtId="0" fontId="116" fillId="0" borderId="0" xfId="0" applyFont="1" applyAlignment="1">
      <alignment horizontal="left" vertical="center" wrapText="1"/>
    </xf>
    <xf numFmtId="0" fontId="106" fillId="0" borderId="147" xfId="0" applyFont="1" applyBorder="1" applyAlignment="1">
      <alignment horizontal="left" indent="2"/>
    </xf>
    <xf numFmtId="0" fontId="106" fillId="0" borderId="134" xfId="0" applyFont="1" applyBorder="1" applyAlignment="1">
      <alignment horizontal="left" vertical="center" wrapText="1" readingOrder="1"/>
    </xf>
    <xf numFmtId="0" fontId="106" fillId="0" borderId="146" xfId="0" applyFont="1" applyBorder="1" applyAlignment="1">
      <alignment horizontal="left" vertical="center" wrapText="1" readingOrder="1"/>
    </xf>
    <xf numFmtId="167" fontId="19" fillId="81" borderId="57" xfId="0" applyNumberFormat="1" applyFont="1" applyFill="1" applyBorder="1" applyAlignment="1">
      <alignment horizontal="center"/>
    </xf>
    <xf numFmtId="0" fontId="11" fillId="0" borderId="98" xfId="17" applyFill="1" applyBorder="1" applyAlignment="1" applyProtection="1">
      <alignment horizontal="left" vertical="top" wrapText="1"/>
    </xf>
    <xf numFmtId="0" fontId="106" fillId="0" borderId="0" xfId="0" applyFont="1" applyAlignment="1">
      <alignment wrapText="1"/>
    </xf>
    <xf numFmtId="0" fontId="142" fillId="0" borderId="0" xfId="0" applyFont="1"/>
    <xf numFmtId="0" fontId="143" fillId="0" borderId="0" xfId="0" applyFont="1" applyAlignment="1">
      <alignment vertical="top"/>
    </xf>
    <xf numFmtId="0" fontId="143" fillId="0" borderId="0" xfId="0" applyFont="1" applyAlignment="1">
      <alignment vertical="top" wrapText="1"/>
    </xf>
    <xf numFmtId="0" fontId="150" fillId="0" borderId="0" xfId="0" applyFont="1" applyAlignment="1">
      <alignment vertical="top" wrapText="1"/>
    </xf>
    <xf numFmtId="0" fontId="7" fillId="0" borderId="0" xfId="11" applyFont="1"/>
    <xf numFmtId="0" fontId="149" fillId="0" borderId="0" xfId="11" applyFont="1"/>
    <xf numFmtId="0" fontId="144" fillId="82" borderId="146" xfId="0" applyFont="1" applyFill="1" applyBorder="1" applyAlignment="1">
      <alignment horizontal="left" vertical="center"/>
    </xf>
    <xf numFmtId="49" fontId="145" fillId="0" borderId="146" xfId="0" applyNumberFormat="1" applyFont="1" applyBorder="1" applyAlignment="1">
      <alignment horizontal="left" vertical="center"/>
    </xf>
    <xf numFmtId="0" fontId="145" fillId="0" borderId="146" xfId="0" applyFont="1" applyBorder="1" applyAlignment="1">
      <alignment horizontal="left" vertical="center"/>
    </xf>
    <xf numFmtId="0" fontId="144" fillId="0" borderId="146" xfId="0" applyFont="1" applyBorder="1" applyAlignment="1">
      <alignment horizontal="left" vertical="center"/>
    </xf>
    <xf numFmtId="0" fontId="144" fillId="83" borderId="17" xfId="0" applyFont="1" applyFill="1" applyBorder="1" applyAlignment="1">
      <alignment horizontal="center" vertical="center"/>
    </xf>
    <xf numFmtId="0" fontId="144" fillId="83" borderId="18" xfId="0" applyFont="1" applyFill="1" applyBorder="1" applyAlignment="1">
      <alignment horizontal="center" vertical="center"/>
    </xf>
    <xf numFmtId="194" fontId="144" fillId="82" borderId="155" xfId="7" applyNumberFormat="1" applyFont="1" applyFill="1" applyBorder="1" applyAlignment="1">
      <alignment horizontal="left" vertical="center"/>
    </xf>
    <xf numFmtId="194" fontId="145" fillId="0" borderId="155" xfId="7" applyNumberFormat="1" applyFont="1" applyFill="1" applyBorder="1" applyAlignment="1">
      <alignment horizontal="left" vertical="center"/>
    </xf>
    <xf numFmtId="10" fontId="7" fillId="0" borderId="155" xfId="0" applyNumberFormat="1" applyFont="1" applyBorder="1" applyAlignment="1">
      <alignment horizontal="right" vertical="center" wrapText="1"/>
    </xf>
    <xf numFmtId="0" fontId="148" fillId="84" borderId="153" xfId="0" applyFont="1" applyFill="1" applyBorder="1" applyAlignment="1">
      <alignment horizontal="left" vertical="center"/>
    </xf>
    <xf numFmtId="10" fontId="149" fillId="86" borderId="152" xfId="0" applyNumberFormat="1" applyFont="1" applyFill="1" applyBorder="1" applyAlignment="1">
      <alignment horizontal="right" vertical="center" wrapText="1"/>
    </xf>
    <xf numFmtId="0" fontId="0" fillId="0" borderId="1" xfId="0" applyBorder="1"/>
    <xf numFmtId="0" fontId="4" fillId="85" borderId="146" xfId="0" applyFont="1" applyFill="1" applyBorder="1" applyAlignment="1">
      <alignment horizontal="center" vertical="center" wrapText="1"/>
    </xf>
    <xf numFmtId="0" fontId="6" fillId="86" borderId="146" xfId="0" applyFont="1" applyFill="1" applyBorder="1" applyAlignment="1">
      <alignment vertical="center" wrapText="1"/>
    </xf>
    <xf numFmtId="194" fontId="6" fillId="86" borderId="146" xfId="7" applyNumberFormat="1" applyFont="1" applyFill="1" applyBorder="1" applyAlignment="1">
      <alignment vertical="center"/>
    </xf>
    <xf numFmtId="194" fontId="6" fillId="86" borderId="155" xfId="7" applyNumberFormat="1" applyFont="1" applyFill="1" applyBorder="1" applyAlignment="1">
      <alignment vertical="center"/>
    </xf>
    <xf numFmtId="0" fontId="145" fillId="82" borderId="146" xfId="0" applyFont="1" applyFill="1" applyBorder="1" applyAlignment="1">
      <alignment horizontal="left" vertical="center" wrapText="1" indent="3"/>
    </xf>
    <xf numFmtId="194" fontId="6" fillId="35" borderId="146" xfId="7" applyNumberFormat="1" applyFont="1" applyFill="1" applyBorder="1" applyAlignment="1">
      <alignment vertical="center"/>
    </xf>
    <xf numFmtId="0" fontId="152" fillId="82" borderId="146" xfId="0" applyFont="1" applyFill="1" applyBorder="1" applyAlignment="1">
      <alignment horizontal="left" vertical="center" wrapText="1" indent="5"/>
    </xf>
    <xf numFmtId="0" fontId="153" fillId="83" borderId="146" xfId="0" applyFont="1" applyFill="1" applyBorder="1" applyAlignment="1">
      <alignment horizontal="left" vertical="center" wrapText="1" indent="1"/>
    </xf>
    <xf numFmtId="194" fontId="153" fillId="83" borderId="146" xfId="7" applyNumberFormat="1" applyFont="1" applyFill="1" applyBorder="1" applyAlignment="1">
      <alignment vertical="center"/>
    </xf>
    <xf numFmtId="194" fontId="153" fillId="84" borderId="155" xfId="7" applyNumberFormat="1" applyFont="1" applyFill="1" applyBorder="1" applyAlignment="1">
      <alignment vertical="center"/>
    </xf>
    <xf numFmtId="194" fontId="154" fillId="82" borderId="146" xfId="7" applyNumberFormat="1" applyFont="1" applyFill="1" applyBorder="1" applyAlignment="1">
      <alignment vertical="center"/>
    </xf>
    <xf numFmtId="194" fontId="154" fillId="84" borderId="155" xfId="7" applyNumberFormat="1" applyFont="1" applyFill="1" applyBorder="1" applyAlignment="1">
      <alignment vertical="center"/>
    </xf>
    <xf numFmtId="0" fontId="152" fillId="82" borderId="153" xfId="0" applyFont="1" applyFill="1" applyBorder="1" applyAlignment="1">
      <alignment horizontal="left" vertical="center" wrapText="1" indent="5"/>
    </xf>
    <xf numFmtId="194" fontId="154" fillId="82" borderId="153" xfId="7" applyNumberFormat="1" applyFont="1" applyFill="1" applyBorder="1" applyAlignment="1">
      <alignment vertical="center"/>
    </xf>
    <xf numFmtId="194" fontId="154" fillId="84" borderId="152" xfId="7" applyNumberFormat="1" applyFont="1" applyFill="1" applyBorder="1" applyAlignment="1">
      <alignment vertical="center"/>
    </xf>
    <xf numFmtId="0" fontId="7" fillId="0" borderId="146" xfId="13" applyFont="1" applyBorder="1" applyAlignment="1" applyProtection="1">
      <alignment wrapText="1"/>
      <protection locked="0"/>
    </xf>
    <xf numFmtId="0" fontId="7" fillId="0" borderId="3" xfId="13" applyFont="1" applyBorder="1" applyAlignment="1" applyProtection="1">
      <alignment vertical="center" wrapText="1"/>
      <protection locked="0"/>
    </xf>
    <xf numFmtId="49" fontId="155" fillId="0" borderId="98" xfId="0" applyNumberFormat="1" applyFont="1" applyBorder="1" applyAlignment="1">
      <alignment horizontal="right" vertical="center"/>
    </xf>
    <xf numFmtId="0" fontId="155" fillId="0" borderId="146" xfId="12672" applyFont="1" applyBorder="1" applyAlignment="1">
      <alignment horizontal="left" vertical="center" wrapText="1"/>
    </xf>
    <xf numFmtId="0" fontId="155" fillId="0" borderId="147" xfId="0" applyFont="1" applyBorder="1" applyAlignment="1">
      <alignment horizontal="left" vertical="top" wrapText="1"/>
    </xf>
    <xf numFmtId="0" fontId="155" fillId="0" borderId="146" xfId="0" applyFont="1" applyBorder="1" applyAlignment="1">
      <alignment vertical="center" wrapText="1"/>
    </xf>
    <xf numFmtId="0" fontId="132" fillId="0" borderId="146" xfId="21414" applyFont="1" applyBorder="1" applyAlignment="1">
      <alignment horizontal="left" vertical="center" wrapText="1"/>
    </xf>
    <xf numFmtId="0" fontId="0" fillId="0" borderId="146" xfId="0" applyBorder="1"/>
    <xf numFmtId="193" fontId="9" fillId="0" borderId="146" xfId="0" applyNumberFormat="1" applyFont="1" applyBorder="1" applyAlignment="1">
      <alignment horizontal="right"/>
    </xf>
    <xf numFmtId="0" fontId="4" fillId="0" borderId="146" xfId="0" applyFont="1" applyBorder="1"/>
    <xf numFmtId="0" fontId="11" fillId="0" borderId="146" xfId="17" applyFill="1" applyBorder="1" applyAlignment="1" applyProtection="1"/>
    <xf numFmtId="0" fontId="139" fillId="3" borderId="146" xfId="5" applyFont="1" applyFill="1" applyBorder="1" applyProtection="1">
      <protection locked="0"/>
    </xf>
    <xf numFmtId="0" fontId="139" fillId="0" borderId="146" xfId="21416" applyFont="1" applyBorder="1" applyAlignment="1" applyProtection="1">
      <alignment horizontal="center" vertical="top" wrapText="1"/>
      <protection locked="0"/>
    </xf>
    <xf numFmtId="0" fontId="156" fillId="3" borderId="146" xfId="21416" applyFont="1" applyFill="1" applyBorder="1" applyAlignment="1" applyProtection="1">
      <alignment wrapText="1"/>
      <protection locked="0"/>
    </xf>
    <xf numFmtId="3" fontId="139" fillId="80" borderId="146" xfId="5" applyNumberFormat="1" applyFont="1" applyFill="1" applyBorder="1"/>
    <xf numFmtId="0" fontId="137" fillId="3" borderId="146" xfId="21416" applyFont="1" applyFill="1" applyBorder="1" applyAlignment="1" applyProtection="1">
      <alignment horizontal="right" wrapText="1"/>
      <protection locked="0"/>
    </xf>
    <xf numFmtId="3" fontId="139" fillId="0" borderId="146" xfId="5" applyNumberFormat="1" applyFont="1" applyBorder="1"/>
    <xf numFmtId="0" fontId="157" fillId="0" borderId="0" xfId="21415" applyFont="1" applyAlignment="1" applyProtection="1">
      <alignment vertical="center"/>
      <protection locked="0"/>
    </xf>
    <xf numFmtId="0" fontId="112" fillId="76" borderId="149" xfId="21412" applyFont="1" applyFill="1" applyBorder="1" applyAlignment="1" applyProtection="1">
      <alignment vertical="center" wrapText="1"/>
      <protection locked="0"/>
    </xf>
    <xf numFmtId="0" fontId="62" fillId="76" borderId="148" xfId="21412" applyFont="1" applyFill="1" applyBorder="1" applyProtection="1">
      <alignment vertical="center"/>
      <protection locked="0"/>
    </xf>
    <xf numFmtId="0" fontId="113" fillId="69" borderId="147" xfId="21412" applyFont="1" applyFill="1" applyBorder="1" applyAlignment="1" applyProtection="1">
      <alignment horizontal="center" vertical="center"/>
      <protection locked="0"/>
    </xf>
    <xf numFmtId="0" fontId="113" fillId="0" borderId="148" xfId="21412" applyFont="1" applyBorder="1" applyAlignment="1" applyProtection="1">
      <alignment horizontal="left" vertical="center" wrapText="1"/>
      <protection locked="0"/>
    </xf>
    <xf numFmtId="164" fontId="113" fillId="0" borderId="146" xfId="948" applyNumberFormat="1" applyFont="1" applyFill="1" applyBorder="1" applyAlignment="1" applyProtection="1">
      <alignment horizontal="right" vertical="center"/>
      <protection locked="0"/>
    </xf>
    <xf numFmtId="0" fontId="112"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top" wrapText="1"/>
      <protection locked="0"/>
    </xf>
    <xf numFmtId="164" fontId="113" fillId="77" borderId="146" xfId="948" applyNumberFormat="1" applyFont="1" applyFill="1" applyBorder="1" applyAlignment="1" applyProtection="1">
      <alignment horizontal="right" vertical="center"/>
    </xf>
    <xf numFmtId="0" fontId="112" fillId="76" borderId="149" xfId="21412" applyFont="1" applyFill="1" applyBorder="1" applyProtection="1">
      <alignment vertical="center"/>
      <protection locked="0"/>
    </xf>
    <xf numFmtId="164" fontId="62" fillId="76" borderId="148" xfId="948" applyNumberFormat="1" applyFont="1" applyFill="1" applyBorder="1" applyAlignment="1" applyProtection="1">
      <alignment horizontal="right" vertical="center"/>
      <protection locked="0"/>
    </xf>
    <xf numFmtId="0" fontId="114" fillId="69" borderId="147" xfId="21412" applyFont="1" applyFill="1" applyBorder="1" applyAlignment="1" applyProtection="1">
      <alignment horizontal="center" vertical="center"/>
      <protection locked="0"/>
    </xf>
    <xf numFmtId="0" fontId="113" fillId="69" borderId="146" xfId="21412" applyFont="1" applyFill="1" applyBorder="1" applyAlignment="1" applyProtection="1">
      <alignment vertical="center" wrapText="1"/>
      <protection locked="0"/>
    </xf>
    <xf numFmtId="0" fontId="113" fillId="69" borderId="146" xfId="21412" applyFont="1" applyFill="1" applyBorder="1" applyAlignment="1" applyProtection="1">
      <alignment horizontal="left" vertical="center" wrapText="1"/>
      <protection locked="0"/>
    </xf>
    <xf numFmtId="0" fontId="113" fillId="0" borderId="146" xfId="21412" applyFont="1" applyBorder="1" applyAlignment="1" applyProtection="1">
      <alignment horizontal="left" vertical="center" wrapText="1"/>
      <protection locked="0"/>
    </xf>
    <xf numFmtId="0" fontId="114" fillId="3" borderId="147" xfId="21412" applyFont="1" applyFill="1" applyBorder="1" applyAlignment="1" applyProtection="1">
      <alignment horizontal="center" vertical="center"/>
      <protection locked="0"/>
    </xf>
    <xf numFmtId="0" fontId="113" fillId="0" borderId="146" xfId="21412" applyFont="1" applyBorder="1" applyAlignment="1" applyProtection="1">
      <alignment vertical="center" wrapText="1"/>
      <protection locked="0"/>
    </xf>
    <xf numFmtId="0" fontId="115"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center" wrapText="1"/>
      <protection locked="0"/>
    </xf>
    <xf numFmtId="164" fontId="112" fillId="76" borderId="148" xfId="948" applyNumberFormat="1" applyFont="1" applyFill="1" applyBorder="1" applyAlignment="1" applyProtection="1">
      <alignment horizontal="right" vertical="center"/>
      <protection locked="0"/>
    </xf>
    <xf numFmtId="0" fontId="113" fillId="69" borderId="148" xfId="21412" applyFont="1" applyFill="1" applyBorder="1" applyAlignment="1" applyProtection="1">
      <alignment vertical="center" wrapText="1"/>
      <protection locked="0"/>
    </xf>
    <xf numFmtId="0" fontId="62" fillId="76" borderId="149" xfId="21412" applyFont="1" applyFill="1" applyBorder="1" applyProtection="1">
      <alignment vertical="center"/>
      <protection locked="0"/>
    </xf>
    <xf numFmtId="164" fontId="113" fillId="3" borderId="146" xfId="948" applyNumberFormat="1" applyFont="1" applyFill="1" applyBorder="1" applyAlignment="1" applyProtection="1">
      <alignment horizontal="right" vertical="center"/>
      <protection locked="0"/>
    </xf>
    <xf numFmtId="0" fontId="114" fillId="3" borderId="146" xfId="21412" applyFont="1" applyFill="1" applyBorder="1" applyAlignment="1" applyProtection="1">
      <alignment horizontal="center" vertical="center"/>
      <protection locked="0"/>
    </xf>
    <xf numFmtId="0" fontId="113" fillId="69" borderId="148" xfId="21412" applyFont="1" applyFill="1" applyBorder="1" applyAlignment="1" applyProtection="1">
      <alignment horizontal="left" vertical="center" wrapText="1"/>
      <protection locked="0"/>
    </xf>
    <xf numFmtId="0" fontId="156" fillId="3" borderId="0" xfId="21415" applyFont="1" applyFill="1" applyAlignment="1" applyProtection="1">
      <alignment vertical="center"/>
      <protection locked="0"/>
    </xf>
    <xf numFmtId="0" fontId="139" fillId="3" borderId="146" xfId="5" applyFont="1" applyFill="1" applyBorder="1" applyAlignment="1" applyProtection="1">
      <alignment vertical="center" wrapText="1"/>
      <protection locked="0"/>
    </xf>
    <xf numFmtId="0" fontId="139" fillId="0" borderId="146" xfId="21416" applyFont="1" applyBorder="1" applyAlignment="1" applyProtection="1">
      <alignment horizontal="center" vertical="center" wrapText="1"/>
      <protection locked="0"/>
    </xf>
    <xf numFmtId="3" fontId="139" fillId="3" borderId="146" xfId="1" applyNumberFormat="1" applyFont="1" applyFill="1" applyBorder="1" applyAlignment="1" applyProtection="1">
      <alignment horizontal="center" vertical="center" wrapText="1"/>
      <protection locked="0"/>
    </xf>
    <xf numFmtId="9" fontId="139" fillId="3" borderId="146" xfId="15" applyNumberFormat="1" applyFont="1" applyFill="1" applyBorder="1" applyAlignment="1" applyProtection="1">
      <alignment horizontal="center" vertical="center" wrapText="1"/>
      <protection locked="0"/>
    </xf>
    <xf numFmtId="0" fontId="139" fillId="3" borderId="146" xfId="21416" applyFont="1" applyFill="1" applyBorder="1" applyAlignment="1" applyProtection="1">
      <alignment horizontal="center" vertical="center" wrapText="1"/>
      <protection locked="0"/>
    </xf>
    <xf numFmtId="0" fontId="156" fillId="3" borderId="146" xfId="21416" applyFont="1" applyFill="1" applyBorder="1" applyProtection="1">
      <protection locked="0"/>
    </xf>
    <xf numFmtId="0" fontId="159" fillId="3" borderId="146" xfId="21416" applyFont="1" applyFill="1" applyBorder="1" applyAlignment="1" applyProtection="1">
      <alignment horizontal="right"/>
      <protection locked="0"/>
    </xf>
    <xf numFmtId="195" fontId="139" fillId="80" borderId="146" xfId="5" applyNumberFormat="1" applyFont="1" applyFill="1" applyBorder="1" applyProtection="1">
      <protection locked="0"/>
    </xf>
    <xf numFmtId="164" fontId="139" fillId="80" borderId="146" xfId="1" applyNumberFormat="1" applyFont="1" applyFill="1" applyBorder="1" applyAlignment="1" applyProtection="1"/>
    <xf numFmtId="0" fontId="139" fillId="3" borderId="146" xfId="21416" applyFont="1" applyFill="1" applyBorder="1" applyAlignment="1" applyProtection="1">
      <alignment horizontal="left" vertical="center"/>
      <protection locked="0"/>
    </xf>
    <xf numFmtId="3" fontId="139" fillId="3" borderId="146" xfId="5" applyNumberFormat="1" applyFont="1" applyFill="1" applyBorder="1" applyProtection="1">
      <protection locked="0"/>
    </xf>
    <xf numFmtId="0" fontId="137" fillId="3" borderId="146" xfId="21416" applyFont="1" applyFill="1" applyBorder="1" applyAlignment="1" applyProtection="1">
      <alignment horizontal="right"/>
      <protection locked="0"/>
    </xf>
    <xf numFmtId="0" fontId="139" fillId="0" borderId="146" xfId="21416" applyFont="1" applyBorder="1" applyAlignment="1" applyProtection="1">
      <alignment horizontal="left" vertical="center"/>
      <protection locked="0"/>
    </xf>
    <xf numFmtId="0" fontId="156" fillId="3" borderId="146" xfId="16" applyFont="1" applyFill="1" applyBorder="1" applyProtection="1">
      <protection locked="0"/>
    </xf>
    <xf numFmtId="3" fontId="156" fillId="76" borderId="146" xfId="16" applyNumberFormat="1" applyFont="1" applyFill="1" applyBorder="1"/>
    <xf numFmtId="0" fontId="163" fillId="0" borderId="0" xfId="0" applyFont="1" applyAlignment="1">
      <alignment horizontal="left" vertical="center" wrapText="1"/>
    </xf>
    <xf numFmtId="193" fontId="7" fillId="0" borderId="146" xfId="0" applyNumberFormat="1" applyFont="1" applyBorder="1" applyAlignment="1" applyProtection="1">
      <alignment vertical="center" wrapText="1"/>
      <protection locked="0"/>
    </xf>
    <xf numFmtId="193" fontId="4" fillId="0" borderId="146" xfId="0" applyNumberFormat="1" applyFont="1" applyBorder="1" applyAlignment="1" applyProtection="1">
      <alignment vertical="center" wrapText="1"/>
      <protection locked="0"/>
    </xf>
    <xf numFmtId="193" fontId="7" fillId="0" borderId="146" xfId="0" applyNumberFormat="1" applyFont="1" applyBorder="1" applyAlignment="1" applyProtection="1">
      <alignment horizontal="right" vertical="center" wrapText="1"/>
      <protection locked="0"/>
    </xf>
    <xf numFmtId="10" fontId="4" fillId="0" borderId="146" xfId="20961" applyNumberFormat="1" applyFont="1" applyFill="1" applyBorder="1" applyAlignment="1" applyProtection="1">
      <alignment horizontal="right" vertical="center" wrapText="1"/>
      <protection locked="0"/>
    </xf>
    <xf numFmtId="10" fontId="4" fillId="0" borderId="146" xfId="20961" applyNumberFormat="1" applyFont="1" applyBorder="1" applyAlignment="1" applyProtection="1">
      <alignment vertical="center" wrapText="1"/>
      <protection locked="0"/>
    </xf>
    <xf numFmtId="10" fontId="4" fillId="87" borderId="146" xfId="20961" applyNumberFormat="1" applyFont="1" applyFill="1" applyBorder="1" applyAlignment="1" applyProtection="1">
      <alignment horizontal="right" vertical="center" wrapText="1"/>
      <protection locked="0"/>
    </xf>
    <xf numFmtId="10" fontId="4" fillId="87" borderId="146" xfId="20961" applyNumberFormat="1" applyFont="1" applyFill="1" applyBorder="1" applyAlignment="1" applyProtection="1">
      <alignment vertical="center" wrapText="1"/>
      <protection locked="0"/>
    </xf>
    <xf numFmtId="10" fontId="9" fillId="2" borderId="146" xfId="20961" applyNumberFormat="1" applyFont="1" applyFill="1" applyBorder="1" applyAlignment="1" applyProtection="1">
      <alignment vertical="center"/>
      <protection locked="0"/>
    </xf>
    <xf numFmtId="10" fontId="17" fillId="2" borderId="146" xfId="20961" applyNumberFormat="1" applyFont="1" applyFill="1" applyBorder="1" applyAlignment="1" applyProtection="1">
      <alignment vertical="center"/>
      <protection locked="0"/>
    </xf>
    <xf numFmtId="193" fontId="9" fillId="0" borderId="146" xfId="0" applyNumberFormat="1" applyFont="1" applyBorder="1" applyAlignment="1" applyProtection="1">
      <alignment vertical="center"/>
      <protection locked="0"/>
    </xf>
    <xf numFmtId="193" fontId="9" fillId="2" borderId="146" xfId="0" applyNumberFormat="1" applyFont="1" applyFill="1" applyBorder="1" applyAlignment="1" applyProtection="1">
      <alignment vertical="center"/>
      <protection locked="0"/>
    </xf>
    <xf numFmtId="193" fontId="17" fillId="2" borderId="146" xfId="0" applyNumberFormat="1" applyFont="1" applyFill="1" applyBorder="1" applyAlignment="1" applyProtection="1">
      <alignment vertical="center"/>
      <protection locked="0"/>
    </xf>
    <xf numFmtId="10" fontId="9" fillId="0" borderId="146" xfId="20961" applyNumberFormat="1" applyFont="1" applyFill="1" applyBorder="1" applyAlignment="1" applyProtection="1">
      <alignment vertical="center"/>
      <protection locked="0"/>
    </xf>
    <xf numFmtId="193" fontId="9" fillId="2" borderId="147" xfId="0" applyNumberFormat="1" applyFont="1" applyFill="1" applyBorder="1" applyAlignment="1" applyProtection="1">
      <alignment vertical="center"/>
      <protection locked="0"/>
    </xf>
    <xf numFmtId="193" fontId="17" fillId="2" borderId="147" xfId="0" applyNumberFormat="1" applyFont="1" applyFill="1" applyBorder="1" applyAlignment="1" applyProtection="1">
      <alignment vertical="center"/>
      <protection locked="0"/>
    </xf>
    <xf numFmtId="10" fontId="9" fillId="2" borderId="153" xfId="20961" applyNumberFormat="1" applyFont="1" applyFill="1" applyBorder="1" applyAlignment="1" applyProtection="1">
      <alignment vertical="center"/>
      <protection locked="0"/>
    </xf>
    <xf numFmtId="10" fontId="17" fillId="2" borderId="153" xfId="20961" applyNumberFormat="1" applyFont="1" applyFill="1" applyBorder="1" applyAlignment="1" applyProtection="1">
      <alignment vertical="center"/>
      <protection locked="0"/>
    </xf>
    <xf numFmtId="164" fontId="0" fillId="0" borderId="146" xfId="7" applyNumberFormat="1" applyFont="1" applyBorder="1"/>
    <xf numFmtId="43" fontId="3" fillId="0" borderId="98" xfId="7" applyFont="1" applyBorder="1"/>
    <xf numFmtId="164" fontId="3" fillId="0" borderId="98" xfId="7" applyNumberFormat="1" applyFont="1" applyBorder="1"/>
    <xf numFmtId="164" fontId="0" fillId="35" borderId="98" xfId="7" applyNumberFormat="1" applyFont="1" applyFill="1" applyBorder="1"/>
    <xf numFmtId="164" fontId="0" fillId="35" borderId="98" xfId="7" applyNumberFormat="1" applyFont="1" applyFill="1" applyBorder="1" applyAlignment="1">
      <alignment vertical="center"/>
    </xf>
    <xf numFmtId="164" fontId="0" fillId="35" borderId="138" xfId="7" applyNumberFormat="1" applyFont="1" applyFill="1" applyBorder="1"/>
    <xf numFmtId="164" fontId="0" fillId="0" borderId="98" xfId="7" applyNumberFormat="1" applyFont="1" applyBorder="1"/>
    <xf numFmtId="164" fontId="0" fillId="0" borderId="138" xfId="7" applyNumberFormat="1" applyFont="1" applyBorder="1"/>
    <xf numFmtId="164" fontId="3" fillId="0" borderId="146" xfId="7" applyNumberFormat="1" applyFont="1" applyBorder="1"/>
    <xf numFmtId="164" fontId="3" fillId="0" borderId="138" xfId="7" applyNumberFormat="1" applyFont="1" applyBorder="1"/>
    <xf numFmtId="164" fontId="3" fillId="0" borderId="98" xfId="7" applyNumberFormat="1" applyFont="1" applyBorder="1" applyAlignment="1">
      <alignment vertical="center"/>
    </xf>
    <xf numFmtId="193" fontId="10" fillId="0" borderId="146" xfId="0" applyNumberFormat="1" applyFont="1" applyBorder="1" applyAlignment="1">
      <alignment horizontal="right"/>
    </xf>
    <xf numFmtId="164" fontId="9" fillId="35" borderId="112" xfId="7" applyNumberFormat="1" applyFont="1" applyFill="1" applyBorder="1" applyAlignment="1">
      <alignment horizontal="right"/>
    </xf>
    <xf numFmtId="3" fontId="21" fillId="0" borderId="146" xfId="0" applyNumberFormat="1" applyFont="1" applyBorder="1" applyAlignment="1">
      <alignment vertical="center" wrapText="1"/>
    </xf>
    <xf numFmtId="3" fontId="21" fillId="0" borderId="149" xfId="0" applyNumberFormat="1" applyFont="1" applyBorder="1" applyAlignment="1">
      <alignment vertical="center" wrapText="1"/>
    </xf>
    <xf numFmtId="0" fontId="9" fillId="0" borderId="156" xfId="0" applyFont="1" applyBorder="1" applyAlignment="1">
      <alignment vertical="center"/>
    </xf>
    <xf numFmtId="0" fontId="13" fillId="0" borderId="149" xfId="0" applyFont="1" applyBorder="1" applyAlignment="1">
      <alignment wrapText="1"/>
    </xf>
    <xf numFmtId="10" fontId="4" fillId="0" borderId="155" xfId="20961" applyNumberFormat="1" applyFont="1" applyBorder="1"/>
    <xf numFmtId="10" fontId="0" fillId="0" borderId="0" xfId="20961" applyNumberFormat="1" applyFont="1"/>
    <xf numFmtId="10" fontId="4" fillId="87" borderId="98" xfId="20961" applyNumberFormat="1" applyFont="1" applyFill="1" applyBorder="1" applyAlignment="1" applyProtection="1">
      <alignment horizontal="right" vertical="center" wrapText="1"/>
      <protection locked="0"/>
    </xf>
    <xf numFmtId="10" fontId="9" fillId="2" borderId="98" xfId="20961" applyNumberFormat="1" applyFont="1" applyFill="1" applyBorder="1" applyAlignment="1" applyProtection="1">
      <alignment vertical="center"/>
      <protection locked="0"/>
    </xf>
    <xf numFmtId="10" fontId="9" fillId="2" borderId="23" xfId="20961" applyNumberFormat="1" applyFont="1" applyFill="1" applyBorder="1" applyAlignment="1" applyProtection="1">
      <alignment vertical="center"/>
      <protection locked="0"/>
    </xf>
    <xf numFmtId="193" fontId="10" fillId="0" borderId="138" xfId="0" applyNumberFormat="1" applyFont="1" applyBorder="1" applyAlignment="1">
      <alignment horizontal="right"/>
    </xf>
    <xf numFmtId="164" fontId="9" fillId="0" borderId="138" xfId="7" applyNumberFormat="1" applyFont="1" applyBorder="1" applyAlignment="1">
      <alignment horizontal="right"/>
    </xf>
    <xf numFmtId="164" fontId="4" fillId="0" borderId="138" xfId="7" applyNumberFormat="1" applyFont="1" applyFill="1" applyBorder="1" applyAlignment="1">
      <alignment vertical="center" wrapText="1"/>
    </xf>
    <xf numFmtId="164" fontId="4" fillId="0" borderId="138" xfId="7" applyNumberFormat="1" applyFont="1" applyBorder="1" applyAlignment="1">
      <alignment vertical="center"/>
    </xf>
    <xf numFmtId="164" fontId="6" fillId="0" borderId="138" xfId="7" applyNumberFormat="1" applyFont="1" applyFill="1" applyBorder="1" applyAlignment="1">
      <alignment vertical="center" wrapText="1"/>
    </xf>
    <xf numFmtId="164" fontId="6" fillId="0" borderId="138" xfId="7" applyNumberFormat="1" applyFont="1" applyBorder="1" applyAlignment="1">
      <alignment vertical="center"/>
    </xf>
    <xf numFmtId="164" fontId="6" fillId="0" borderId="98" xfId="7" applyNumberFormat="1" applyFont="1" applyBorder="1" applyAlignment="1">
      <alignment vertical="center"/>
    </xf>
    <xf numFmtId="193" fontId="0" fillId="0" borderId="0" xfId="0" applyNumberFormat="1"/>
    <xf numFmtId="193" fontId="24" fillId="3" borderId="20" xfId="2" applyNumberFormat="1" applyFont="1" applyFill="1" applyBorder="1" applyAlignment="1" applyProtection="1">
      <alignment vertical="top" wrapText="1"/>
      <protection locked="0"/>
    </xf>
    <xf numFmtId="164" fontId="4" fillId="0" borderId="112" xfId="7" applyNumberFormat="1" applyFont="1" applyBorder="1" applyAlignment="1">
      <alignment horizontal="right" vertical="center" wrapText="1"/>
    </xf>
    <xf numFmtId="164" fontId="6" fillId="35" borderId="112" xfId="7" applyNumberFormat="1" applyFont="1" applyFill="1" applyBorder="1" applyAlignment="1">
      <alignment horizontal="right" vertical="center" wrapText="1"/>
    </xf>
    <xf numFmtId="164" fontId="109" fillId="0" borderId="112" xfId="7" applyNumberFormat="1" applyFont="1" applyBorder="1" applyAlignment="1">
      <alignment horizontal="right" vertical="center" wrapText="1"/>
    </xf>
    <xf numFmtId="164" fontId="6" fillId="35" borderId="112" xfId="7" applyNumberFormat="1" applyFont="1" applyFill="1" applyBorder="1" applyAlignment="1">
      <alignment horizontal="center" vertical="center" wrapText="1"/>
    </xf>
    <xf numFmtId="164" fontId="7" fillId="0" borderId="24" xfId="7" applyNumberFormat="1" applyFont="1" applyFill="1" applyBorder="1" applyAlignment="1" applyProtection="1">
      <alignment horizontal="right" vertical="center"/>
    </xf>
    <xf numFmtId="0" fontId="23" fillId="0" borderId="146" xfId="0" applyFont="1" applyBorder="1"/>
    <xf numFmtId="164" fontId="4" fillId="0" borderId="3" xfId="7" applyNumberFormat="1" applyFont="1" applyBorder="1"/>
    <xf numFmtId="164" fontId="4" fillId="35" borderId="24" xfId="7" applyNumberFormat="1" applyFont="1" applyFill="1" applyBorder="1"/>
    <xf numFmtId="193" fontId="4" fillId="0" borderId="0" xfId="0" applyNumberFormat="1" applyFont="1"/>
    <xf numFmtId="164" fontId="4" fillId="0" borderId="99" xfId="7" applyNumberFormat="1" applyFont="1" applyBorder="1" applyAlignment="1">
      <alignment vertical="center"/>
    </xf>
    <xf numFmtId="164" fontId="4" fillId="0" borderId="112" xfId="7" applyNumberFormat="1" applyFont="1" applyBorder="1" applyAlignment="1">
      <alignment vertical="center"/>
    </xf>
    <xf numFmtId="164" fontId="4" fillId="3" borderId="96" xfId="7" applyNumberFormat="1" applyFont="1" applyFill="1" applyBorder="1" applyAlignment="1">
      <alignment vertical="center"/>
    </xf>
    <xf numFmtId="164" fontId="4" fillId="3" borderId="21" xfId="7" applyNumberFormat="1" applyFont="1" applyFill="1" applyBorder="1" applyAlignment="1">
      <alignment vertical="center"/>
    </xf>
    <xf numFmtId="164" fontId="4" fillId="0" borderId="23" xfId="7" applyNumberFormat="1" applyFont="1" applyBorder="1" applyAlignment="1">
      <alignment vertical="center"/>
    </xf>
    <xf numFmtId="164" fontId="4" fillId="0" borderId="25" xfId="7" applyNumberFormat="1" applyFont="1" applyBorder="1" applyAlignment="1">
      <alignment vertical="center"/>
    </xf>
    <xf numFmtId="164" fontId="6" fillId="0" borderId="99" xfId="7" applyNumberFormat="1" applyFont="1" applyBorder="1" applyAlignment="1">
      <alignment vertical="center"/>
    </xf>
    <xf numFmtId="164" fontId="6" fillId="0" borderId="23" xfId="7" applyNumberFormat="1" applyFont="1" applyBorder="1" applyAlignment="1">
      <alignment vertical="center"/>
    </xf>
    <xf numFmtId="164" fontId="6" fillId="0" borderId="25" xfId="7" applyNumberFormat="1" applyFont="1" applyBorder="1" applyAlignment="1">
      <alignment vertical="center"/>
    </xf>
    <xf numFmtId="164" fontId="4" fillId="0" borderId="53" xfId="7" applyNumberFormat="1" applyFont="1" applyBorder="1" applyAlignment="1">
      <alignment vertical="center"/>
    </xf>
    <xf numFmtId="164" fontId="6" fillId="0" borderId="64" xfId="7" applyNumberFormat="1" applyFont="1" applyBorder="1" applyAlignment="1">
      <alignment vertical="center"/>
    </xf>
    <xf numFmtId="164" fontId="6" fillId="0" borderId="112" xfId="7" applyNumberFormat="1" applyFont="1" applyBorder="1" applyAlignment="1">
      <alignment vertical="center"/>
    </xf>
    <xf numFmtId="164" fontId="4" fillId="3" borderId="26" xfId="7" applyNumberFormat="1" applyFont="1" applyFill="1" applyBorder="1" applyAlignment="1">
      <alignment vertical="center"/>
    </xf>
    <xf numFmtId="164" fontId="6" fillId="3" borderId="26" xfId="0" applyNumberFormat="1" applyFont="1" applyFill="1" applyBorder="1" applyAlignment="1">
      <alignment vertical="center"/>
    </xf>
    <xf numFmtId="164" fontId="4" fillId="3" borderId="145" xfId="7" applyNumberFormat="1" applyFont="1" applyFill="1" applyBorder="1" applyAlignment="1">
      <alignment vertical="center"/>
    </xf>
    <xf numFmtId="10" fontId="4" fillId="3" borderId="93" xfId="20961" applyNumberFormat="1" applyFont="1" applyFill="1" applyBorder="1" applyAlignment="1">
      <alignment vertical="center"/>
    </xf>
    <xf numFmtId="164" fontId="9" fillId="0" borderId="98" xfId="7" applyNumberFormat="1" applyFont="1" applyFill="1" applyBorder="1" applyAlignment="1" applyProtection="1">
      <alignment vertical="center"/>
      <protection locked="0"/>
    </xf>
    <xf numFmtId="10" fontId="9" fillId="0" borderId="98" xfId="20961" applyNumberFormat="1" applyFont="1" applyFill="1" applyBorder="1" applyAlignment="1" applyProtection="1">
      <alignment vertical="center"/>
      <protection locked="0"/>
    </xf>
    <xf numFmtId="0" fontId="102" fillId="0" borderId="146" xfId="0" applyFont="1" applyBorder="1"/>
    <xf numFmtId="0" fontId="11" fillId="0" borderId="146" xfId="17" applyBorder="1" applyAlignment="1" applyProtection="1"/>
    <xf numFmtId="164" fontId="6" fillId="3" borderId="50" xfId="0" applyNumberFormat="1" applyFont="1" applyFill="1" applyBorder="1" applyAlignment="1">
      <alignment vertical="center"/>
    </xf>
    <xf numFmtId="164" fontId="4" fillId="3" borderId="162" xfId="7" applyNumberFormat="1" applyFont="1" applyFill="1" applyBorder="1" applyAlignment="1">
      <alignment vertical="center"/>
    </xf>
    <xf numFmtId="10" fontId="4" fillId="3" borderId="161" xfId="20961" applyNumberFormat="1" applyFont="1" applyFill="1" applyBorder="1" applyAlignment="1">
      <alignment vertical="center"/>
    </xf>
    <xf numFmtId="164" fontId="139" fillId="3" borderId="146" xfId="7" applyNumberFormat="1" applyFont="1" applyFill="1" applyBorder="1" applyProtection="1">
      <protection locked="0"/>
    </xf>
    <xf numFmtId="38" fontId="113" fillId="0" borderId="146" xfId="948" applyNumberFormat="1" applyFont="1" applyFill="1" applyBorder="1" applyAlignment="1" applyProtection="1">
      <alignment horizontal="right" vertical="center"/>
      <protection locked="0"/>
    </xf>
    <xf numFmtId="10" fontId="113" fillId="77" borderId="146" xfId="20961" applyNumberFormat="1" applyFont="1" applyFill="1" applyBorder="1" applyAlignment="1" applyProtection="1">
      <alignment horizontal="right" vertical="center"/>
    </xf>
    <xf numFmtId="3" fontId="139" fillId="0" borderId="0" xfId="5" applyNumberFormat="1" applyFont="1"/>
    <xf numFmtId="164" fontId="4" fillId="0" borderId="98" xfId="7" applyNumberFormat="1" applyFont="1" applyBorder="1" applyAlignment="1"/>
    <xf numFmtId="164" fontId="4" fillId="0" borderId="98" xfId="7" applyNumberFormat="1" applyFont="1" applyBorder="1" applyAlignment="1">
      <alignment horizontal="center"/>
    </xf>
    <xf numFmtId="164" fontId="6" fillId="0" borderId="98" xfId="7" applyNumberFormat="1" applyFont="1" applyBorder="1"/>
    <xf numFmtId="164" fontId="120" fillId="0" borderId="138" xfId="7" applyNumberFormat="1" applyFont="1" applyBorder="1"/>
    <xf numFmtId="164" fontId="117" fillId="0" borderId="138" xfId="7" applyNumberFormat="1" applyFont="1" applyBorder="1"/>
    <xf numFmtId="164" fontId="116" fillId="0" borderId="146" xfId="7" applyNumberFormat="1" applyFont="1" applyBorder="1"/>
    <xf numFmtId="164" fontId="119" fillId="0" borderId="146" xfId="7" applyNumberFormat="1" applyFont="1" applyBorder="1"/>
    <xf numFmtId="164" fontId="102" fillId="0" borderId="146" xfId="7" applyNumberFormat="1" applyFont="1" applyBorder="1"/>
    <xf numFmtId="164" fontId="164" fillId="0" borderId="146" xfId="7" applyNumberFormat="1" applyFont="1" applyBorder="1"/>
    <xf numFmtId="164" fontId="103" fillId="0" borderId="146" xfId="7" applyNumberFormat="1" applyFont="1" applyBorder="1"/>
    <xf numFmtId="164" fontId="165" fillId="0" borderId="146" xfId="7" applyNumberFormat="1" applyFont="1" applyBorder="1"/>
    <xf numFmtId="164" fontId="119" fillId="0" borderId="146" xfId="0" applyNumberFormat="1" applyFont="1" applyBorder="1" applyAlignment="1">
      <alignment horizontal="left" indent="1"/>
    </xf>
    <xf numFmtId="164" fontId="119" fillId="0" borderId="146" xfId="0" applyNumberFormat="1" applyFont="1" applyBorder="1"/>
    <xf numFmtId="164" fontId="116" fillId="0" borderId="146" xfId="7" applyNumberFormat="1" applyFont="1" applyBorder="1" applyAlignment="1">
      <alignment horizontal="left" indent="1"/>
    </xf>
    <xf numFmtId="164" fontId="116" fillId="0" borderId="146" xfId="7" applyNumberFormat="1" applyFont="1" applyBorder="1" applyAlignment="1">
      <alignment horizontal="center" vertical="center" wrapText="1"/>
    </xf>
    <xf numFmtId="164" fontId="116" fillId="0" borderId="146" xfId="7" applyNumberFormat="1" applyFont="1" applyBorder="1" applyAlignment="1">
      <alignment horizontal="center" vertical="center"/>
    </xf>
    <xf numFmtId="164" fontId="119" fillId="0" borderId="146" xfId="0" applyNumberFormat="1" applyFont="1" applyBorder="1" applyAlignment="1">
      <alignment horizontal="left" vertical="center" wrapText="1"/>
    </xf>
    <xf numFmtId="164" fontId="121" fillId="0" borderId="146" xfId="7" applyNumberFormat="1" applyFont="1" applyBorder="1"/>
    <xf numFmtId="164" fontId="6" fillId="0" borderId="98" xfId="7" applyNumberFormat="1" applyFont="1" applyFill="1" applyBorder="1"/>
    <xf numFmtId="164" fontId="6" fillId="0" borderId="98" xfId="7" applyNumberFormat="1" applyFont="1" applyFill="1" applyBorder="1" applyAlignment="1">
      <alignment vertical="center"/>
    </xf>
    <xf numFmtId="164" fontId="0" fillId="0" borderId="0" xfId="0" applyNumberFormat="1"/>
    <xf numFmtId="164" fontId="4" fillId="0" borderId="112" xfId="7" applyNumberFormat="1" applyFont="1" applyFill="1" applyBorder="1"/>
    <xf numFmtId="164" fontId="4" fillId="0" borderId="0" xfId="7" applyNumberFormat="1" applyFont="1" applyFill="1" applyBorder="1"/>
    <xf numFmtId="164" fontId="0" fillId="0" borderId="0" xfId="7" applyNumberFormat="1" applyFont="1"/>
    <xf numFmtId="164" fontId="119" fillId="0" borderId="69" xfId="7" applyNumberFormat="1" applyFont="1" applyBorder="1"/>
    <xf numFmtId="164" fontId="116" fillId="0" borderId="155" xfId="7" applyNumberFormat="1" applyFont="1" applyBorder="1"/>
    <xf numFmtId="164" fontId="116" fillId="0" borderId="69" xfId="7" applyNumberFormat="1" applyFont="1" applyBorder="1"/>
    <xf numFmtId="164" fontId="119" fillId="0" borderId="156" xfId="7" applyNumberFormat="1" applyFont="1" applyBorder="1" applyAlignment="1">
      <alignment horizontal="left" indent="2"/>
    </xf>
    <xf numFmtId="164" fontId="116" fillId="79" borderId="156" xfId="7" applyNumberFormat="1" applyFont="1" applyFill="1" applyBorder="1"/>
    <xf numFmtId="164" fontId="116" fillId="79" borderId="146" xfId="7" applyNumberFormat="1" applyFont="1" applyFill="1" applyBorder="1"/>
    <xf numFmtId="164" fontId="116" fillId="79" borderId="155" xfId="7" applyNumberFormat="1" applyFont="1" applyFill="1" applyBorder="1"/>
    <xf numFmtId="164" fontId="116" fillId="0" borderId="153" xfId="7" applyNumberFormat="1" applyFont="1" applyBorder="1"/>
    <xf numFmtId="164" fontId="116" fillId="0" borderId="152" xfId="7" applyNumberFormat="1" applyFont="1" applyBorder="1"/>
    <xf numFmtId="164" fontId="166" fillId="0" borderId="146" xfId="7" applyNumberFormat="1" applyFont="1" applyBorder="1"/>
    <xf numFmtId="43" fontId="121" fillId="0" borderId="146" xfId="7" applyFont="1" applyBorder="1"/>
    <xf numFmtId="43" fontId="121" fillId="0" borderId="147" xfId="7" applyFont="1" applyBorder="1"/>
    <xf numFmtId="164" fontId="121" fillId="0" borderId="147" xfId="7" applyNumberFormat="1" applyFont="1" applyBorder="1"/>
    <xf numFmtId="164" fontId="139" fillId="0" borderId="0" xfId="7" applyNumberFormat="1" applyFont="1"/>
    <xf numFmtId="10" fontId="121" fillId="0" borderId="146" xfId="20961" applyNumberFormat="1" applyFont="1" applyBorder="1"/>
    <xf numFmtId="10" fontId="4" fillId="0" borderId="155" xfId="20961" applyNumberFormat="1" applyFont="1" applyFill="1" applyBorder="1"/>
    <xf numFmtId="0" fontId="13" fillId="0" borderId="145" xfId="0" applyFont="1" applyBorder="1" applyAlignment="1">
      <alignment wrapText="1"/>
    </xf>
    <xf numFmtId="10" fontId="4" fillId="0" borderId="107" xfId="20961" applyNumberFormat="1" applyFont="1" applyFill="1" applyBorder="1"/>
    <xf numFmtId="0" fontId="13" fillId="0" borderId="25" xfId="0" applyFont="1" applyBorder="1" applyAlignment="1">
      <alignment wrapText="1"/>
    </xf>
    <xf numFmtId="10" fontId="4" fillId="0" borderId="152" xfId="20961" applyNumberFormat="1" applyFont="1" applyFill="1" applyBorder="1"/>
    <xf numFmtId="0" fontId="9" fillId="0" borderId="106" xfId="0" applyFont="1" applyBorder="1"/>
    <xf numFmtId="0" fontId="4" fillId="0" borderId="0" xfId="0" applyFont="1" applyAlignment="1">
      <alignment horizontal="center"/>
    </xf>
    <xf numFmtId="0" fontId="104" fillId="0" borderId="66" xfId="0" applyFont="1" applyBorder="1" applyAlignment="1">
      <alignment horizontal="left" vertical="center" wrapText="1"/>
    </xf>
    <xf numFmtId="0" fontId="104" fillId="0" borderId="65" xfId="0" applyFont="1" applyBorder="1" applyAlignment="1">
      <alignment horizontal="left" vertical="center" wrapText="1"/>
    </xf>
    <xf numFmtId="0" fontId="141" fillId="0" borderId="159" xfId="0" applyFont="1" applyBorder="1" applyAlignment="1">
      <alignment horizontal="center" vertical="center"/>
    </xf>
    <xf numFmtId="0" fontId="141" fillId="0" borderId="29" xfId="0" applyFont="1" applyBorder="1" applyAlignment="1">
      <alignment horizontal="center" vertical="center"/>
    </xf>
    <xf numFmtId="0" fontId="141" fillId="0" borderId="160" xfId="0" applyFont="1" applyBorder="1" applyAlignment="1">
      <alignment horizontal="center" vertical="center"/>
    </xf>
    <xf numFmtId="0" fontId="0" fillId="0" borderId="99" xfId="0" applyBorder="1" applyAlignment="1">
      <alignment horizontal="center"/>
    </xf>
    <xf numFmtId="0" fontId="0" fillId="0" borderId="96" xfId="0" applyBorder="1" applyAlignment="1">
      <alignment horizontal="center"/>
    </xf>
    <xf numFmtId="0" fontId="0" fillId="0" borderId="97" xfId="0" applyBorder="1" applyAlignment="1">
      <alignment horizontal="center"/>
    </xf>
    <xf numFmtId="0" fontId="0" fillId="0" borderId="139" xfId="0" applyBorder="1" applyAlignment="1">
      <alignment horizontal="center"/>
    </xf>
    <xf numFmtId="0" fontId="0" fillId="0" borderId="140" xfId="0" applyBorder="1" applyAlignment="1">
      <alignment horizontal="center"/>
    </xf>
    <xf numFmtId="0" fontId="0" fillId="0" borderId="141" xfId="0" applyBorder="1" applyAlignment="1">
      <alignment horizontal="center"/>
    </xf>
    <xf numFmtId="0" fontId="0" fillId="0" borderId="138" xfId="0" applyBorder="1" applyAlignment="1">
      <alignment horizontal="center" vertical="center"/>
    </xf>
    <xf numFmtId="0" fontId="128" fillId="0" borderId="94" xfId="0" applyFont="1" applyBorder="1" applyAlignment="1">
      <alignment horizontal="center" vertical="center"/>
    </xf>
    <xf numFmtId="0" fontId="128" fillId="0" borderId="7"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28" fillId="0" borderId="14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28" xfId="0" applyBorder="1" applyAlignment="1">
      <alignment horizontal="center" vertical="center"/>
    </xf>
    <xf numFmtId="0" fontId="0" fillId="0" borderId="11" xfId="0" applyBorder="1" applyAlignment="1">
      <alignment horizontal="center" vertical="center"/>
    </xf>
    <xf numFmtId="0" fontId="0" fillId="0" borderId="138" xfId="0" applyBorder="1" applyAlignment="1">
      <alignment horizontal="center" vertical="center" wrapText="1"/>
    </xf>
    <xf numFmtId="0" fontId="10" fillId="0" borderId="17" xfId="0" applyFont="1" applyBorder="1" applyAlignment="1">
      <alignment horizontal="center"/>
    </xf>
    <xf numFmtId="0" fontId="10" fillId="0" borderId="18" xfId="0" applyFont="1" applyBorder="1" applyAlignment="1">
      <alignment horizontal="center"/>
    </xf>
    <xf numFmtId="0" fontId="13" fillId="0" borderId="3" xfId="0" applyFont="1" applyBorder="1" applyAlignment="1">
      <alignment wrapText="1"/>
    </xf>
    <xf numFmtId="0" fontId="4" fillId="0" borderId="20" xfId="0" applyFont="1" applyBorder="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99" xfId="0" applyFont="1" applyBorder="1" applyAlignment="1">
      <alignment horizontal="center"/>
    </xf>
    <xf numFmtId="0" fontId="4" fillId="0" borderId="21" xfId="0" applyFont="1" applyBorder="1" applyAlignment="1">
      <alignment horizontal="center"/>
    </xf>
    <xf numFmtId="0" fontId="6" fillId="35" borderId="116"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3" xfId="0" applyFont="1" applyFill="1" applyBorder="1" applyAlignment="1">
      <alignment horizontal="center" vertical="center" wrapText="1"/>
    </xf>
    <xf numFmtId="0" fontId="6" fillId="35" borderId="97" xfId="0" applyFont="1" applyFill="1" applyBorder="1" applyAlignment="1">
      <alignment horizontal="center" vertical="center" wrapText="1"/>
    </xf>
    <xf numFmtId="0" fontId="4" fillId="85" borderId="7" xfId="0" applyFont="1" applyFill="1" applyBorder="1" applyAlignment="1">
      <alignment horizontal="center" vertical="center" wrapText="1"/>
    </xf>
    <xf numFmtId="0" fontId="4" fillId="85" borderId="146" xfId="0" applyFont="1" applyFill="1" applyBorder="1" applyAlignment="1">
      <alignment horizontal="center" vertical="center" wrapText="1"/>
    </xf>
    <xf numFmtId="0" fontId="4" fillId="85" borderId="7" xfId="11" applyFont="1" applyFill="1" applyBorder="1" applyAlignment="1">
      <alignment horizontal="center" vertical="top"/>
    </xf>
    <xf numFmtId="0" fontId="6" fillId="86" borderId="64" xfId="0" applyFont="1" applyFill="1" applyBorder="1" applyAlignment="1">
      <alignment horizontal="center" vertical="center" wrapText="1"/>
    </xf>
    <xf numFmtId="0" fontId="6" fillId="86" borderId="155" xfId="0" applyFont="1" applyFill="1" applyBorder="1" applyAlignment="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4" fontId="15" fillId="0" borderId="90" xfId="1" applyNumberFormat="1" applyFont="1" applyFill="1" applyBorder="1" applyAlignment="1" applyProtection="1">
      <alignment horizontal="center" vertical="center" wrapText="1"/>
      <protection locked="0"/>
    </xf>
    <xf numFmtId="164" fontId="15" fillId="0" borderId="91"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05" xfId="0" applyFont="1" applyBorder="1" applyAlignment="1">
      <alignment horizontal="center" vertical="center" wrapText="1"/>
    </xf>
    <xf numFmtId="0" fontId="14" fillId="0" borderId="54" xfId="0" applyFont="1" applyBorder="1" applyAlignment="1">
      <alignment horizontal="left" vertical="center"/>
    </xf>
    <xf numFmtId="0" fontId="14" fillId="0" borderId="55" xfId="0" applyFont="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2" xfId="0" applyFont="1" applyBorder="1" applyAlignment="1">
      <alignment horizontal="center" vertical="center" wrapText="1"/>
    </xf>
    <xf numFmtId="0" fontId="119" fillId="0" borderId="119" xfId="0" applyFont="1" applyBorder="1" applyAlignment="1">
      <alignment horizontal="left" vertical="center" wrapText="1"/>
    </xf>
    <xf numFmtId="0" fontId="119" fillId="0" borderId="120" xfId="0" applyFont="1" applyBorder="1" applyAlignment="1">
      <alignment horizontal="left" vertical="center" wrapText="1"/>
    </xf>
    <xf numFmtId="0" fontId="119" fillId="0" borderId="122" xfId="0" applyFont="1" applyBorder="1" applyAlignment="1">
      <alignment horizontal="left" vertical="center" wrapText="1"/>
    </xf>
    <xf numFmtId="0" fontId="119" fillId="0" borderId="123" xfId="0" applyFont="1" applyBorder="1" applyAlignment="1">
      <alignment horizontal="left" vertical="center" wrapText="1"/>
    </xf>
    <xf numFmtId="0" fontId="119" fillId="0" borderId="125" xfId="0" applyFont="1" applyBorder="1" applyAlignment="1">
      <alignment horizontal="left" vertical="center" wrapText="1"/>
    </xf>
    <xf numFmtId="0" fontId="119" fillId="0" borderId="126" xfId="0" applyFont="1" applyBorder="1" applyAlignment="1">
      <alignment horizontal="left" vertical="center" wrapText="1"/>
    </xf>
    <xf numFmtId="0" fontId="120" fillId="0" borderId="145" xfId="0" applyFont="1" applyBorder="1" applyAlignment="1">
      <alignment horizontal="center" vertical="center" wrapText="1"/>
    </xf>
    <xf numFmtId="0" fontId="120" fillId="0" borderId="144" xfId="0" applyFont="1" applyBorder="1" applyAlignment="1">
      <alignment horizontal="center" vertical="center" wrapText="1"/>
    </xf>
    <xf numFmtId="0" fontId="120" fillId="0" borderId="121" xfId="0" applyFont="1" applyBorder="1" applyAlignment="1">
      <alignment horizontal="center" vertical="center" wrapText="1"/>
    </xf>
    <xf numFmtId="0" fontId="120" fillId="0" borderId="53"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6" xfId="0" applyFont="1" applyBorder="1" applyAlignment="1">
      <alignment horizontal="center" vertical="center" wrapText="1"/>
    </xf>
    <xf numFmtId="0" fontId="116" fillId="0" borderId="149" xfId="0" applyFont="1" applyBorder="1" applyAlignment="1">
      <alignment horizontal="center" vertical="center" wrapText="1"/>
    </xf>
    <xf numFmtId="0" fontId="116" fillId="0" borderId="148" xfId="0" applyFont="1" applyBorder="1" applyAlignment="1">
      <alignment horizontal="center" vertical="center" wrapText="1"/>
    </xf>
    <xf numFmtId="0" fontId="124" fillId="0" borderId="146" xfId="0" applyFont="1" applyBorder="1" applyAlignment="1">
      <alignment horizontal="center" vertical="center"/>
    </xf>
    <xf numFmtId="0" fontId="118" fillId="0" borderId="145" xfId="0" applyFont="1" applyBorder="1" applyAlignment="1">
      <alignment horizontal="center" vertical="center"/>
    </xf>
    <xf numFmtId="0" fontId="118" fillId="0" borderId="150" xfId="0" applyFont="1" applyBorder="1" applyAlignment="1">
      <alignment horizontal="center" vertical="center"/>
    </xf>
    <xf numFmtId="0" fontId="118" fillId="0" borderId="53" xfId="0" applyFont="1" applyBorder="1" applyAlignment="1">
      <alignment horizontal="center" vertical="center"/>
    </xf>
    <xf numFmtId="0" fontId="118" fillId="0" borderId="11" xfId="0" applyFont="1" applyBorder="1" applyAlignment="1">
      <alignment horizontal="center" vertical="center"/>
    </xf>
    <xf numFmtId="0" fontId="119" fillId="0" borderId="146" xfId="0" applyFont="1" applyBorder="1" applyAlignment="1">
      <alignment horizontal="center" vertical="center" wrapText="1"/>
    </xf>
    <xf numFmtId="0" fontId="119" fillId="0" borderId="145" xfId="0" applyFont="1" applyBorder="1" applyAlignment="1">
      <alignment horizontal="center" vertical="center" wrapText="1"/>
    </xf>
    <xf numFmtId="0" fontId="119" fillId="0" borderId="150" xfId="0" applyFont="1" applyBorder="1" applyAlignment="1">
      <alignment horizontal="center" vertical="center" wrapText="1"/>
    </xf>
    <xf numFmtId="0" fontId="119" fillId="0" borderId="127" xfId="0" applyFont="1" applyBorder="1" applyAlignment="1">
      <alignment horizontal="center" vertical="center" wrapText="1"/>
    </xf>
    <xf numFmtId="0" fontId="119" fillId="0" borderId="128" xfId="0" applyFont="1" applyBorder="1" applyAlignment="1">
      <alignment horizontal="center" vertical="center" wrapText="1"/>
    </xf>
    <xf numFmtId="0" fontId="119" fillId="0" borderId="53"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51" xfId="0" applyFont="1" applyBorder="1" applyAlignment="1">
      <alignment horizontal="center" vertical="center" wrapText="1"/>
    </xf>
    <xf numFmtId="0" fontId="119" fillId="0" borderId="12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45" xfId="0" applyFont="1" applyBorder="1" applyAlignment="1">
      <alignment horizontal="center" vertical="center" wrapText="1"/>
    </xf>
    <xf numFmtId="0" fontId="116" fillId="0" borderId="144" xfId="0" applyFont="1" applyBorder="1" applyAlignment="1">
      <alignment horizontal="center" vertical="center" wrapText="1"/>
    </xf>
    <xf numFmtId="0" fontId="116" fillId="0" borderId="15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55" xfId="0" applyFont="1" applyBorder="1" applyAlignment="1">
      <alignment horizontal="center" vertical="center" wrapText="1"/>
    </xf>
    <xf numFmtId="0" fontId="116" fillId="0" borderId="54" xfId="0" applyFont="1" applyBorder="1" applyAlignment="1">
      <alignment horizontal="center" vertical="center" wrapText="1"/>
    </xf>
    <xf numFmtId="0" fontId="116" fillId="0" borderId="55" xfId="0" applyFont="1" applyBorder="1" applyAlignment="1">
      <alignment horizontal="center" vertical="center" wrapText="1"/>
    </xf>
    <xf numFmtId="0" fontId="116" fillId="0" borderId="105" xfId="0" applyFont="1" applyBorder="1" applyAlignment="1">
      <alignment horizontal="center" vertical="center" wrapText="1"/>
    </xf>
    <xf numFmtId="0" fontId="119" fillId="0" borderId="54" xfId="0" applyFont="1" applyBorder="1" applyAlignment="1">
      <alignment horizontal="left" vertical="top" wrapText="1"/>
    </xf>
    <xf numFmtId="0" fontId="119" fillId="0" borderId="105" xfId="0" applyFont="1" applyBorder="1" applyAlignment="1">
      <alignment horizontal="left" vertical="top" wrapText="1"/>
    </xf>
    <xf numFmtId="0" fontId="119" fillId="0" borderId="63" xfId="0" applyFont="1" applyBorder="1" applyAlignment="1">
      <alignment horizontal="left" vertical="top" wrapText="1"/>
    </xf>
    <xf numFmtId="0" fontId="119" fillId="0" borderId="92" xfId="0" applyFont="1" applyBorder="1" applyAlignment="1">
      <alignment horizontal="left" vertical="top" wrapText="1"/>
    </xf>
    <xf numFmtId="0" fontId="119" fillId="0" borderId="118" xfId="0" applyFont="1" applyBorder="1" applyAlignment="1">
      <alignment horizontal="left" vertical="top" wrapText="1"/>
    </xf>
    <xf numFmtId="0" fontId="119" fillId="0" borderId="157" xfId="0" applyFont="1" applyBorder="1" applyAlignment="1">
      <alignment horizontal="left" vertical="top" wrapText="1"/>
    </xf>
    <xf numFmtId="0" fontId="119" fillId="0" borderId="158" xfId="0" applyFont="1" applyBorder="1" applyAlignment="1">
      <alignment horizontal="center" vertical="center" wrapText="1"/>
    </xf>
    <xf numFmtId="0" fontId="119" fillId="0" borderId="69" xfId="0" applyFont="1" applyBorder="1" applyAlignment="1">
      <alignment horizontal="center" vertical="center" wrapText="1"/>
    </xf>
    <xf numFmtId="0" fontId="116" fillId="0" borderId="145" xfId="0" applyFont="1" applyBorder="1" applyAlignment="1">
      <alignment horizontal="center" vertical="top" wrapText="1"/>
    </xf>
    <xf numFmtId="0" fontId="116" fillId="0" borderId="144" xfId="0" applyFont="1" applyBorder="1" applyAlignment="1">
      <alignment horizontal="center" vertical="top" wrapText="1"/>
    </xf>
    <xf numFmtId="0" fontId="116" fillId="0" borderId="151" xfId="0" applyFont="1" applyBorder="1" applyAlignment="1">
      <alignment horizontal="center" vertical="top" wrapText="1"/>
    </xf>
    <xf numFmtId="0" fontId="116" fillId="0" borderId="148" xfId="0" applyFont="1" applyBorder="1" applyAlignment="1">
      <alignment horizontal="center" vertical="top" wrapText="1"/>
    </xf>
    <xf numFmtId="0" fontId="105" fillId="0" borderId="130" xfId="0" applyFont="1" applyBorder="1" applyAlignment="1">
      <alignment horizontal="left" vertical="top" wrapText="1"/>
    </xf>
    <xf numFmtId="0" fontId="105" fillId="0" borderId="131" xfId="0" applyFont="1" applyBorder="1" applyAlignment="1">
      <alignment horizontal="left" vertical="top" wrapText="1"/>
    </xf>
    <xf numFmtId="0" fontId="122" fillId="0" borderId="146" xfId="0" applyFont="1" applyBorder="1" applyAlignment="1">
      <alignment horizontal="center" vertical="center"/>
    </xf>
    <xf numFmtId="0" fontId="121" fillId="0" borderId="146" xfId="0" applyFont="1" applyBorder="1" applyAlignment="1">
      <alignment horizontal="center" vertical="center" wrapText="1"/>
    </xf>
    <xf numFmtId="0" fontId="121" fillId="0" borderId="147" xfId="0" applyFont="1" applyBorder="1" applyAlignment="1">
      <alignment horizontal="center" vertical="center" wrapText="1"/>
    </xf>
    <xf numFmtId="0" fontId="105" fillId="75" borderId="149" xfId="0" applyFont="1" applyFill="1" applyBorder="1" applyAlignment="1">
      <alignment horizontal="center" vertical="center" wrapText="1"/>
    </xf>
    <xf numFmtId="0" fontId="105" fillId="75" borderId="148" xfId="0" applyFont="1" applyFill="1" applyBorder="1" applyAlignment="1">
      <alignment horizontal="center" vertical="center" wrapText="1"/>
    </xf>
    <xf numFmtId="0" fontId="106" fillId="0" borderId="149" xfId="0" applyFont="1" applyBorder="1" applyAlignment="1">
      <alignment horizontal="left" vertical="center" wrapText="1"/>
    </xf>
    <xf numFmtId="0" fontId="106" fillId="0" borderId="148" xfId="0" applyFont="1" applyBorder="1" applyAlignment="1">
      <alignment horizontal="left" vertical="center" wrapText="1"/>
    </xf>
    <xf numFmtId="0" fontId="106" fillId="0" borderId="149" xfId="13" applyFont="1" applyBorder="1" applyAlignment="1" applyProtection="1">
      <alignment horizontal="left" vertical="top" wrapText="1"/>
      <protection locked="0"/>
    </xf>
    <xf numFmtId="0" fontId="106" fillId="0" borderId="148" xfId="13" applyFont="1" applyBorder="1" applyAlignment="1" applyProtection="1">
      <alignment horizontal="left" vertical="top" wrapText="1"/>
      <protection locked="0"/>
    </xf>
    <xf numFmtId="0" fontId="155" fillId="0" borderId="149" xfId="13" applyFont="1" applyBorder="1" applyAlignment="1" applyProtection="1">
      <alignment horizontal="left" vertical="top" wrapText="1"/>
      <protection locked="0"/>
    </xf>
    <xf numFmtId="0" fontId="155" fillId="0" borderId="148" xfId="13" applyFont="1" applyBorder="1" applyAlignment="1" applyProtection="1">
      <alignment horizontal="left" vertical="top" wrapText="1"/>
      <protection locked="0"/>
    </xf>
    <xf numFmtId="0" fontId="106" fillId="0" borderId="149" xfId="0" applyFont="1" applyBorder="1" applyAlignment="1">
      <alignment horizontal="left" vertical="top" wrapText="1"/>
    </xf>
    <xf numFmtId="0" fontId="106" fillId="0" borderId="148" xfId="0" applyFont="1" applyBorder="1" applyAlignment="1">
      <alignment horizontal="left" vertical="top" wrapText="1"/>
    </xf>
    <xf numFmtId="49" fontId="106" fillId="0" borderId="0" xfId="0" applyNumberFormat="1" applyFont="1" applyAlignment="1">
      <alignment horizontal="center" vertical="center"/>
    </xf>
    <xf numFmtId="0" fontId="106" fillId="0" borderId="146" xfId="0" applyFont="1" applyBorder="1" applyAlignment="1">
      <alignment horizontal="left" vertical="top" wrapText="1"/>
    </xf>
    <xf numFmtId="0" fontId="106" fillId="0" borderId="146" xfId="0" applyFont="1" applyBorder="1" applyAlignment="1">
      <alignment horizontal="left" vertical="center" wrapText="1"/>
    </xf>
    <xf numFmtId="0" fontId="105" fillId="75" borderId="146" xfId="0" applyFont="1" applyFill="1" applyBorder="1" applyAlignment="1">
      <alignment horizontal="center" vertical="center" wrapText="1"/>
    </xf>
    <xf numFmtId="0" fontId="106" fillId="0" borderId="146" xfId="0" applyFont="1" applyBorder="1" applyAlignment="1">
      <alignment horizontal="center"/>
    </xf>
    <xf numFmtId="0" fontId="106" fillId="0" borderId="99" xfId="0" applyFont="1" applyBorder="1" applyAlignment="1">
      <alignment horizontal="left" vertical="center" wrapText="1"/>
    </xf>
    <xf numFmtId="0" fontId="106" fillId="0" borderId="97" xfId="0" applyFont="1" applyBorder="1" applyAlignment="1">
      <alignment horizontal="left" vertical="center" wrapText="1"/>
    </xf>
    <xf numFmtId="0" fontId="105" fillId="0" borderId="146" xfId="0" applyFont="1" applyBorder="1" applyAlignment="1">
      <alignment horizontal="center" vertical="center"/>
    </xf>
    <xf numFmtId="0" fontId="106" fillId="3" borderId="149" xfId="13" applyFont="1" applyFill="1" applyBorder="1" applyAlignment="1" applyProtection="1">
      <alignment horizontal="left" vertical="top" wrapText="1"/>
      <protection locked="0"/>
    </xf>
    <xf numFmtId="0" fontId="106" fillId="3" borderId="148" xfId="13" applyFont="1" applyFill="1" applyBorder="1" applyAlignment="1" applyProtection="1">
      <alignment horizontal="left" vertical="top" wrapText="1"/>
      <protection locked="0"/>
    </xf>
    <xf numFmtId="0" fontId="105" fillId="0" borderId="85" xfId="0" applyFont="1" applyBorder="1" applyAlignment="1">
      <alignment horizontal="center" vertical="center"/>
    </xf>
    <xf numFmtId="0" fontId="105" fillId="75" borderId="82" xfId="0" applyFont="1" applyFill="1" applyBorder="1" applyAlignment="1">
      <alignment horizontal="center" vertical="center" wrapText="1"/>
    </xf>
    <xf numFmtId="0" fontId="105" fillId="75" borderId="0" xfId="0" applyFont="1" applyFill="1" applyAlignment="1">
      <alignment horizontal="center" vertical="center" wrapText="1"/>
    </xf>
    <xf numFmtId="0" fontId="105" fillId="75" borderId="83" xfId="0" applyFont="1" applyFill="1" applyBorder="1" applyAlignment="1">
      <alignment horizontal="center" vertical="center" wrapText="1"/>
    </xf>
    <xf numFmtId="0" fontId="106" fillId="0" borderId="99" xfId="0" applyFont="1" applyBorder="1" applyAlignment="1">
      <alignment vertical="center" wrapText="1"/>
    </xf>
    <xf numFmtId="0" fontId="106" fillId="0" borderId="97" xfId="0" applyFont="1" applyBorder="1" applyAlignment="1">
      <alignment vertical="center" wrapText="1"/>
    </xf>
    <xf numFmtId="0" fontId="105" fillId="75" borderId="87" xfId="0" applyFont="1" applyFill="1" applyBorder="1" applyAlignment="1">
      <alignment horizontal="center" vertical="center"/>
    </xf>
    <xf numFmtId="0" fontId="105" fillId="75" borderId="88" xfId="0" applyFont="1" applyFill="1" applyBorder="1" applyAlignment="1">
      <alignment horizontal="center" vertical="center"/>
    </xf>
    <xf numFmtId="0" fontId="105" fillId="75" borderId="89" xfId="0" applyFont="1" applyFill="1" applyBorder="1" applyAlignment="1">
      <alignment horizontal="center" vertical="center"/>
    </xf>
    <xf numFmtId="0" fontId="106" fillId="3" borderId="99" xfId="0" applyFont="1" applyFill="1" applyBorder="1" applyAlignment="1">
      <alignment horizontal="left" vertical="center" wrapText="1"/>
    </xf>
    <xf numFmtId="0" fontId="106" fillId="3" borderId="97" xfId="0" applyFont="1" applyFill="1" applyBorder="1" applyAlignment="1">
      <alignment horizontal="left" vertical="center" wrapText="1"/>
    </xf>
    <xf numFmtId="0" fontId="106" fillId="0" borderId="77" xfId="0" applyFont="1" applyBorder="1" applyAlignment="1">
      <alignment horizontal="left" vertical="center" wrapText="1"/>
    </xf>
    <xf numFmtId="0" fontId="106" fillId="0" borderId="78" xfId="0" applyFont="1" applyBorder="1" applyAlignment="1">
      <alignment horizontal="left" vertical="center" wrapText="1"/>
    </xf>
    <xf numFmtId="0" fontId="105" fillId="75" borderId="73" xfId="0" applyFont="1" applyFill="1" applyBorder="1" applyAlignment="1">
      <alignment horizontal="center" vertical="center" wrapText="1"/>
    </xf>
    <xf numFmtId="0" fontId="105" fillId="75" borderId="74" xfId="0" applyFont="1" applyFill="1" applyBorder="1" applyAlignment="1">
      <alignment horizontal="center" vertical="center" wrapText="1"/>
    </xf>
    <xf numFmtId="0" fontId="105" fillId="75" borderId="75" xfId="0" applyFont="1" applyFill="1" applyBorder="1" applyAlignment="1">
      <alignment horizontal="center" vertical="center" wrapText="1"/>
    </xf>
    <xf numFmtId="0" fontId="106" fillId="0" borderId="53" xfId="0" applyFont="1" applyBorder="1" applyAlignment="1">
      <alignment horizontal="left" vertical="center" wrapText="1"/>
    </xf>
    <xf numFmtId="0" fontId="106" fillId="0" borderId="11" xfId="0" applyFont="1" applyBorder="1" applyAlignment="1">
      <alignment horizontal="left" vertical="center" wrapText="1"/>
    </xf>
    <xf numFmtId="0" fontId="155" fillId="3" borderId="99" xfId="0" applyFont="1" applyFill="1" applyBorder="1" applyAlignment="1">
      <alignment horizontal="left" vertical="center" wrapText="1"/>
    </xf>
    <xf numFmtId="0" fontId="155" fillId="3" borderId="97" xfId="0" applyFont="1" applyFill="1" applyBorder="1" applyAlignment="1">
      <alignment horizontal="left" vertical="center" wrapText="1"/>
    </xf>
    <xf numFmtId="0" fontId="106" fillId="0" borderId="139" xfId="0" applyFont="1" applyBorder="1" applyAlignment="1">
      <alignment horizontal="left" vertical="center" wrapText="1"/>
    </xf>
    <xf numFmtId="0" fontId="106" fillId="0" borderId="140" xfId="0" applyFont="1" applyBorder="1" applyAlignment="1">
      <alignment horizontal="left" vertical="center" wrapText="1"/>
    </xf>
    <xf numFmtId="0" fontId="106" fillId="0" borderId="141" xfId="0" applyFont="1" applyBorder="1" applyAlignment="1">
      <alignment horizontal="left" vertical="center" wrapText="1"/>
    </xf>
    <xf numFmtId="0" fontId="106" fillId="3" borderId="77" xfId="0" applyFont="1" applyFill="1" applyBorder="1" applyAlignment="1">
      <alignment horizontal="left" vertical="center" wrapText="1"/>
    </xf>
    <xf numFmtId="0" fontId="106" fillId="3" borderId="78" xfId="0" applyFont="1" applyFill="1" applyBorder="1" applyAlignment="1">
      <alignment horizontal="left" vertical="center" wrapText="1"/>
    </xf>
    <xf numFmtId="0" fontId="106" fillId="0" borderId="80" xfId="0" applyFont="1" applyBorder="1" applyAlignment="1">
      <alignment horizontal="left" vertical="center" wrapText="1"/>
    </xf>
    <xf numFmtId="0" fontId="106" fillId="0" borderId="81" xfId="0" applyFont="1" applyBorder="1" applyAlignment="1">
      <alignment horizontal="left" vertical="center" wrapText="1"/>
    </xf>
    <xf numFmtId="0" fontId="106" fillId="0" borderId="53" xfId="0" applyFont="1" applyBorder="1" applyAlignment="1">
      <alignment vertical="center" wrapText="1"/>
    </xf>
    <xf numFmtId="0" fontId="106" fillId="0" borderId="11" xfId="0" applyFont="1" applyBorder="1" applyAlignment="1">
      <alignment vertical="center" wrapText="1"/>
    </xf>
    <xf numFmtId="0" fontId="106" fillId="3" borderId="99" xfId="0" applyFont="1" applyFill="1" applyBorder="1" applyAlignment="1">
      <alignment vertical="center" wrapText="1"/>
    </xf>
    <xf numFmtId="0" fontId="106" fillId="3" borderId="97" xfId="0" applyFont="1" applyFill="1" applyBorder="1" applyAlignment="1">
      <alignment vertical="center" wrapText="1"/>
    </xf>
    <xf numFmtId="0" fontId="105" fillId="0" borderId="70" xfId="0" applyFont="1" applyBorder="1" applyAlignment="1">
      <alignment horizontal="center" vertical="center"/>
    </xf>
    <xf numFmtId="0" fontId="105" fillId="0" borderId="71" xfId="0" applyFont="1" applyBorder="1" applyAlignment="1">
      <alignment horizontal="center" vertical="center"/>
    </xf>
    <xf numFmtId="0" fontId="105" fillId="0" borderId="72" xfId="0" applyFont="1" applyBorder="1" applyAlignment="1">
      <alignment horizontal="center" vertical="center"/>
    </xf>
    <xf numFmtId="0" fontId="106" fillId="0" borderId="98" xfId="0" applyFont="1" applyBorder="1" applyAlignment="1">
      <alignment horizontal="left" vertical="center" wrapText="1"/>
    </xf>
    <xf numFmtId="0" fontId="155" fillId="3" borderId="99" xfId="0" applyFont="1" applyFill="1" applyBorder="1" applyAlignment="1">
      <alignment vertical="center" wrapText="1"/>
    </xf>
    <xf numFmtId="0" fontId="155" fillId="3" borderId="97" xfId="0" applyFont="1" applyFill="1" applyBorder="1" applyAlignment="1">
      <alignment vertical="center" wrapText="1"/>
    </xf>
    <xf numFmtId="0" fontId="106" fillId="0" borderId="99" xfId="0" applyFont="1" applyBorder="1" applyAlignment="1">
      <alignment horizontal="left"/>
    </xf>
    <xf numFmtId="0" fontId="106" fillId="0" borderId="97" xfId="0" applyFont="1" applyBorder="1" applyAlignment="1">
      <alignment horizontal="left"/>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PG1_I-BBB-QQ-YYYYMMDD-From2025-Q1%20&#4315;&#4312;&#4313;&#4320;&#4317;&#4305;&#4304;&#4316;&#4313;&#4308;&#4305;&#4312;%20-%20&#4313;&#4309;&#4304;&#4320;&#4322;&#4304;&#4314;&#4323;&#4320;&#4312;%20&#4318;&#4312;&#4314;&#4304;&#4320;%203%20(&#4325;&#4304;&#4320;&#4311;&#4323;&#4314;&#4308;&#4316;&#4317;&#4309;&#4304;&#4316;&#4312;).xlsx?AA0E3574" TargetMode="External"/><Relationship Id="rId1" Type="http://schemas.openxmlformats.org/officeDocument/2006/relationships/externalLinkPath" Target="file:///\\AA0E3574\PG1_I-BBB-QQ-YYYYMMDD-From2025-Q1%20&#4315;&#4312;&#4313;&#4320;&#4317;&#4305;&#4304;&#4316;&#4313;&#4308;&#4305;&#4312;%20-%20&#4313;&#4309;&#4304;&#4320;&#4322;&#4304;&#4314;&#4323;&#4320;&#4312;%20&#4318;&#4312;&#4314;&#4304;&#4320;%203%20(&#4325;&#4304;&#4320;&#4311;&#4323;&#4314;&#4308;&#4316;&#4317;&#4309;&#4304;&#4316;&#4312;).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Copy%20of%20PG1_I-BBB-QQ-YYYYMMDD-From2025-Q1%20&#4315;&#4312;&#4313;&#4320;&#4317;&#4305;&#4304;&#4316;&#4313;&#4308;&#4305;&#4312;%20-%20&#4313;&#4309;&#4304;&#4320;&#4322;&#4304;&#4314;&#4323;&#4320;&#4312;%20&#4318;&#4312;&#4314;&#4304;&#4320;%203%20(&#4325;&#4304;&#4320;&#4311;&#4323;&#4314;&#4308;&#4316;&#4317;&#4309;&#4304;&#4316;&#4312;).xlsx?AA0E3574" TargetMode="External"/><Relationship Id="rId1" Type="http://schemas.openxmlformats.org/officeDocument/2006/relationships/externalLinkPath" Target="file:///\\AA0E3574\Copy%20of%20PG1_I-BBB-QQ-YYYYMMDD-From2025-Q1%20&#4315;&#4312;&#4313;&#4320;&#4317;&#4305;&#4304;&#4316;&#4313;&#4308;&#4305;&#4312;%20-%20&#4313;&#4309;&#4304;&#4320;&#4322;&#4304;&#4314;&#4323;&#4320;&#4312;%20&#4318;&#4312;&#4314;&#4304;&#4320;%203%20(&#4325;&#4304;&#4320;&#4311;&#4323;&#4314;&#4308;&#4316;&#4317;&#4309;&#4304;&#4316;&#4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4">
          <cell r="E34" t="b">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redo.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tabSelected="1" zoomScaleNormal="100" workbookViewId="0">
      <pane xSplit="1" ySplit="7" topLeftCell="B8" activePane="bottomRight" state="frozen"/>
      <selection pane="topRight" activeCell="B1" sqref="B1"/>
      <selection pane="bottomLeft" activeCell="A8" sqref="A8"/>
      <selection pane="bottomRight" activeCell="C2" sqref="C2:C5"/>
    </sheetView>
  </sheetViews>
  <sheetFormatPr defaultRowHeight="14.4"/>
  <cols>
    <col min="1" max="1" width="10.21875" style="1" customWidth="1"/>
    <col min="2" max="2" width="153" bestFit="1" customWidth="1"/>
    <col min="3" max="3" width="39.44140625" customWidth="1"/>
    <col min="7" max="7" width="25" customWidth="1"/>
  </cols>
  <sheetData>
    <row r="1" spans="1:3">
      <c r="A1" s="6"/>
      <c r="B1" s="93" t="s">
        <v>148</v>
      </c>
      <c r="C1" s="45"/>
    </row>
    <row r="2" spans="1:3" s="90" customFormat="1">
      <c r="A2" s="134">
        <v>1</v>
      </c>
      <c r="B2" s="91" t="s">
        <v>149</v>
      </c>
      <c r="C2" s="715" t="s">
        <v>1036</v>
      </c>
    </row>
    <row r="3" spans="1:3" s="90" customFormat="1">
      <c r="A3" s="134">
        <v>2</v>
      </c>
      <c r="B3" s="92" t="s">
        <v>150</v>
      </c>
      <c r="C3" s="715" t="s">
        <v>1037</v>
      </c>
    </row>
    <row r="4" spans="1:3" s="90" customFormat="1">
      <c r="A4" s="134">
        <v>3</v>
      </c>
      <c r="B4" s="92" t="s">
        <v>151</v>
      </c>
      <c r="C4" s="715" t="s">
        <v>1009</v>
      </c>
    </row>
    <row r="5" spans="1:3" s="90" customFormat="1">
      <c r="A5" s="135">
        <v>4</v>
      </c>
      <c r="B5" s="95" t="s">
        <v>152</v>
      </c>
      <c r="C5" s="716" t="s">
        <v>1038</v>
      </c>
    </row>
    <row r="6" spans="1:3" s="94" customFormat="1" ht="65.25" customHeight="1">
      <c r="A6" s="770" t="s">
        <v>309</v>
      </c>
      <c r="B6" s="771"/>
      <c r="C6" s="771"/>
    </row>
    <row r="7" spans="1:3">
      <c r="A7" s="235" t="s">
        <v>240</v>
      </c>
      <c r="B7" s="236" t="s">
        <v>153</v>
      </c>
    </row>
    <row r="8" spans="1:3">
      <c r="A8" s="237">
        <v>1</v>
      </c>
      <c r="B8" s="233" t="s">
        <v>128</v>
      </c>
    </row>
    <row r="9" spans="1:3">
      <c r="A9" s="237">
        <v>2</v>
      </c>
      <c r="B9" s="233" t="s">
        <v>154</v>
      </c>
    </row>
    <row r="10" spans="1:3">
      <c r="A10" s="237">
        <v>3</v>
      </c>
      <c r="B10" s="233" t="s">
        <v>155</v>
      </c>
    </row>
    <row r="11" spans="1:3">
      <c r="A11" s="237">
        <v>4</v>
      </c>
      <c r="B11" s="233" t="s">
        <v>156</v>
      </c>
    </row>
    <row r="12" spans="1:3">
      <c r="A12" s="237">
        <v>5</v>
      </c>
      <c r="B12" s="233" t="s">
        <v>96</v>
      </c>
    </row>
    <row r="13" spans="1:3">
      <c r="A13" s="237">
        <v>6</v>
      </c>
      <c r="B13" s="238" t="s">
        <v>80</v>
      </c>
    </row>
    <row r="14" spans="1:3">
      <c r="A14" s="237">
        <v>7</v>
      </c>
      <c r="B14" s="233" t="s">
        <v>157</v>
      </c>
    </row>
    <row r="15" spans="1:3">
      <c r="A15" s="237">
        <v>8</v>
      </c>
      <c r="B15" s="233" t="s">
        <v>160</v>
      </c>
    </row>
    <row r="16" spans="1:3">
      <c r="A16" s="237">
        <v>9</v>
      </c>
      <c r="B16" s="233" t="s">
        <v>74</v>
      </c>
    </row>
    <row r="17" spans="1:2">
      <c r="A17" s="239" t="s">
        <v>366</v>
      </c>
      <c r="B17" s="233" t="s">
        <v>346</v>
      </c>
    </row>
    <row r="18" spans="1:2">
      <c r="A18" s="237">
        <v>9.1999999999999993</v>
      </c>
      <c r="B18" s="591" t="s">
        <v>945</v>
      </c>
    </row>
    <row r="19" spans="1:2">
      <c r="A19" s="237">
        <v>9.3000000000000007</v>
      </c>
      <c r="B19" s="591" t="s">
        <v>946</v>
      </c>
    </row>
    <row r="20" spans="1:2">
      <c r="A20" s="237">
        <v>10</v>
      </c>
      <c r="B20" s="233" t="s">
        <v>161</v>
      </c>
    </row>
    <row r="21" spans="1:2">
      <c r="A21" s="237">
        <v>11</v>
      </c>
      <c r="B21" s="238" t="s">
        <v>144</v>
      </c>
    </row>
    <row r="22" spans="1:2">
      <c r="A22" s="237">
        <v>12</v>
      </c>
      <c r="B22" s="238" t="s">
        <v>141</v>
      </c>
    </row>
    <row r="23" spans="1:2">
      <c r="A23" s="237">
        <v>13</v>
      </c>
      <c r="B23" s="240" t="s">
        <v>285</v>
      </c>
    </row>
    <row r="24" spans="1:2">
      <c r="A24" s="237">
        <v>14</v>
      </c>
      <c r="B24" s="233" t="s">
        <v>339</v>
      </c>
    </row>
    <row r="25" spans="1:2">
      <c r="A25" s="237">
        <v>15</v>
      </c>
      <c r="B25" s="233" t="s">
        <v>73</v>
      </c>
    </row>
    <row r="26" spans="1:2">
      <c r="A26" s="237">
        <v>15.1</v>
      </c>
      <c r="B26" s="233" t="s">
        <v>375</v>
      </c>
    </row>
    <row r="27" spans="1:2">
      <c r="A27" s="590">
        <v>15.2</v>
      </c>
      <c r="B27" s="591" t="s">
        <v>969</v>
      </c>
    </row>
    <row r="28" spans="1:2">
      <c r="A28" s="237">
        <v>16</v>
      </c>
      <c r="B28" s="233" t="s">
        <v>422</v>
      </c>
    </row>
    <row r="29" spans="1:2">
      <c r="A29" s="237">
        <v>17</v>
      </c>
      <c r="B29" s="233" t="s">
        <v>646</v>
      </c>
    </row>
    <row r="30" spans="1:2">
      <c r="A30" s="237">
        <v>18</v>
      </c>
      <c r="B30" s="233" t="s">
        <v>905</v>
      </c>
    </row>
    <row r="31" spans="1:2">
      <c r="A31" s="237">
        <v>19</v>
      </c>
      <c r="B31" s="233" t="s">
        <v>906</v>
      </c>
    </row>
    <row r="32" spans="1:2">
      <c r="A32" s="237">
        <v>20</v>
      </c>
      <c r="B32" s="233" t="s">
        <v>907</v>
      </c>
    </row>
    <row r="33" spans="1:2">
      <c r="A33" s="237">
        <v>21</v>
      </c>
      <c r="B33" s="233" t="s">
        <v>515</v>
      </c>
    </row>
    <row r="34" spans="1:2">
      <c r="A34" s="237">
        <v>22</v>
      </c>
      <c r="B34" s="233" t="s">
        <v>908</v>
      </c>
    </row>
    <row r="35" spans="1:2" ht="26.4">
      <c r="A35" s="237">
        <v>23</v>
      </c>
      <c r="B35" s="546" t="s">
        <v>904</v>
      </c>
    </row>
    <row r="36" spans="1:2">
      <c r="A36" s="237">
        <v>24</v>
      </c>
      <c r="B36" s="233" t="s">
        <v>909</v>
      </c>
    </row>
    <row r="37" spans="1:2">
      <c r="A37" s="237">
        <v>25</v>
      </c>
      <c r="B37" s="233" t="s">
        <v>910</v>
      </c>
    </row>
    <row r="38" spans="1:2">
      <c r="A38" s="237">
        <v>26</v>
      </c>
      <c r="B38" s="233"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 ref="C5" r:id="rId1" xr:uid="{DF52D7CD-071C-4577-A85F-84040003AB4E}"/>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38" activePane="bottomRight" state="frozen"/>
      <selection pane="topRight" activeCell="B1" sqref="B1"/>
      <selection pane="bottomLeft" activeCell="A5" sqref="A5"/>
      <selection pane="bottomRight" activeCell="C45" sqref="C45"/>
    </sheetView>
  </sheetViews>
  <sheetFormatPr defaultRowHeight="14.4"/>
  <cols>
    <col min="1" max="1" width="9.5546875" style="1" bestFit="1" customWidth="1"/>
    <col min="2" max="2" width="132.44140625" style="1" customWidth="1"/>
    <col min="3" max="3" width="18.44140625" style="1" customWidth="1"/>
  </cols>
  <sheetData>
    <row r="1" spans="1:6">
      <c r="A1" s="13" t="s">
        <v>97</v>
      </c>
      <c r="B1" s="12" t="str">
        <f>Info!C2</f>
        <v>სს "კრედო ბანკი"</v>
      </c>
      <c r="D1" s="1"/>
      <c r="E1" s="1"/>
      <c r="F1" s="1"/>
    </row>
    <row r="2" spans="1:6" s="13" customFormat="1" ht="15.75" customHeight="1">
      <c r="A2" s="13" t="s">
        <v>98</v>
      </c>
      <c r="B2" s="276">
        <f>'1. key ratios'!B2</f>
        <v>46022</v>
      </c>
    </row>
    <row r="3" spans="1:6" s="13" customFormat="1" ht="15.75" customHeight="1"/>
    <row r="4" spans="1:6" ht="15" thickBot="1">
      <c r="A4" s="1" t="s">
        <v>246</v>
      </c>
      <c r="B4" s="22" t="s">
        <v>74</v>
      </c>
    </row>
    <row r="5" spans="1:6">
      <c r="A5" s="64" t="s">
        <v>25</v>
      </c>
      <c r="B5" s="65"/>
      <c r="C5" s="66" t="s">
        <v>26</v>
      </c>
    </row>
    <row r="6" spans="1:6">
      <c r="A6" s="67">
        <v>1</v>
      </c>
      <c r="B6" s="41" t="s">
        <v>27</v>
      </c>
      <c r="C6" s="144">
        <f>SUM(C7:C11)</f>
        <v>472909721.96000004</v>
      </c>
    </row>
    <row r="7" spans="1:6">
      <c r="A7" s="67">
        <v>2</v>
      </c>
      <c r="B7" s="38" t="s">
        <v>28</v>
      </c>
      <c r="C7" s="145">
        <v>5270620</v>
      </c>
    </row>
    <row r="8" spans="1:6">
      <c r="A8" s="67">
        <v>3</v>
      </c>
      <c r="B8" s="33" t="s">
        <v>29</v>
      </c>
      <c r="C8" s="145">
        <v>41797125.479999997</v>
      </c>
    </row>
    <row r="9" spans="1:6">
      <c r="A9" s="67">
        <v>4</v>
      </c>
      <c r="B9" s="33" t="s">
        <v>30</v>
      </c>
      <c r="C9" s="145"/>
    </row>
    <row r="10" spans="1:6">
      <c r="A10" s="67">
        <v>5</v>
      </c>
      <c r="B10" s="33" t="s">
        <v>31</v>
      </c>
      <c r="C10" s="145"/>
    </row>
    <row r="11" spans="1:6">
      <c r="A11" s="67">
        <v>6</v>
      </c>
      <c r="B11" s="39" t="s">
        <v>32</v>
      </c>
      <c r="C11" s="145">
        <v>425841976.48000002</v>
      </c>
    </row>
    <row r="12" spans="1:6" s="2" customFormat="1">
      <c r="A12" s="67">
        <v>7</v>
      </c>
      <c r="B12" s="41" t="s">
        <v>33</v>
      </c>
      <c r="C12" s="146">
        <f>SUM(C13:C28)</f>
        <v>40661045</v>
      </c>
    </row>
    <row r="13" spans="1:6" s="2" customFormat="1">
      <c r="A13" s="67">
        <v>8</v>
      </c>
      <c r="B13" s="40" t="s">
        <v>34</v>
      </c>
      <c r="C13" s="147"/>
    </row>
    <row r="14" spans="1:6" s="2" customFormat="1" ht="27.6">
      <c r="A14" s="67">
        <v>9</v>
      </c>
      <c r="B14" s="34" t="s">
        <v>35</v>
      </c>
      <c r="C14" s="147"/>
    </row>
    <row r="15" spans="1:6" s="2" customFormat="1">
      <c r="A15" s="67">
        <v>10</v>
      </c>
      <c r="B15" s="35" t="s">
        <v>36</v>
      </c>
      <c r="C15" s="687">
        <v>40661045</v>
      </c>
    </row>
    <row r="16" spans="1:6" s="2" customFormat="1">
      <c r="A16" s="67">
        <v>11</v>
      </c>
      <c r="B16" s="36" t="s">
        <v>37</v>
      </c>
      <c r="C16" s="147"/>
    </row>
    <row r="17" spans="1:3" s="2" customFormat="1">
      <c r="A17" s="67">
        <v>12</v>
      </c>
      <c r="B17" s="35" t="s">
        <v>38</v>
      </c>
      <c r="C17" s="147"/>
    </row>
    <row r="18" spans="1:3" s="2" customFormat="1">
      <c r="A18" s="67">
        <v>13</v>
      </c>
      <c r="B18" s="35" t="s">
        <v>39</v>
      </c>
      <c r="C18" s="147"/>
    </row>
    <row r="19" spans="1:3" s="2" customFormat="1">
      <c r="A19" s="67">
        <v>14</v>
      </c>
      <c r="B19" s="35" t="s">
        <v>40</v>
      </c>
      <c r="C19" s="147"/>
    </row>
    <row r="20" spans="1:3" s="2" customFormat="1" ht="27.6">
      <c r="A20" s="67">
        <v>15</v>
      </c>
      <c r="B20" s="35" t="s">
        <v>41</v>
      </c>
      <c r="C20" s="147"/>
    </row>
    <row r="21" spans="1:3" s="2" customFormat="1" ht="27.6">
      <c r="A21" s="67">
        <v>16</v>
      </c>
      <c r="B21" s="34" t="s">
        <v>42</v>
      </c>
      <c r="C21" s="147"/>
    </row>
    <row r="22" spans="1:3" s="2" customFormat="1">
      <c r="A22" s="67">
        <v>17</v>
      </c>
      <c r="B22" s="68" t="s">
        <v>43</v>
      </c>
      <c r="C22" s="147"/>
    </row>
    <row r="23" spans="1:3" s="2" customFormat="1">
      <c r="A23" s="67">
        <v>18</v>
      </c>
      <c r="B23" s="581" t="s">
        <v>694</v>
      </c>
      <c r="C23" s="338"/>
    </row>
    <row r="24" spans="1:3" s="2" customFormat="1" ht="27.6">
      <c r="A24" s="67">
        <v>19</v>
      </c>
      <c r="B24" s="34" t="s">
        <v>44</v>
      </c>
      <c r="C24" s="147"/>
    </row>
    <row r="25" spans="1:3" s="2" customFormat="1" ht="27.6">
      <c r="A25" s="67">
        <v>20</v>
      </c>
      <c r="B25" s="34" t="s">
        <v>45</v>
      </c>
      <c r="C25" s="147"/>
    </row>
    <row r="26" spans="1:3" s="2" customFormat="1" ht="27.6">
      <c r="A26" s="67">
        <v>21</v>
      </c>
      <c r="B26" s="36" t="s">
        <v>46</v>
      </c>
      <c r="C26" s="147"/>
    </row>
    <row r="27" spans="1:3" s="2" customFormat="1">
      <c r="A27" s="67">
        <v>22</v>
      </c>
      <c r="B27" s="36" t="s">
        <v>47</v>
      </c>
      <c r="C27" s="147"/>
    </row>
    <row r="28" spans="1:3" s="2" customFormat="1" ht="27.6">
      <c r="A28" s="67">
        <v>23</v>
      </c>
      <c r="B28" s="36" t="s">
        <v>48</v>
      </c>
      <c r="C28" s="147"/>
    </row>
    <row r="29" spans="1:3" s="2" customFormat="1">
      <c r="A29" s="67">
        <v>24</v>
      </c>
      <c r="B29" s="42" t="s">
        <v>22</v>
      </c>
      <c r="C29" s="146">
        <f>C6-C12</f>
        <v>432248676.96000004</v>
      </c>
    </row>
    <row r="30" spans="1:3" s="2" customFormat="1">
      <c r="A30" s="69"/>
      <c r="B30" s="37"/>
      <c r="C30" s="147"/>
    </row>
    <row r="31" spans="1:3" s="2" customFormat="1">
      <c r="A31" s="69">
        <v>25</v>
      </c>
      <c r="B31" s="42" t="s">
        <v>49</v>
      </c>
      <c r="C31" s="146">
        <f>C32+C35</f>
        <v>26951000</v>
      </c>
    </row>
    <row r="32" spans="1:3" s="2" customFormat="1">
      <c r="A32" s="69">
        <v>26</v>
      </c>
      <c r="B32" s="33" t="s">
        <v>50</v>
      </c>
      <c r="C32" s="148">
        <f>C33+C34</f>
        <v>26951000</v>
      </c>
    </row>
    <row r="33" spans="1:3" s="2" customFormat="1">
      <c r="A33" s="69">
        <v>27</v>
      </c>
      <c r="B33" s="88" t="s">
        <v>51</v>
      </c>
      <c r="C33" s="147"/>
    </row>
    <row r="34" spans="1:3" s="2" customFormat="1">
      <c r="A34" s="69">
        <v>28</v>
      </c>
      <c r="B34" s="88" t="s">
        <v>52</v>
      </c>
      <c r="C34" s="147">
        <v>26951000</v>
      </c>
    </row>
    <row r="35" spans="1:3" s="2" customFormat="1">
      <c r="A35" s="69">
        <v>29</v>
      </c>
      <c r="B35" s="33" t="s">
        <v>53</v>
      </c>
      <c r="C35" s="147"/>
    </row>
    <row r="36" spans="1:3" s="2" customFormat="1">
      <c r="A36" s="69">
        <v>30</v>
      </c>
      <c r="B36" s="42" t="s">
        <v>54</v>
      </c>
      <c r="C36" s="146">
        <f>SUM(C37:C41)</f>
        <v>0</v>
      </c>
    </row>
    <row r="37" spans="1:3" s="2" customFormat="1">
      <c r="A37" s="69">
        <v>31</v>
      </c>
      <c r="B37" s="34" t="s">
        <v>55</v>
      </c>
      <c r="C37" s="147"/>
    </row>
    <row r="38" spans="1:3" s="2" customFormat="1">
      <c r="A38" s="69">
        <v>32</v>
      </c>
      <c r="B38" s="35" t="s">
        <v>56</v>
      </c>
      <c r="C38" s="147"/>
    </row>
    <row r="39" spans="1:3" s="2" customFormat="1" ht="27.6">
      <c r="A39" s="69">
        <v>33</v>
      </c>
      <c r="B39" s="34" t="s">
        <v>57</v>
      </c>
      <c r="C39" s="147"/>
    </row>
    <row r="40" spans="1:3" s="2" customFormat="1" ht="27.6">
      <c r="A40" s="69">
        <v>34</v>
      </c>
      <c r="B40" s="34" t="s">
        <v>45</v>
      </c>
      <c r="C40" s="147"/>
    </row>
    <row r="41" spans="1:3" s="2" customFormat="1" ht="27.6">
      <c r="A41" s="69">
        <v>35</v>
      </c>
      <c r="B41" s="36" t="s">
        <v>58</v>
      </c>
      <c r="C41" s="147"/>
    </row>
    <row r="42" spans="1:3" s="2" customFormat="1">
      <c r="A42" s="69">
        <v>36</v>
      </c>
      <c r="B42" s="42" t="s">
        <v>23</v>
      </c>
      <c r="C42" s="146">
        <f>C31-C36</f>
        <v>26951000</v>
      </c>
    </row>
    <row r="43" spans="1:3" s="2" customFormat="1">
      <c r="A43" s="69"/>
      <c r="B43" s="37"/>
      <c r="C43" s="147"/>
    </row>
    <row r="44" spans="1:3" s="2" customFormat="1">
      <c r="A44" s="69">
        <v>37</v>
      </c>
      <c r="B44" s="43" t="s">
        <v>59</v>
      </c>
      <c r="C44" s="146">
        <f>SUM(C45:C47)</f>
        <v>135772440.75999999</v>
      </c>
    </row>
    <row r="45" spans="1:3" s="2" customFormat="1">
      <c r="A45" s="69">
        <v>38</v>
      </c>
      <c r="B45" s="33" t="s">
        <v>60</v>
      </c>
      <c r="C45" s="147">
        <v>135772440.75999999</v>
      </c>
    </row>
    <row r="46" spans="1:3" s="2" customFormat="1">
      <c r="A46" s="69">
        <v>39</v>
      </c>
      <c r="B46" s="33" t="s">
        <v>61</v>
      </c>
      <c r="C46" s="147"/>
    </row>
    <row r="47" spans="1:3" s="2" customFormat="1">
      <c r="A47" s="69">
        <v>40</v>
      </c>
      <c r="B47" s="582" t="s">
        <v>693</v>
      </c>
      <c r="C47" s="147"/>
    </row>
    <row r="48" spans="1:3" s="2" customFormat="1">
      <c r="A48" s="69">
        <v>41</v>
      </c>
      <c r="B48" s="43" t="s">
        <v>62</v>
      </c>
      <c r="C48" s="146">
        <f>SUM(C49:C52)</f>
        <v>0</v>
      </c>
    </row>
    <row r="49" spans="1:3" s="2" customFormat="1">
      <c r="A49" s="69">
        <v>42</v>
      </c>
      <c r="B49" s="34" t="s">
        <v>63</v>
      </c>
      <c r="C49" s="147"/>
    </row>
    <row r="50" spans="1:3" s="2" customFormat="1">
      <c r="A50" s="69">
        <v>43</v>
      </c>
      <c r="B50" s="35" t="s">
        <v>64</v>
      </c>
      <c r="C50" s="147"/>
    </row>
    <row r="51" spans="1:3" s="2" customFormat="1" ht="27.6">
      <c r="A51" s="69">
        <v>44</v>
      </c>
      <c r="B51" s="34" t="s">
        <v>65</v>
      </c>
      <c r="C51" s="147"/>
    </row>
    <row r="52" spans="1:3" s="2" customFormat="1" ht="27.6">
      <c r="A52" s="69">
        <v>45</v>
      </c>
      <c r="B52" s="34" t="s">
        <v>45</v>
      </c>
      <c r="C52" s="147"/>
    </row>
    <row r="53" spans="1:3" s="2" customFormat="1" ht="15" thickBot="1">
      <c r="A53" s="69">
        <v>46</v>
      </c>
      <c r="B53" s="70" t="s">
        <v>24</v>
      </c>
      <c r="C53" s="149">
        <f>C44-C48</f>
        <v>135772440.75999999</v>
      </c>
    </row>
    <row r="56" spans="1:3">
      <c r="B56" s="1"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D23"/>
  <sheetViews>
    <sheetView zoomScale="80" zoomScaleNormal="80" workbookViewId="0">
      <selection activeCell="C15" sqref="C15:C17"/>
    </sheetView>
  </sheetViews>
  <sheetFormatPr defaultColWidth="9.21875" defaultRowHeight="13.8"/>
  <cols>
    <col min="1" max="1" width="10.77734375" style="1" bestFit="1" customWidth="1"/>
    <col min="2" max="2" width="59" style="1" customWidth="1"/>
    <col min="3" max="3" width="16.77734375" style="1" bestFit="1" customWidth="1"/>
    <col min="4" max="4" width="22.21875" style="1" customWidth="1"/>
    <col min="5" max="16384" width="9.21875" style="1"/>
  </cols>
  <sheetData>
    <row r="1" spans="1:4">
      <c r="A1" s="13" t="s">
        <v>97</v>
      </c>
      <c r="B1" s="12" t="str">
        <f>Info!C2</f>
        <v>სს "კრედო ბანკი"</v>
      </c>
    </row>
    <row r="2" spans="1:4" s="13" customFormat="1" ht="15.75" customHeight="1">
      <c r="A2" s="13" t="s">
        <v>98</v>
      </c>
      <c r="B2" s="276">
        <f>'1. key ratios'!B2</f>
        <v>46022</v>
      </c>
    </row>
    <row r="3" spans="1:4" s="13" customFormat="1" ht="15.75" customHeight="1"/>
    <row r="4" spans="1:4" ht="14.4" thickBot="1">
      <c r="A4" s="1" t="s">
        <v>345</v>
      </c>
      <c r="B4" s="222" t="s">
        <v>346</v>
      </c>
    </row>
    <row r="5" spans="1:4" s="29" customFormat="1">
      <c r="A5" s="800" t="s">
        <v>347</v>
      </c>
      <c r="B5" s="801"/>
      <c r="C5" s="212" t="s">
        <v>348</v>
      </c>
      <c r="D5" s="213" t="s">
        <v>349</v>
      </c>
    </row>
    <row r="6" spans="1:4" s="223" customFormat="1">
      <c r="A6" s="214">
        <v>1</v>
      </c>
      <c r="B6" s="215" t="s">
        <v>350</v>
      </c>
      <c r="C6" s="215"/>
      <c r="D6" s="216"/>
    </row>
    <row r="7" spans="1:4" s="223" customFormat="1">
      <c r="A7" s="217" t="s">
        <v>351</v>
      </c>
      <c r="B7" s="218" t="s">
        <v>352</v>
      </c>
      <c r="C7" s="241">
        <v>4.4999999999999998E-2</v>
      </c>
      <c r="D7" s="688">
        <f>C7*'5. RWA'!$C$13</f>
        <v>146579312.55684182</v>
      </c>
    </row>
    <row r="8" spans="1:4" s="223" customFormat="1">
      <c r="A8" s="217" t="s">
        <v>353</v>
      </c>
      <c r="B8" s="218" t="s">
        <v>354</v>
      </c>
      <c r="C8" s="242">
        <v>0.06</v>
      </c>
      <c r="D8" s="688">
        <f>C8*'5. RWA'!$C$13</f>
        <v>195439083.40912244</v>
      </c>
    </row>
    <row r="9" spans="1:4" s="223" customFormat="1">
      <c r="A9" s="217" t="s">
        <v>355</v>
      </c>
      <c r="B9" s="218" t="s">
        <v>356</v>
      </c>
      <c r="C9" s="242">
        <v>0.08</v>
      </c>
      <c r="D9" s="688">
        <f>C9*'5. RWA'!$C$13</f>
        <v>260585444.54549661</v>
      </c>
    </row>
    <row r="10" spans="1:4" s="223" customFormat="1">
      <c r="A10" s="214" t="s">
        <v>357</v>
      </c>
      <c r="B10" s="215" t="s">
        <v>358</v>
      </c>
      <c r="C10" s="243"/>
      <c r="D10" s="689"/>
    </row>
    <row r="11" spans="1:4" s="224" customFormat="1">
      <c r="A11" s="219" t="s">
        <v>359</v>
      </c>
      <c r="B11" s="220" t="s">
        <v>996</v>
      </c>
      <c r="C11" s="244">
        <v>2.5000000000000001E-2</v>
      </c>
      <c r="D11" s="690">
        <f>C11*'5. RWA'!$C$13</f>
        <v>81432951.42046769</v>
      </c>
    </row>
    <row r="12" spans="1:4" s="224" customFormat="1">
      <c r="A12" s="219" t="s">
        <v>360</v>
      </c>
      <c r="B12" s="220" t="s">
        <v>361</v>
      </c>
      <c r="C12" s="244">
        <v>5.0000000000000001E-3</v>
      </c>
      <c r="D12" s="690">
        <f>C12*'5. RWA'!$C$13</f>
        <v>16286590.284093538</v>
      </c>
    </row>
    <row r="13" spans="1:4" s="224" customFormat="1">
      <c r="A13" s="219" t="s">
        <v>362</v>
      </c>
      <c r="B13" s="220" t="s">
        <v>363</v>
      </c>
      <c r="C13" s="244"/>
      <c r="D13" s="690">
        <f>C13*'5. RWA'!$C$13</f>
        <v>0</v>
      </c>
    </row>
    <row r="14" spans="1:4" s="223" customFormat="1">
      <c r="A14" s="214" t="s">
        <v>364</v>
      </c>
      <c r="B14" s="215" t="s">
        <v>409</v>
      </c>
      <c r="C14" s="245"/>
      <c r="D14" s="689"/>
    </row>
    <row r="15" spans="1:4" s="223" customFormat="1">
      <c r="A15" s="234" t="s">
        <v>367</v>
      </c>
      <c r="B15" s="220" t="s">
        <v>410</v>
      </c>
      <c r="C15" s="244">
        <v>4.1560325284415681E-2</v>
      </c>
      <c r="D15" s="690">
        <f>C15*'5. RWA'!$C$13</f>
        <v>135375197.99618629</v>
      </c>
    </row>
    <row r="16" spans="1:4" s="223" customFormat="1">
      <c r="A16" s="234" t="s">
        <v>368</v>
      </c>
      <c r="B16" s="220" t="s">
        <v>370</v>
      </c>
      <c r="C16" s="244">
        <v>4.750177899113385E-2</v>
      </c>
      <c r="D16" s="690">
        <f>C16*'5. RWA'!$C$13</f>
        <v>154728402.43883181</v>
      </c>
    </row>
    <row r="17" spans="1:4" s="223" customFormat="1">
      <c r="A17" s="234" t="s">
        <v>369</v>
      </c>
      <c r="B17" s="220" t="s">
        <v>407</v>
      </c>
      <c r="C17" s="244">
        <v>5.5319481236815654E-2</v>
      </c>
      <c r="D17" s="690">
        <f>C17*'5. RWA'!$C$13</f>
        <v>180193145.12652332</v>
      </c>
    </row>
    <row r="18" spans="1:4" s="29" customFormat="1">
      <c r="A18" s="802" t="s">
        <v>408</v>
      </c>
      <c r="B18" s="803"/>
      <c r="C18" s="246" t="s">
        <v>348</v>
      </c>
      <c r="D18" s="691" t="s">
        <v>349</v>
      </c>
    </row>
    <row r="19" spans="1:4" s="223" customFormat="1">
      <c r="A19" s="221">
        <v>4</v>
      </c>
      <c r="B19" s="220" t="s">
        <v>22</v>
      </c>
      <c r="C19" s="244">
        <f>C7+C11+C12+C13+C15</f>
        <v>0.11656032528441569</v>
      </c>
      <c r="D19" s="688">
        <f>C19*'5. RWA'!$C$13</f>
        <v>379674052.2575894</v>
      </c>
    </row>
    <row r="20" spans="1:4" s="223" customFormat="1">
      <c r="A20" s="221">
        <v>5</v>
      </c>
      <c r="B20" s="220" t="s">
        <v>75</v>
      </c>
      <c r="C20" s="244">
        <f>C8+C11+C12+C13+C16</f>
        <v>0.13750177899113386</v>
      </c>
      <c r="D20" s="688">
        <f>C20*'5. RWA'!$C$13</f>
        <v>447887027.55251551</v>
      </c>
    </row>
    <row r="21" spans="1:4" s="223" customFormat="1" ht="14.4" thickBot="1">
      <c r="A21" s="225" t="s">
        <v>365</v>
      </c>
      <c r="B21" s="226" t="s">
        <v>74</v>
      </c>
      <c r="C21" s="247">
        <f>C9+C11+C12+C13+C17</f>
        <v>0.16531948123681567</v>
      </c>
      <c r="D21" s="692">
        <f>C21*'5. RWA'!$C$13</f>
        <v>538498131.37658119</v>
      </c>
    </row>
    <row r="23" spans="1:4">
      <c r="B23" s="17"/>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topLeftCell="A4" zoomScaleNormal="100" workbookViewId="0">
      <selection activeCell="B20" sqref="B20"/>
    </sheetView>
  </sheetViews>
  <sheetFormatPr defaultRowHeight="14.4"/>
  <cols>
    <col min="1" max="1" width="107.109375" bestFit="1" customWidth="1"/>
    <col min="2" max="2" width="50.88671875" bestFit="1" customWidth="1"/>
    <col min="3" max="3" width="28.109375" bestFit="1" customWidth="1"/>
    <col min="4" max="4" width="28.21875" customWidth="1"/>
    <col min="5" max="7" width="28.109375" customWidth="1"/>
  </cols>
  <sheetData>
    <row r="1" spans="1:2">
      <c r="A1" s="552" t="s">
        <v>97</v>
      </c>
      <c r="B1" s="12" t="str">
        <f>Info!C2</f>
        <v>სს "კრედო ბანკი"</v>
      </c>
    </row>
    <row r="2" spans="1:2">
      <c r="A2" s="552" t="s">
        <v>98</v>
      </c>
      <c r="B2" s="276">
        <f>'1. key ratios'!B2</f>
        <v>46022</v>
      </c>
    </row>
    <row r="3" spans="1:2">
      <c r="A3" s="553" t="s">
        <v>947</v>
      </c>
      <c r="B3" s="548" t="s">
        <v>918</v>
      </c>
    </row>
    <row r="4" spans="1:2" ht="15" thickBot="1"/>
    <row r="5" spans="1:2">
      <c r="A5" s="558"/>
      <c r="B5" s="559" t="s">
        <v>919</v>
      </c>
    </row>
    <row r="6" spans="1:2">
      <c r="A6" s="554" t="s">
        <v>920</v>
      </c>
      <c r="B6" s="560">
        <f>SUM(B7,B11)</f>
        <v>594972117.72000003</v>
      </c>
    </row>
    <row r="7" spans="1:2" ht="15.6">
      <c r="A7" s="554" t="s">
        <v>953</v>
      </c>
      <c r="B7" s="560">
        <f>SUM(B8:B10)</f>
        <v>594972117.72000003</v>
      </c>
    </row>
    <row r="8" spans="1:2">
      <c r="A8" s="555" t="s">
        <v>921</v>
      </c>
      <c r="B8" s="561">
        <f>'9. Capital'!C29</f>
        <v>432248676.96000004</v>
      </c>
    </row>
    <row r="9" spans="1:2">
      <c r="A9" s="555" t="s">
        <v>922</v>
      </c>
      <c r="B9" s="561">
        <f>'9. Capital'!C42</f>
        <v>26951000</v>
      </c>
    </row>
    <row r="10" spans="1:2">
      <c r="A10" s="555" t="s">
        <v>923</v>
      </c>
      <c r="B10" s="561">
        <f>'9. Capital'!C53</f>
        <v>135772440.75999999</v>
      </c>
    </row>
    <row r="11" spans="1:2">
      <c r="A11" s="554" t="s">
        <v>924</v>
      </c>
      <c r="B11" s="560">
        <f>SUM(B12:B13)</f>
        <v>0</v>
      </c>
    </row>
    <row r="12" spans="1:2" ht="15.6">
      <c r="A12" s="555" t="s">
        <v>954</v>
      </c>
      <c r="B12" s="561"/>
    </row>
    <row r="13" spans="1:2" ht="15.6">
      <c r="A13" s="555" t="s">
        <v>955</v>
      </c>
      <c r="B13" s="561"/>
    </row>
    <row r="14" spans="1:2">
      <c r="A14" s="554" t="s">
        <v>925</v>
      </c>
      <c r="B14" s="560">
        <f>SUM(B15:B16)</f>
        <v>594972117.72000003</v>
      </c>
    </row>
    <row r="15" spans="1:2">
      <c r="A15" s="556" t="s">
        <v>926</v>
      </c>
      <c r="B15" s="561"/>
    </row>
    <row r="16" spans="1:2">
      <c r="A16" s="556" t="s">
        <v>74</v>
      </c>
      <c r="B16" s="561">
        <f>B7</f>
        <v>594972117.72000003</v>
      </c>
    </row>
    <row r="17" spans="1:5">
      <c r="A17" s="554" t="s">
        <v>927</v>
      </c>
      <c r="B17" s="560"/>
    </row>
    <row r="18" spans="1:5">
      <c r="A18" s="556" t="s">
        <v>928</v>
      </c>
      <c r="B18" s="561">
        <f>'5. RWA'!C13</f>
        <v>3257318056.8187075</v>
      </c>
    </row>
    <row r="19" spans="1:5">
      <c r="A19" s="556" t="s">
        <v>929</v>
      </c>
      <c r="B19" s="561">
        <f>'15.1. LR'!C32</f>
        <v>3989385566.606276</v>
      </c>
    </row>
    <row r="20" spans="1:5">
      <c r="A20" s="554" t="s">
        <v>930</v>
      </c>
      <c r="B20" s="560"/>
    </row>
    <row r="21" spans="1:5">
      <c r="A21" s="557" t="s">
        <v>931</v>
      </c>
      <c r="B21" s="562">
        <f>IFERROR(B6/B18,0)</f>
        <v>0.18265705323878798</v>
      </c>
    </row>
    <row r="22" spans="1:5">
      <c r="A22" s="557" t="s">
        <v>932</v>
      </c>
      <c r="B22" s="562">
        <f>IFERROR(B6/B19,0)</f>
        <v>0.14913878535589528</v>
      </c>
    </row>
    <row r="23" spans="1:5" ht="15" thickBot="1">
      <c r="A23" s="563" t="s">
        <v>933</v>
      </c>
      <c r="B23" s="564">
        <f>IFERROR(B6/B14,0)</f>
        <v>1</v>
      </c>
    </row>
    <row r="24" spans="1:5" ht="16.5" customHeight="1">
      <c r="A24" s="551" t="s">
        <v>956</v>
      </c>
      <c r="B24" s="549"/>
      <c r="C24" s="549"/>
      <c r="D24" s="549"/>
      <c r="E24" s="549"/>
    </row>
    <row r="25" spans="1:5" ht="25.5" customHeight="1">
      <c r="A25" s="551" t="s">
        <v>957</v>
      </c>
    </row>
    <row r="26" spans="1:5" ht="57" customHeight="1">
      <c r="A26" s="551" t="s">
        <v>958</v>
      </c>
    </row>
    <row r="27" spans="1:5">
      <c r="A27" s="550"/>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Normal="100" workbookViewId="0">
      <selection activeCell="A9" sqref="A9"/>
    </sheetView>
  </sheetViews>
  <sheetFormatPr defaultRowHeight="14.4"/>
  <cols>
    <col min="1" max="1" width="82" customWidth="1"/>
    <col min="2" max="2" width="28.109375" bestFit="1" customWidth="1"/>
    <col min="3" max="3" width="28.21875" customWidth="1"/>
    <col min="4" max="6" width="28.109375" customWidth="1"/>
  </cols>
  <sheetData>
    <row r="1" spans="1:6">
      <c r="A1" s="552" t="s">
        <v>97</v>
      </c>
      <c r="B1" s="12" t="str">
        <f>Info!C2</f>
        <v>სს "კრედო ბანკი"</v>
      </c>
      <c r="C1" s="1"/>
    </row>
    <row r="2" spans="1:6">
      <c r="A2" s="552" t="s">
        <v>98</v>
      </c>
      <c r="B2" s="276">
        <f>'1. key ratios'!B2</f>
        <v>46022</v>
      </c>
      <c r="C2" s="1"/>
    </row>
    <row r="3" spans="1:6">
      <c r="A3" s="553" t="s">
        <v>948</v>
      </c>
      <c r="B3" s="548" t="s">
        <v>918</v>
      </c>
      <c r="C3" s="1"/>
    </row>
    <row r="5" spans="1:6">
      <c r="A5" s="550"/>
    </row>
    <row r="6" spans="1:6" ht="15" thickBot="1">
      <c r="A6" s="565"/>
      <c r="B6" s="565"/>
      <c r="C6" s="565"/>
      <c r="D6" s="565"/>
      <c r="E6" s="565"/>
      <c r="F6" s="565"/>
    </row>
    <row r="7" spans="1:6">
      <c r="A7" s="804"/>
      <c r="B7" s="806" t="s">
        <v>934</v>
      </c>
      <c r="C7" s="806"/>
      <c r="D7" s="806"/>
      <c r="E7" s="806"/>
      <c r="F7" s="807" t="s">
        <v>935</v>
      </c>
    </row>
    <row r="8" spans="1:6" ht="27.6">
      <c r="A8" s="805"/>
      <c r="B8" s="566" t="s">
        <v>936</v>
      </c>
      <c r="C8" s="566" t="s">
        <v>937</v>
      </c>
      <c r="D8" s="566" t="s">
        <v>938</v>
      </c>
      <c r="E8" s="566" t="s">
        <v>939</v>
      </c>
      <c r="F8" s="808"/>
    </row>
    <row r="9" spans="1:6">
      <c r="A9" s="567" t="s">
        <v>940</v>
      </c>
      <c r="B9" s="568">
        <f>B13+B17</f>
        <v>0</v>
      </c>
      <c r="C9" s="568">
        <f t="shared" ref="C9:E9" si="0">C13+C17</f>
        <v>0</v>
      </c>
      <c r="D9" s="568">
        <f t="shared" si="0"/>
        <v>0</v>
      </c>
      <c r="E9" s="568">
        <f t="shared" si="0"/>
        <v>0</v>
      </c>
      <c r="F9" s="569">
        <f>F13+F17</f>
        <v>0</v>
      </c>
    </row>
    <row r="10" spans="1:6">
      <c r="A10" s="570" t="s">
        <v>941</v>
      </c>
      <c r="B10" s="571">
        <f t="shared" ref="B10:E12" si="1">B14+B18</f>
        <v>0</v>
      </c>
      <c r="C10" s="571">
        <f t="shared" si="1"/>
        <v>0</v>
      </c>
      <c r="D10" s="571">
        <f t="shared" si="1"/>
        <v>0</v>
      </c>
      <c r="E10" s="571">
        <f t="shared" si="1"/>
        <v>0</v>
      </c>
      <c r="F10" s="569">
        <f>SUM(B10:E10)</f>
        <v>0</v>
      </c>
    </row>
    <row r="11" spans="1:6">
      <c r="A11" s="570" t="s">
        <v>942</v>
      </c>
      <c r="B11" s="571">
        <f t="shared" si="1"/>
        <v>0</v>
      </c>
      <c r="C11" s="571">
        <f t="shared" si="1"/>
        <v>0</v>
      </c>
      <c r="D11" s="571">
        <f t="shared" si="1"/>
        <v>0</v>
      </c>
      <c r="E11" s="571">
        <f t="shared" si="1"/>
        <v>0</v>
      </c>
      <c r="F11" s="569">
        <f t="shared" ref="F11:F12" si="2">SUM(B11:E11)</f>
        <v>0</v>
      </c>
    </row>
    <row r="12" spans="1:6">
      <c r="A12" s="572" t="s">
        <v>943</v>
      </c>
      <c r="B12" s="571">
        <f t="shared" si="1"/>
        <v>0</v>
      </c>
      <c r="C12" s="571">
        <f t="shared" si="1"/>
        <v>0</v>
      </c>
      <c r="D12" s="571">
        <f t="shared" si="1"/>
        <v>0</v>
      </c>
      <c r="E12" s="571">
        <f t="shared" si="1"/>
        <v>0</v>
      </c>
      <c r="F12" s="569">
        <f t="shared" si="2"/>
        <v>0</v>
      </c>
    </row>
    <row r="13" spans="1:6">
      <c r="A13" s="573" t="s">
        <v>944</v>
      </c>
      <c r="B13" s="574"/>
      <c r="C13" s="574"/>
      <c r="D13" s="574"/>
      <c r="E13" s="574"/>
      <c r="F13" s="575"/>
    </row>
    <row r="14" spans="1:6">
      <c r="A14" s="570" t="s">
        <v>941</v>
      </c>
      <c r="B14" s="576"/>
      <c r="C14" s="576"/>
      <c r="D14" s="576"/>
      <c r="E14" s="576"/>
      <c r="F14" s="577"/>
    </row>
    <row r="15" spans="1:6">
      <c r="A15" s="570" t="s">
        <v>942</v>
      </c>
      <c r="B15" s="576"/>
      <c r="C15" s="576"/>
      <c r="D15" s="576"/>
      <c r="E15" s="576"/>
      <c r="F15" s="577"/>
    </row>
    <row r="16" spans="1:6">
      <c r="A16" s="572" t="s">
        <v>943</v>
      </c>
      <c r="B16" s="576"/>
      <c r="C16" s="576"/>
      <c r="D16" s="576"/>
      <c r="E16" s="576"/>
      <c r="F16" s="577"/>
    </row>
    <row r="17" spans="1:6">
      <c r="A17" s="573" t="s">
        <v>924</v>
      </c>
      <c r="B17" s="574"/>
      <c r="C17" s="574"/>
      <c r="D17" s="574"/>
      <c r="E17" s="574"/>
      <c r="F17" s="577"/>
    </row>
    <row r="18" spans="1:6">
      <c r="A18" s="570" t="s">
        <v>941</v>
      </c>
      <c r="B18" s="576"/>
      <c r="C18" s="576"/>
      <c r="D18" s="576"/>
      <c r="E18" s="576"/>
      <c r="F18" s="577"/>
    </row>
    <row r="19" spans="1:6">
      <c r="A19" s="570" t="s">
        <v>942</v>
      </c>
      <c r="B19" s="576"/>
      <c r="C19" s="576"/>
      <c r="D19" s="576"/>
      <c r="E19" s="576"/>
      <c r="F19" s="577"/>
    </row>
    <row r="20" spans="1:6" ht="15" thickBot="1">
      <c r="A20" s="578" t="s">
        <v>943</v>
      </c>
      <c r="B20" s="579"/>
      <c r="C20" s="579"/>
      <c r="D20" s="579"/>
      <c r="E20" s="579"/>
      <c r="F20" s="580"/>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68"/>
  <sheetViews>
    <sheetView zoomScale="80" zoomScaleNormal="80" workbookViewId="0">
      <pane xSplit="1" ySplit="5" topLeftCell="B51" activePane="bottomRight" state="frozen"/>
      <selection pane="topRight" activeCell="B1" sqref="B1"/>
      <selection pane="bottomLeft" activeCell="A5" sqref="A5"/>
      <selection pane="bottomRight" activeCell="C6" sqref="C6:C68"/>
    </sheetView>
  </sheetViews>
  <sheetFormatPr defaultRowHeight="14.4"/>
  <cols>
    <col min="1" max="1" width="10.77734375" style="30" customWidth="1"/>
    <col min="2" max="2" width="91.77734375" style="30" customWidth="1"/>
    <col min="3" max="3" width="53.21875" style="30" customWidth="1"/>
    <col min="4" max="4" width="32.21875" style="30" customWidth="1"/>
    <col min="5" max="5" width="9.44140625" customWidth="1"/>
  </cols>
  <sheetData>
    <row r="1" spans="1:6">
      <c r="A1" s="13" t="s">
        <v>97</v>
      </c>
      <c r="B1" s="14" t="str">
        <f>Info!C2</f>
        <v>სს "კრედო ბანკი"</v>
      </c>
      <c r="E1" s="1"/>
      <c r="F1" s="1"/>
    </row>
    <row r="2" spans="1:6" s="13" customFormat="1" ht="15.75" customHeight="1">
      <c r="A2" s="13" t="s">
        <v>98</v>
      </c>
      <c r="B2" s="276">
        <f>'1. key ratios'!B2</f>
        <v>46022</v>
      </c>
    </row>
    <row r="3" spans="1:6" s="13" customFormat="1" ht="15.75" customHeight="1">
      <c r="A3" s="19"/>
    </row>
    <row r="4" spans="1:6" s="13" customFormat="1" ht="15.75" customHeight="1" thickBot="1">
      <c r="A4" s="13" t="s">
        <v>247</v>
      </c>
      <c r="B4" s="110" t="s">
        <v>161</v>
      </c>
      <c r="D4" s="112" t="s">
        <v>76</v>
      </c>
    </row>
    <row r="5" spans="1:6" ht="27.6">
      <c r="A5" s="76" t="s">
        <v>25</v>
      </c>
      <c r="B5" s="77" t="s">
        <v>133</v>
      </c>
      <c r="C5" s="78" t="s">
        <v>826</v>
      </c>
      <c r="D5" s="111" t="s">
        <v>162</v>
      </c>
    </row>
    <row r="6" spans="1:6">
      <c r="A6" s="382">
        <v>1</v>
      </c>
      <c r="B6" s="341" t="s">
        <v>811</v>
      </c>
      <c r="C6" s="415">
        <f>SUM(C7:C9)</f>
        <v>603778128.73146057</v>
      </c>
      <c r="D6" s="71"/>
      <c r="E6" s="4"/>
    </row>
    <row r="7" spans="1:6">
      <c r="A7" s="382">
        <v>1.1000000000000001</v>
      </c>
      <c r="B7" s="343" t="s">
        <v>85</v>
      </c>
      <c r="C7" s="408">
        <v>98471877.86999999</v>
      </c>
      <c r="D7" s="72"/>
      <c r="E7" s="4"/>
    </row>
    <row r="8" spans="1:6">
      <c r="A8" s="382">
        <v>1.2</v>
      </c>
      <c r="B8" s="343" t="s">
        <v>86</v>
      </c>
      <c r="C8" s="408">
        <v>323170857.97000003</v>
      </c>
      <c r="D8" s="72"/>
      <c r="E8" s="4"/>
    </row>
    <row r="9" spans="1:6">
      <c r="A9" s="382">
        <v>1.3</v>
      </c>
      <c r="B9" s="343" t="s">
        <v>87</v>
      </c>
      <c r="C9" s="408">
        <v>182135392.89146048</v>
      </c>
      <c r="D9" s="72"/>
      <c r="E9" s="4"/>
    </row>
    <row r="10" spans="1:6">
      <c r="A10" s="382">
        <v>2</v>
      </c>
      <c r="B10" s="344" t="s">
        <v>698</v>
      </c>
      <c r="C10" s="417">
        <v>584722.38</v>
      </c>
      <c r="D10" s="72"/>
      <c r="E10" s="4"/>
    </row>
    <row r="11" spans="1:6">
      <c r="A11" s="382">
        <v>2.1</v>
      </c>
      <c r="B11" s="345" t="s">
        <v>699</v>
      </c>
      <c r="C11" s="409">
        <v>584722.38</v>
      </c>
      <c r="D11" s="73"/>
      <c r="E11" s="5"/>
    </row>
    <row r="12" spans="1:6" ht="23.55" customHeight="1">
      <c r="A12" s="382">
        <v>3</v>
      </c>
      <c r="B12" s="346" t="s">
        <v>700</v>
      </c>
      <c r="C12" s="416"/>
      <c r="D12" s="73"/>
      <c r="E12" s="5"/>
    </row>
    <row r="13" spans="1:6" ht="22.95" customHeight="1">
      <c r="A13" s="382">
        <v>4</v>
      </c>
      <c r="B13" s="347" t="s">
        <v>701</v>
      </c>
      <c r="C13" s="416"/>
      <c r="D13" s="73"/>
      <c r="E13" s="5"/>
    </row>
    <row r="14" spans="1:6">
      <c r="A14" s="382">
        <v>5</v>
      </c>
      <c r="B14" s="347" t="s">
        <v>702</v>
      </c>
      <c r="C14" s="416">
        <f>SUM(C15:C17)</f>
        <v>0</v>
      </c>
      <c r="D14" s="73"/>
      <c r="E14" s="5"/>
    </row>
    <row r="15" spans="1:6">
      <c r="A15" s="382">
        <v>5.0999999999999996</v>
      </c>
      <c r="B15" s="348" t="s">
        <v>703</v>
      </c>
      <c r="C15" s="408"/>
      <c r="D15" s="73"/>
      <c r="E15" s="4"/>
    </row>
    <row r="16" spans="1:6">
      <c r="A16" s="382">
        <v>5.2</v>
      </c>
      <c r="B16" s="348" t="s">
        <v>538</v>
      </c>
      <c r="C16" s="408"/>
      <c r="D16" s="72"/>
      <c r="E16" s="4"/>
    </row>
    <row r="17" spans="1:5">
      <c r="A17" s="382">
        <v>5.3</v>
      </c>
      <c r="B17" s="348" t="s">
        <v>704</v>
      </c>
      <c r="C17" s="408"/>
      <c r="D17" s="72"/>
      <c r="E17" s="4"/>
    </row>
    <row r="18" spans="1:5">
      <c r="A18" s="382">
        <v>6</v>
      </c>
      <c r="B18" s="346" t="s">
        <v>705</v>
      </c>
      <c r="C18" s="417">
        <f>SUM(C19:C20)</f>
        <v>3138687350.6945214</v>
      </c>
      <c r="D18" s="72"/>
      <c r="E18" s="4"/>
    </row>
    <row r="19" spans="1:5">
      <c r="A19" s="382">
        <v>6.1</v>
      </c>
      <c r="B19" s="348" t="s">
        <v>538</v>
      </c>
      <c r="C19" s="409">
        <v>68067109.349999994</v>
      </c>
      <c r="D19" s="72"/>
      <c r="E19" s="4"/>
    </row>
    <row r="20" spans="1:5">
      <c r="A20" s="382">
        <v>6.2</v>
      </c>
      <c r="B20" s="348" t="s">
        <v>704</v>
      </c>
      <c r="C20" s="409">
        <v>3070620241.3445215</v>
      </c>
      <c r="D20" s="72"/>
      <c r="E20" s="4"/>
    </row>
    <row r="21" spans="1:5">
      <c r="A21" s="382">
        <v>7</v>
      </c>
      <c r="B21" s="349" t="s">
        <v>706</v>
      </c>
      <c r="C21" s="416">
        <v>3721085.11</v>
      </c>
      <c r="D21" s="72"/>
      <c r="E21" s="4"/>
    </row>
    <row r="22" spans="1:5">
      <c r="A22" s="382">
        <v>8</v>
      </c>
      <c r="B22" s="350" t="s">
        <v>707</v>
      </c>
      <c r="C22" s="417"/>
      <c r="D22" s="72"/>
      <c r="E22" s="4"/>
    </row>
    <row r="23" spans="1:5">
      <c r="A23" s="382">
        <v>9</v>
      </c>
      <c r="B23" s="347" t="s">
        <v>708</v>
      </c>
      <c r="C23" s="417">
        <f>SUM(C24:C25)</f>
        <v>55533762.390000008</v>
      </c>
      <c r="D23" s="407"/>
      <c r="E23" s="4"/>
    </row>
    <row r="24" spans="1:5">
      <c r="A24" s="382">
        <v>9.1</v>
      </c>
      <c r="B24" s="351" t="s">
        <v>709</v>
      </c>
      <c r="C24" s="410">
        <v>55533762.390000008</v>
      </c>
      <c r="D24" s="74"/>
      <c r="E24" s="4"/>
    </row>
    <row r="25" spans="1:5">
      <c r="A25" s="382">
        <v>9.1999999999999993</v>
      </c>
      <c r="B25" s="351" t="s">
        <v>710</v>
      </c>
      <c r="C25" s="411"/>
      <c r="D25" s="406"/>
      <c r="E25" s="3"/>
    </row>
    <row r="26" spans="1:5">
      <c r="A26" s="382">
        <v>10</v>
      </c>
      <c r="B26" s="347" t="s">
        <v>36</v>
      </c>
      <c r="C26" s="418">
        <f>SUM(C27:C28)</f>
        <v>40661044.859999985</v>
      </c>
      <c r="D26" s="545" t="s">
        <v>1031</v>
      </c>
      <c r="E26" s="4"/>
    </row>
    <row r="27" spans="1:5">
      <c r="A27" s="382">
        <v>10.1</v>
      </c>
      <c r="B27" s="351" t="s">
        <v>711</v>
      </c>
      <c r="C27" s="408"/>
      <c r="D27" s="72"/>
      <c r="E27" s="4"/>
    </row>
    <row r="28" spans="1:5">
      <c r="A28" s="382">
        <v>10.199999999999999</v>
      </c>
      <c r="B28" s="351" t="s">
        <v>712</v>
      </c>
      <c r="C28" s="408">
        <v>40661044.859999985</v>
      </c>
      <c r="D28" s="72"/>
      <c r="E28" s="4"/>
    </row>
    <row r="29" spans="1:5">
      <c r="A29" s="382">
        <v>11</v>
      </c>
      <c r="B29" s="347" t="s">
        <v>713</v>
      </c>
      <c r="C29" s="417">
        <f>SUM(C30:C31)</f>
        <v>0</v>
      </c>
      <c r="D29" s="72"/>
      <c r="E29" s="4"/>
    </row>
    <row r="30" spans="1:5">
      <c r="A30" s="382">
        <v>11.1</v>
      </c>
      <c r="B30" s="351" t="s">
        <v>714</v>
      </c>
      <c r="C30" s="408"/>
      <c r="D30" s="72"/>
      <c r="E30" s="4"/>
    </row>
    <row r="31" spans="1:5">
      <c r="A31" s="382">
        <v>11.2</v>
      </c>
      <c r="B31" s="351" t="s">
        <v>715</v>
      </c>
      <c r="C31" s="408"/>
      <c r="D31" s="72"/>
      <c r="E31" s="4"/>
    </row>
    <row r="32" spans="1:5">
      <c r="A32" s="382">
        <v>13</v>
      </c>
      <c r="B32" s="347" t="s">
        <v>88</v>
      </c>
      <c r="C32" s="417">
        <v>59668757.130000003</v>
      </c>
      <c r="D32" s="72"/>
      <c r="E32" s="4"/>
    </row>
    <row r="33" spans="1:5">
      <c r="A33" s="382">
        <v>13.1</v>
      </c>
      <c r="B33" s="352" t="s">
        <v>716</v>
      </c>
      <c r="C33" s="408">
        <v>32854683.049999997</v>
      </c>
      <c r="D33" s="72"/>
      <c r="E33" s="4"/>
    </row>
    <row r="34" spans="1:5">
      <c r="A34" s="382">
        <v>13.2</v>
      </c>
      <c r="B34" s="352" t="s">
        <v>717</v>
      </c>
      <c r="C34" s="410"/>
      <c r="D34" s="74"/>
      <c r="E34" s="4"/>
    </row>
    <row r="35" spans="1:5">
      <c r="A35" s="382">
        <v>14</v>
      </c>
      <c r="B35" s="353" t="s">
        <v>718</v>
      </c>
      <c r="C35" s="419">
        <f>SUM(C6,C10,C12,C13,C14,C18,C21,C22,C23,C26,C29,C32)</f>
        <v>3902634851.2959824</v>
      </c>
      <c r="D35" s="74"/>
      <c r="E35" s="4"/>
    </row>
    <row r="36" spans="1:5">
      <c r="A36" s="382"/>
      <c r="B36" s="354" t="s">
        <v>93</v>
      </c>
      <c r="C36" s="150"/>
      <c r="D36" s="75"/>
      <c r="E36" s="4"/>
    </row>
    <row r="37" spans="1:5">
      <c r="A37" s="382">
        <v>15</v>
      </c>
      <c r="B37" s="355" t="s">
        <v>719</v>
      </c>
      <c r="C37" s="411">
        <v>710699.44</v>
      </c>
      <c r="D37" s="406"/>
      <c r="E37" s="3"/>
    </row>
    <row r="38" spans="1:5">
      <c r="A38" s="382">
        <v>15.1</v>
      </c>
      <c r="B38" s="357" t="s">
        <v>699</v>
      </c>
      <c r="C38" s="408">
        <v>710699.44</v>
      </c>
      <c r="D38" s="72"/>
      <c r="E38" s="4"/>
    </row>
    <row r="39" spans="1:5" ht="20.399999999999999">
      <c r="A39" s="382">
        <v>16</v>
      </c>
      <c r="B39" s="349" t="s">
        <v>720</v>
      </c>
      <c r="C39" s="417"/>
      <c r="D39" s="72"/>
      <c r="E39" s="4"/>
    </row>
    <row r="40" spans="1:5">
      <c r="A40" s="382">
        <v>17</v>
      </c>
      <c r="B40" s="349" t="s">
        <v>721</v>
      </c>
      <c r="C40" s="417">
        <f>SUM(C41:C44)</f>
        <v>3135388679.1600003</v>
      </c>
      <c r="D40" s="72"/>
      <c r="E40" s="4"/>
    </row>
    <row r="41" spans="1:5">
      <c r="A41" s="382">
        <v>17.100000000000001</v>
      </c>
      <c r="B41" s="358" t="s">
        <v>722</v>
      </c>
      <c r="C41" s="408">
        <v>1763469397</v>
      </c>
      <c r="D41" s="72"/>
      <c r="E41" s="4"/>
    </row>
    <row r="42" spans="1:5">
      <c r="A42" s="398">
        <v>17.2</v>
      </c>
      <c r="B42" s="399" t="s">
        <v>89</v>
      </c>
      <c r="C42" s="410">
        <v>1346196562.3500001</v>
      </c>
      <c r="D42" s="74"/>
      <c r="E42" s="4"/>
    </row>
    <row r="43" spans="1:5">
      <c r="A43" s="382">
        <v>17.3</v>
      </c>
      <c r="B43" s="400" t="s">
        <v>723</v>
      </c>
      <c r="C43" s="412">
        <v>0</v>
      </c>
      <c r="D43" s="401"/>
      <c r="E43" s="4"/>
    </row>
    <row r="44" spans="1:5">
      <c r="A44" s="382">
        <v>17.399999999999999</v>
      </c>
      <c r="B44" s="400" t="s">
        <v>724</v>
      </c>
      <c r="C44" s="412">
        <v>25722719.810000002</v>
      </c>
      <c r="D44" s="401"/>
      <c r="E44" s="4"/>
    </row>
    <row r="45" spans="1:5">
      <c r="A45" s="382">
        <v>18</v>
      </c>
      <c r="B45" s="366" t="s">
        <v>725</v>
      </c>
      <c r="C45" s="420">
        <v>2085965.88</v>
      </c>
      <c r="D45" s="401"/>
      <c r="E45" s="3"/>
    </row>
    <row r="46" spans="1:5">
      <c r="A46" s="382">
        <v>19</v>
      </c>
      <c r="B46" s="366" t="s">
        <v>726</v>
      </c>
      <c r="C46" s="417">
        <f>SUM(C47:C48)</f>
        <v>9364477.3900000043</v>
      </c>
      <c r="D46" s="402"/>
    </row>
    <row r="47" spans="1:5">
      <c r="A47" s="382">
        <v>19.100000000000001</v>
      </c>
      <c r="B47" s="403" t="s">
        <v>727</v>
      </c>
      <c r="C47" s="412">
        <v>3000107.9400000051</v>
      </c>
      <c r="D47" s="402"/>
    </row>
    <row r="48" spans="1:5">
      <c r="A48" s="382">
        <v>19.2</v>
      </c>
      <c r="B48" s="403" t="s">
        <v>728</v>
      </c>
      <c r="C48" s="412">
        <v>6364369.4500000002</v>
      </c>
      <c r="D48" s="402"/>
    </row>
    <row r="49" spans="1:4">
      <c r="A49" s="382">
        <v>20</v>
      </c>
      <c r="B49" s="362" t="s">
        <v>90</v>
      </c>
      <c r="C49" s="417">
        <v>226589430.50999999</v>
      </c>
      <c r="D49" s="545" t="s">
        <v>1032</v>
      </c>
    </row>
    <row r="50" spans="1:4">
      <c r="A50" s="382">
        <v>21</v>
      </c>
      <c r="B50" s="363" t="s">
        <v>78</v>
      </c>
      <c r="C50" s="417">
        <v>55585877.159999982</v>
      </c>
      <c r="D50" s="402"/>
    </row>
    <row r="51" spans="1:4">
      <c r="A51" s="382">
        <v>21.1</v>
      </c>
      <c r="B51" s="359" t="s">
        <v>729</v>
      </c>
      <c r="C51" s="413"/>
      <c r="D51" s="402"/>
    </row>
    <row r="52" spans="1:4">
      <c r="A52" s="382">
        <v>22</v>
      </c>
      <c r="B52" s="362" t="s">
        <v>730</v>
      </c>
      <c r="C52" s="417">
        <f>SUM(C37,C39,C40,C45,C46,C49,C50)</f>
        <v>3429725129.54</v>
      </c>
      <c r="D52" s="402"/>
    </row>
    <row r="53" spans="1:4">
      <c r="A53" s="382"/>
      <c r="B53" s="364" t="s">
        <v>731</v>
      </c>
      <c r="C53" s="402"/>
      <c r="D53" s="402"/>
    </row>
    <row r="54" spans="1:4">
      <c r="A54" s="382">
        <v>23</v>
      </c>
      <c r="B54" s="362" t="s">
        <v>94</v>
      </c>
      <c r="C54" s="417">
        <v>5270620</v>
      </c>
      <c r="D54" s="545" t="s">
        <v>1033</v>
      </c>
    </row>
    <row r="55" spans="1:4">
      <c r="A55" s="382">
        <v>24</v>
      </c>
      <c r="B55" s="362" t="s">
        <v>732</v>
      </c>
      <c r="C55" s="421"/>
      <c r="D55" s="693"/>
    </row>
    <row r="56" spans="1:4">
      <c r="A56" s="382">
        <v>25</v>
      </c>
      <c r="B56" s="362" t="s">
        <v>91</v>
      </c>
      <c r="C56" s="417">
        <v>41797125.479999997</v>
      </c>
      <c r="D56" s="545" t="s">
        <v>1034</v>
      </c>
    </row>
    <row r="57" spans="1:4">
      <c r="A57" s="382">
        <v>26</v>
      </c>
      <c r="B57" s="366" t="s">
        <v>733</v>
      </c>
      <c r="C57" s="421"/>
      <c r="D57" s="402"/>
    </row>
    <row r="58" spans="1:4">
      <c r="A58" s="382">
        <v>27</v>
      </c>
      <c r="B58" s="366" t="s">
        <v>734</v>
      </c>
      <c r="C58" s="421">
        <f>SUM(C59:C60)</f>
        <v>0</v>
      </c>
      <c r="D58" s="402"/>
    </row>
    <row r="59" spans="1:4">
      <c r="A59" s="382">
        <v>27.1</v>
      </c>
      <c r="B59" s="403" t="s">
        <v>735</v>
      </c>
      <c r="C59" s="414"/>
      <c r="D59" s="402"/>
    </row>
    <row r="60" spans="1:4">
      <c r="A60" s="382">
        <v>27.2</v>
      </c>
      <c r="B60" s="400" t="s">
        <v>736</v>
      </c>
      <c r="C60" s="414"/>
      <c r="D60" s="402"/>
    </row>
    <row r="61" spans="1:4">
      <c r="A61" s="382">
        <v>28</v>
      </c>
      <c r="B61" s="363" t="s">
        <v>737</v>
      </c>
      <c r="C61" s="421"/>
      <c r="D61" s="402"/>
    </row>
    <row r="62" spans="1:4">
      <c r="A62" s="382">
        <v>29</v>
      </c>
      <c r="B62" s="366" t="s">
        <v>738</v>
      </c>
      <c r="C62" s="421">
        <f>SUM(C63:C65)</f>
        <v>0</v>
      </c>
      <c r="D62" s="402"/>
    </row>
    <row r="63" spans="1:4">
      <c r="A63" s="382">
        <v>29.1</v>
      </c>
      <c r="B63" s="404" t="s">
        <v>739</v>
      </c>
      <c r="C63" s="414"/>
      <c r="D63" s="402"/>
    </row>
    <row r="64" spans="1:4" ht="24" customHeight="1">
      <c r="A64" s="382">
        <v>29.2</v>
      </c>
      <c r="B64" s="403" t="s">
        <v>740</v>
      </c>
      <c r="C64" s="414"/>
      <c r="D64" s="402"/>
    </row>
    <row r="65" spans="1:4" ht="22.05" customHeight="1">
      <c r="A65" s="382">
        <v>29.3</v>
      </c>
      <c r="B65" s="405" t="s">
        <v>741</v>
      </c>
      <c r="C65" s="414"/>
      <c r="D65" s="402"/>
    </row>
    <row r="66" spans="1:4">
      <c r="A66" s="382">
        <v>30</v>
      </c>
      <c r="B66" s="366" t="s">
        <v>92</v>
      </c>
      <c r="C66" s="417">
        <v>425841976.40464997</v>
      </c>
      <c r="D66" s="545" t="s">
        <v>1035</v>
      </c>
    </row>
    <row r="67" spans="1:4">
      <c r="A67" s="382">
        <v>31</v>
      </c>
      <c r="B67" s="365" t="s">
        <v>742</v>
      </c>
      <c r="C67" s="417">
        <f>SUM(C54,C55,C56,C57,C58,C61,C62,C66)</f>
        <v>472909721.88464999</v>
      </c>
      <c r="D67" s="402"/>
    </row>
    <row r="68" spans="1:4">
      <c r="A68" s="382">
        <v>32</v>
      </c>
      <c r="B68" s="366" t="s">
        <v>743</v>
      </c>
      <c r="C68" s="417">
        <f>SUM(C52,C67)</f>
        <v>3902634851.4246502</v>
      </c>
      <c r="D68" s="402"/>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zoomScale="80" zoomScaleNormal="80" workbookViewId="0">
      <pane xSplit="2" ySplit="7" topLeftCell="E11" activePane="bottomRight" state="frozen"/>
      <selection pane="topRight" activeCell="C1" sqref="C1"/>
      <selection pane="bottomLeft" activeCell="A8" sqref="A8"/>
      <selection pane="bottomRight" activeCell="C8" sqref="C8:R21"/>
    </sheetView>
  </sheetViews>
  <sheetFormatPr defaultColWidth="9.21875" defaultRowHeight="13.8"/>
  <cols>
    <col min="1" max="1" width="5.109375" style="1" customWidth="1"/>
    <col min="2" max="2" width="46.109375" style="1" customWidth="1"/>
    <col min="3" max="3" width="11.33203125" style="1" bestFit="1" customWidth="1"/>
    <col min="4" max="4" width="13.21875" style="1" bestFit="1" customWidth="1"/>
    <col min="5" max="5" width="14" style="1" customWidth="1"/>
    <col min="6" max="6" width="10.6640625" style="1" customWidth="1"/>
    <col min="7" max="7" width="13.6640625" style="1" customWidth="1"/>
    <col min="8" max="8" width="13.21875" style="1" bestFit="1" customWidth="1"/>
    <col min="9" max="9" width="15.44140625" style="1" customWidth="1"/>
    <col min="10" max="10" width="8.88671875" style="1" customWidth="1"/>
    <col min="11" max="11" width="12.6640625" style="1" customWidth="1"/>
    <col min="12" max="12" width="11.21875" style="1" customWidth="1"/>
    <col min="13" max="13" width="14.5546875" style="1" customWidth="1"/>
    <col min="14" max="14" width="11" style="1" customWidth="1"/>
    <col min="15" max="15" width="13.44140625" style="1" customWidth="1"/>
    <col min="16" max="16" width="13.21875" style="1" bestFit="1" customWidth="1"/>
    <col min="17" max="17" width="9.44140625" style="1" bestFit="1" customWidth="1"/>
    <col min="18" max="18" width="13.21875" style="1" bestFit="1" customWidth="1"/>
    <col min="19" max="19" width="17" style="1" customWidth="1"/>
    <col min="20" max="16384" width="9.21875" style="8"/>
  </cols>
  <sheetData>
    <row r="1" spans="1:19">
      <c r="A1" s="1" t="s">
        <v>97</v>
      </c>
      <c r="B1" s="1" t="str">
        <f>Info!C2</f>
        <v>სს "კრედო ბანკი"</v>
      </c>
    </row>
    <row r="2" spans="1:19">
      <c r="A2" s="1" t="s">
        <v>98</v>
      </c>
      <c r="B2" s="276">
        <f>'1. key ratios'!B2</f>
        <v>46022</v>
      </c>
    </row>
    <row r="3" spans="1:19" ht="4.2" customHeight="1"/>
    <row r="4" spans="1:19" ht="15.6" customHeight="1" thickBot="1">
      <c r="A4" s="29" t="s">
        <v>248</v>
      </c>
      <c r="B4" s="166" t="s">
        <v>282</v>
      </c>
    </row>
    <row r="5" spans="1:19">
      <c r="A5" s="61"/>
      <c r="B5" s="63"/>
      <c r="C5" s="55" t="s">
        <v>0</v>
      </c>
      <c r="D5" s="55" t="s">
        <v>1</v>
      </c>
      <c r="E5" s="55" t="s">
        <v>2</v>
      </c>
      <c r="F5" s="55" t="s">
        <v>3</v>
      </c>
      <c r="G5" s="55" t="s">
        <v>4</v>
      </c>
      <c r="H5" s="55" t="s">
        <v>5</v>
      </c>
      <c r="I5" s="55" t="s">
        <v>134</v>
      </c>
      <c r="J5" s="55" t="s">
        <v>135</v>
      </c>
      <c r="K5" s="55" t="s">
        <v>136</v>
      </c>
      <c r="L5" s="55" t="s">
        <v>137</v>
      </c>
      <c r="M5" s="55" t="s">
        <v>138</v>
      </c>
      <c r="N5" s="55" t="s">
        <v>139</v>
      </c>
      <c r="O5" s="55" t="s">
        <v>269</v>
      </c>
      <c r="P5" s="55" t="s">
        <v>270</v>
      </c>
      <c r="Q5" s="55" t="s">
        <v>271</v>
      </c>
      <c r="R5" s="159" t="s">
        <v>272</v>
      </c>
      <c r="S5" s="56" t="s">
        <v>273</v>
      </c>
    </row>
    <row r="6" spans="1:19" ht="25.2" customHeight="1">
      <c r="A6" s="79"/>
      <c r="B6" s="813" t="s">
        <v>274</v>
      </c>
      <c r="C6" s="811">
        <v>0</v>
      </c>
      <c r="D6" s="812"/>
      <c r="E6" s="811">
        <v>0.2</v>
      </c>
      <c r="F6" s="812"/>
      <c r="G6" s="811">
        <v>0.35</v>
      </c>
      <c r="H6" s="812"/>
      <c r="I6" s="811">
        <v>0.5</v>
      </c>
      <c r="J6" s="812"/>
      <c r="K6" s="811">
        <v>0.75</v>
      </c>
      <c r="L6" s="812"/>
      <c r="M6" s="811">
        <v>1</v>
      </c>
      <c r="N6" s="812"/>
      <c r="O6" s="811">
        <v>1.5</v>
      </c>
      <c r="P6" s="812"/>
      <c r="Q6" s="811">
        <v>2.5</v>
      </c>
      <c r="R6" s="812"/>
      <c r="S6" s="809" t="s">
        <v>145</v>
      </c>
    </row>
    <row r="7" spans="1:19" ht="10.8" customHeight="1">
      <c r="A7" s="79"/>
      <c r="B7" s="814"/>
      <c r="C7" s="165" t="s">
        <v>267</v>
      </c>
      <c r="D7" s="165" t="s">
        <v>268</v>
      </c>
      <c r="E7" s="165" t="s">
        <v>267</v>
      </c>
      <c r="F7" s="165" t="s">
        <v>268</v>
      </c>
      <c r="G7" s="165" t="s">
        <v>267</v>
      </c>
      <c r="H7" s="165" t="s">
        <v>268</v>
      </c>
      <c r="I7" s="165" t="s">
        <v>267</v>
      </c>
      <c r="J7" s="165" t="s">
        <v>268</v>
      </c>
      <c r="K7" s="165" t="s">
        <v>267</v>
      </c>
      <c r="L7" s="165" t="s">
        <v>268</v>
      </c>
      <c r="M7" s="165" t="s">
        <v>267</v>
      </c>
      <c r="N7" s="165" t="s">
        <v>268</v>
      </c>
      <c r="O7" s="165" t="s">
        <v>267</v>
      </c>
      <c r="P7" s="165" t="s">
        <v>268</v>
      </c>
      <c r="Q7" s="165" t="s">
        <v>267</v>
      </c>
      <c r="R7" s="165" t="s">
        <v>268</v>
      </c>
      <c r="S7" s="810"/>
    </row>
    <row r="8" spans="1:19" ht="24" customHeight="1">
      <c r="A8" s="59">
        <v>1</v>
      </c>
      <c r="B8" s="34" t="s">
        <v>123</v>
      </c>
      <c r="C8" s="151">
        <v>325696730.68000001</v>
      </c>
      <c r="D8" s="151"/>
      <c r="E8" s="151"/>
      <c r="F8" s="160"/>
      <c r="G8" s="151"/>
      <c r="H8" s="151"/>
      <c r="I8" s="151"/>
      <c r="J8" s="151"/>
      <c r="K8" s="151"/>
      <c r="L8" s="151"/>
      <c r="M8" s="151">
        <v>65541236.639320135</v>
      </c>
      <c r="N8" s="151"/>
      <c r="O8" s="151"/>
      <c r="P8" s="151"/>
      <c r="Q8" s="151"/>
      <c r="R8" s="160"/>
      <c r="S8" s="169">
        <f>$C$6*SUM(C8:D8)+$E$6*SUM(E8:F8)+$G$6*SUM(G8:H8)+$I$6*SUM(I8:J8)+$K$6*SUM(K8:L8)+$M$6*SUM(M8:N8)+$O$6*SUM(O8:P8)+$Q$6*SUM(Q8:R8)</f>
        <v>65541236.639320135</v>
      </c>
    </row>
    <row r="9" spans="1:19" ht="41.4">
      <c r="A9" s="59">
        <v>2</v>
      </c>
      <c r="B9" s="34" t="s">
        <v>124</v>
      </c>
      <c r="C9" s="694"/>
      <c r="D9" s="151"/>
      <c r="E9" s="151"/>
      <c r="F9" s="151"/>
      <c r="G9" s="151"/>
      <c r="H9" s="151"/>
      <c r="I9" s="151"/>
      <c r="J9" s="151"/>
      <c r="K9" s="151"/>
      <c r="L9" s="151"/>
      <c r="M9" s="151"/>
      <c r="N9" s="151"/>
      <c r="O9" s="151"/>
      <c r="P9" s="151"/>
      <c r="Q9" s="151"/>
      <c r="R9" s="160"/>
      <c r="S9" s="169">
        <f t="shared" ref="S9:S21" si="0">$C$6*SUM(C9:D9)+$E$6*SUM(E9:F9)+$G$6*SUM(G9:H9)+$I$6*SUM(I9:J9)+$K$6*SUM(K9:L9)+$M$6*SUM(M9:N9)+$O$6*SUM(O9:P9)+$Q$6*SUM(Q9:R9)</f>
        <v>0</v>
      </c>
    </row>
    <row r="10" spans="1:19" ht="27.6">
      <c r="A10" s="59">
        <v>3</v>
      </c>
      <c r="B10" s="34" t="s">
        <v>125</v>
      </c>
      <c r="C10" s="694"/>
      <c r="D10" s="151"/>
      <c r="E10" s="151"/>
      <c r="F10" s="151"/>
      <c r="G10" s="151"/>
      <c r="H10" s="151"/>
      <c r="I10" s="151"/>
      <c r="J10" s="151"/>
      <c r="K10" s="151"/>
      <c r="L10" s="151"/>
      <c r="M10" s="151"/>
      <c r="N10" s="151"/>
      <c r="O10" s="151"/>
      <c r="P10" s="151"/>
      <c r="Q10" s="151"/>
      <c r="R10" s="160"/>
      <c r="S10" s="169">
        <f t="shared" si="0"/>
        <v>0</v>
      </c>
    </row>
    <row r="11" spans="1:19" ht="27.6">
      <c r="A11" s="59">
        <v>4</v>
      </c>
      <c r="B11" s="34" t="s">
        <v>126</v>
      </c>
      <c r="C11" s="151"/>
      <c r="D11" s="151"/>
      <c r="E11" s="151"/>
      <c r="F11" s="151"/>
      <c r="G11" s="151"/>
      <c r="H11" s="151"/>
      <c r="I11" s="151"/>
      <c r="J11" s="151"/>
      <c r="K11" s="151"/>
      <c r="L11" s="151"/>
      <c r="M11" s="151"/>
      <c r="N11" s="151"/>
      <c r="O11" s="151"/>
      <c r="P11" s="151"/>
      <c r="Q11" s="151"/>
      <c r="R11" s="160"/>
      <c r="S11" s="169">
        <f t="shared" si="0"/>
        <v>0</v>
      </c>
    </row>
    <row r="12" spans="1:19" ht="41.4">
      <c r="A12" s="59">
        <v>5</v>
      </c>
      <c r="B12" s="34" t="s">
        <v>911</v>
      </c>
      <c r="C12" s="151"/>
      <c r="D12" s="151"/>
      <c r="E12" s="151"/>
      <c r="F12" s="151"/>
      <c r="G12" s="151"/>
      <c r="H12" s="151"/>
      <c r="I12" s="151"/>
      <c r="J12" s="151"/>
      <c r="K12" s="151"/>
      <c r="L12" s="151"/>
      <c r="M12" s="151"/>
      <c r="N12" s="151"/>
      <c r="O12" s="151"/>
      <c r="P12" s="151"/>
      <c r="Q12" s="151"/>
      <c r="R12" s="160"/>
      <c r="S12" s="169">
        <f t="shared" si="0"/>
        <v>0</v>
      </c>
    </row>
    <row r="13" spans="1:19" ht="27.6">
      <c r="A13" s="59">
        <v>6</v>
      </c>
      <c r="B13" s="34" t="s">
        <v>127</v>
      </c>
      <c r="C13" s="151"/>
      <c r="D13" s="151"/>
      <c r="E13" s="151">
        <v>165885510.92740816</v>
      </c>
      <c r="F13" s="151"/>
      <c r="G13" s="151"/>
      <c r="H13" s="151"/>
      <c r="I13" s="151">
        <v>16089045.052825209</v>
      </c>
      <c r="J13" s="151"/>
      <c r="K13" s="151"/>
      <c r="L13" s="151"/>
      <c r="M13" s="151">
        <v>147698.38887928304</v>
      </c>
      <c r="N13" s="151"/>
      <c r="O13" s="151">
        <v>13138.447973098262</v>
      </c>
      <c r="P13" s="151"/>
      <c r="Q13" s="151"/>
      <c r="R13" s="160"/>
      <c r="S13" s="169">
        <f t="shared" si="0"/>
        <v>41389030.772733167</v>
      </c>
    </row>
    <row r="14" spans="1:19" ht="27.6">
      <c r="A14" s="59">
        <v>7</v>
      </c>
      <c r="B14" s="34" t="s">
        <v>71</v>
      </c>
      <c r="C14" s="151"/>
      <c r="D14" s="151"/>
      <c r="E14" s="151"/>
      <c r="F14" s="151"/>
      <c r="G14" s="151"/>
      <c r="H14" s="151"/>
      <c r="I14" s="151"/>
      <c r="J14" s="151"/>
      <c r="K14" s="151"/>
      <c r="L14" s="151"/>
      <c r="M14" s="151">
        <v>121068638.14861317</v>
      </c>
      <c r="N14" s="151">
        <v>10368928</v>
      </c>
      <c r="O14" s="151"/>
      <c r="P14" s="151"/>
      <c r="Q14" s="151"/>
      <c r="R14" s="160"/>
      <c r="S14" s="169">
        <f t="shared" si="0"/>
        <v>131437566.14861317</v>
      </c>
    </row>
    <row r="15" spans="1:19" ht="26.4" customHeight="1">
      <c r="A15" s="59">
        <v>8</v>
      </c>
      <c r="B15" s="34" t="s">
        <v>72</v>
      </c>
      <c r="C15" s="151"/>
      <c r="D15" s="151"/>
      <c r="E15" s="151"/>
      <c r="F15" s="151"/>
      <c r="G15" s="151"/>
      <c r="H15" s="151"/>
      <c r="I15" s="151"/>
      <c r="J15" s="151"/>
      <c r="K15" s="151">
        <v>2794269651.6635656</v>
      </c>
      <c r="L15" s="151">
        <v>111779092.30000001</v>
      </c>
      <c r="M15" s="151"/>
      <c r="N15" s="151"/>
      <c r="O15" s="151"/>
      <c r="P15" s="151"/>
      <c r="Q15" s="151"/>
      <c r="R15" s="160"/>
      <c r="S15" s="169">
        <f t="shared" si="0"/>
        <v>2179536557.9726744</v>
      </c>
    </row>
    <row r="16" spans="1:19" ht="41.4">
      <c r="A16" s="59">
        <v>9</v>
      </c>
      <c r="B16" s="34" t="s">
        <v>912</v>
      </c>
      <c r="C16" s="151"/>
      <c r="D16" s="151"/>
      <c r="E16" s="151"/>
      <c r="F16" s="151"/>
      <c r="G16" s="151">
        <v>149527169.68047649</v>
      </c>
      <c r="H16" s="151"/>
      <c r="I16" s="151"/>
      <c r="J16" s="151"/>
      <c r="K16" s="151"/>
      <c r="L16" s="151"/>
      <c r="M16" s="151"/>
      <c r="N16" s="151"/>
      <c r="O16" s="151"/>
      <c r="P16" s="151"/>
      <c r="Q16" s="151"/>
      <c r="R16" s="160"/>
      <c r="S16" s="169">
        <f t="shared" si="0"/>
        <v>52334509.38816677</v>
      </c>
    </row>
    <row r="17" spans="1:19" ht="28.8" customHeight="1">
      <c r="A17" s="59">
        <v>10</v>
      </c>
      <c r="B17" s="34" t="s">
        <v>67</v>
      </c>
      <c r="C17" s="151"/>
      <c r="D17" s="151"/>
      <c r="E17" s="151"/>
      <c r="F17" s="151"/>
      <c r="G17" s="151"/>
      <c r="H17" s="151"/>
      <c r="I17" s="151">
        <v>45978.798323991359</v>
      </c>
      <c r="J17" s="151"/>
      <c r="K17" s="151"/>
      <c r="L17" s="151"/>
      <c r="M17" s="151">
        <v>5708803.0534439534</v>
      </c>
      <c r="N17" s="151"/>
      <c r="O17" s="151"/>
      <c r="P17" s="151"/>
      <c r="Q17" s="151"/>
      <c r="R17" s="160"/>
      <c r="S17" s="169">
        <f t="shared" si="0"/>
        <v>5731792.4526059488</v>
      </c>
    </row>
    <row r="18" spans="1:19" ht="27.6">
      <c r="A18" s="59">
        <v>11</v>
      </c>
      <c r="B18" s="34" t="s">
        <v>68</v>
      </c>
      <c r="C18" s="151"/>
      <c r="D18" s="151"/>
      <c r="E18" s="151"/>
      <c r="F18" s="151"/>
      <c r="G18" s="151"/>
      <c r="H18" s="151"/>
      <c r="I18" s="151"/>
      <c r="J18" s="151"/>
      <c r="K18" s="151"/>
      <c r="L18" s="151"/>
      <c r="M18" s="151"/>
      <c r="N18" s="151"/>
      <c r="O18" s="151"/>
      <c r="P18" s="151"/>
      <c r="Q18" s="151"/>
      <c r="R18" s="160"/>
      <c r="S18" s="169">
        <f t="shared" si="0"/>
        <v>0</v>
      </c>
    </row>
    <row r="19" spans="1:19" ht="27.6">
      <c r="A19" s="59">
        <v>12</v>
      </c>
      <c r="B19" s="34" t="s">
        <v>69</v>
      </c>
      <c r="C19" s="151"/>
      <c r="D19" s="151"/>
      <c r="E19" s="151"/>
      <c r="F19" s="151"/>
      <c r="G19" s="151"/>
      <c r="H19" s="151"/>
      <c r="I19" s="151"/>
      <c r="J19" s="151"/>
      <c r="K19" s="151"/>
      <c r="L19" s="151"/>
      <c r="M19" s="151"/>
      <c r="N19" s="151"/>
      <c r="O19" s="151"/>
      <c r="P19" s="151"/>
      <c r="Q19" s="151"/>
      <c r="R19" s="160"/>
      <c r="S19" s="169">
        <f t="shared" si="0"/>
        <v>0</v>
      </c>
    </row>
    <row r="20" spans="1:19">
      <c r="A20" s="59">
        <v>13</v>
      </c>
      <c r="B20" s="34" t="s">
        <v>70</v>
      </c>
      <c r="C20" s="151"/>
      <c r="D20" s="151"/>
      <c r="E20" s="151"/>
      <c r="F20" s="151"/>
      <c r="G20" s="151"/>
      <c r="H20" s="151"/>
      <c r="I20" s="151"/>
      <c r="J20" s="151"/>
      <c r="K20" s="151"/>
      <c r="L20" s="151"/>
      <c r="M20" s="151"/>
      <c r="N20" s="151"/>
      <c r="O20" s="151"/>
      <c r="P20" s="151"/>
      <c r="Q20" s="151"/>
      <c r="R20" s="160"/>
      <c r="S20" s="169">
        <f t="shared" si="0"/>
        <v>0</v>
      </c>
    </row>
    <row r="21" spans="1:19">
      <c r="A21" s="59">
        <v>14</v>
      </c>
      <c r="B21" s="34" t="s">
        <v>143</v>
      </c>
      <c r="C21" s="151">
        <v>98471877.870000005</v>
      </c>
      <c r="D21" s="151"/>
      <c r="E21" s="151"/>
      <c r="F21" s="151"/>
      <c r="G21" s="151"/>
      <c r="H21" s="151"/>
      <c r="I21" s="151"/>
      <c r="J21" s="151"/>
      <c r="K21" s="151"/>
      <c r="L21" s="151"/>
      <c r="M21" s="151">
        <v>115787241.90000001</v>
      </c>
      <c r="N21" s="151"/>
      <c r="O21" s="151"/>
      <c r="P21" s="151"/>
      <c r="Q21" s="151">
        <v>3721085.11</v>
      </c>
      <c r="R21" s="160"/>
      <c r="S21" s="169">
        <f t="shared" si="0"/>
        <v>125089954.67500001</v>
      </c>
    </row>
    <row r="22" spans="1:19" ht="14.4" thickBot="1">
      <c r="A22" s="53"/>
      <c r="B22" s="83" t="s">
        <v>66</v>
      </c>
      <c r="C22" s="152">
        <f>SUM(C8:C21)</f>
        <v>424168608.55000001</v>
      </c>
      <c r="D22" s="152">
        <f t="shared" ref="D22:S22" si="1">SUM(D8:D21)</f>
        <v>0</v>
      </c>
      <c r="E22" s="152">
        <f t="shared" si="1"/>
        <v>165885510.92740816</v>
      </c>
      <c r="F22" s="152">
        <f t="shared" si="1"/>
        <v>0</v>
      </c>
      <c r="G22" s="152">
        <f t="shared" si="1"/>
        <v>149527169.68047649</v>
      </c>
      <c r="H22" s="152">
        <f t="shared" si="1"/>
        <v>0</v>
      </c>
      <c r="I22" s="152">
        <f t="shared" si="1"/>
        <v>16135023.8511492</v>
      </c>
      <c r="J22" s="152">
        <f t="shared" si="1"/>
        <v>0</v>
      </c>
      <c r="K22" s="152">
        <f t="shared" si="1"/>
        <v>2794269651.6635656</v>
      </c>
      <c r="L22" s="152">
        <f t="shared" si="1"/>
        <v>111779092.30000001</v>
      </c>
      <c r="M22" s="152">
        <f t="shared" si="1"/>
        <v>308253618.13025653</v>
      </c>
      <c r="N22" s="152">
        <f t="shared" si="1"/>
        <v>10368928</v>
      </c>
      <c r="O22" s="152">
        <f t="shared" si="1"/>
        <v>13138.447973098262</v>
      </c>
      <c r="P22" s="152">
        <f t="shared" si="1"/>
        <v>0</v>
      </c>
      <c r="Q22" s="152">
        <f t="shared" si="1"/>
        <v>3721085.11</v>
      </c>
      <c r="R22" s="152">
        <f t="shared" si="1"/>
        <v>0</v>
      </c>
      <c r="S22" s="695">
        <f t="shared" si="1"/>
        <v>2601060648.0491138</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zoomScale="80" zoomScaleNormal="80" workbookViewId="0">
      <pane xSplit="2" ySplit="6" topLeftCell="C9" activePane="bottomRight" state="frozen"/>
      <selection pane="topRight" activeCell="C1" sqref="C1"/>
      <selection pane="bottomLeft" activeCell="A6" sqref="A6"/>
      <selection pane="bottomRight" activeCell="D7" sqref="D7:D20"/>
    </sheetView>
  </sheetViews>
  <sheetFormatPr defaultColWidth="9.21875" defaultRowHeight="13.8"/>
  <cols>
    <col min="1" max="1" width="10.5546875" style="1" bestFit="1" customWidth="1"/>
    <col min="2" max="2" width="97" style="1" bestFit="1" customWidth="1"/>
    <col min="3" max="3" width="19" style="1" customWidth="1"/>
    <col min="4" max="4" width="19.5546875" style="1" customWidth="1"/>
    <col min="5" max="5" width="31.21875" style="1" customWidth="1"/>
    <col min="6" max="6" width="29.21875" style="1" customWidth="1"/>
    <col min="7" max="7" width="28.5546875" style="1" customWidth="1"/>
    <col min="8" max="8" width="26.44140625" style="1" customWidth="1"/>
    <col min="9" max="9" width="23.77734375" style="1" customWidth="1"/>
    <col min="10" max="10" width="21.5546875" style="1" customWidth="1"/>
    <col min="11" max="11" width="15.77734375" style="1" customWidth="1"/>
    <col min="12" max="12" width="13.21875" style="1" customWidth="1"/>
    <col min="13" max="13" width="20.77734375" style="1" customWidth="1"/>
    <col min="14" max="14" width="19.21875" style="1" customWidth="1"/>
    <col min="15" max="15" width="18.44140625" style="1" customWidth="1"/>
    <col min="16" max="16" width="19" style="1" customWidth="1"/>
    <col min="17" max="17" width="20.21875" style="1" customWidth="1"/>
    <col min="18" max="18" width="18" style="1" customWidth="1"/>
    <col min="19" max="19" width="36" style="1" customWidth="1"/>
    <col min="20" max="20" width="19.44140625" style="1" customWidth="1"/>
    <col min="21" max="21" width="19.21875" style="1" customWidth="1"/>
    <col min="22" max="22" width="20" style="1" customWidth="1"/>
    <col min="23" max="16384" width="9.21875" style="8"/>
  </cols>
  <sheetData>
    <row r="1" spans="1:22">
      <c r="A1" s="1" t="s">
        <v>97</v>
      </c>
      <c r="B1" s="1" t="str">
        <f>Info!C2</f>
        <v>სს "კრედო ბანკი"</v>
      </c>
    </row>
    <row r="2" spans="1:22">
      <c r="A2" s="1" t="s">
        <v>98</v>
      </c>
      <c r="B2" s="276">
        <f>'1. key ratios'!B2</f>
        <v>46022</v>
      </c>
    </row>
    <row r="4" spans="1:22" ht="28.2" thickBot="1">
      <c r="A4" s="1" t="s">
        <v>249</v>
      </c>
      <c r="B4" s="166" t="s">
        <v>283</v>
      </c>
      <c r="V4" s="112" t="s">
        <v>76</v>
      </c>
    </row>
    <row r="5" spans="1:22">
      <c r="A5" s="51"/>
      <c r="B5" s="52"/>
      <c r="C5" s="815" t="s">
        <v>105</v>
      </c>
      <c r="D5" s="816"/>
      <c r="E5" s="816"/>
      <c r="F5" s="816"/>
      <c r="G5" s="816"/>
      <c r="H5" s="816"/>
      <c r="I5" s="816"/>
      <c r="J5" s="816"/>
      <c r="K5" s="816"/>
      <c r="L5" s="817"/>
      <c r="M5" s="815" t="s">
        <v>106</v>
      </c>
      <c r="N5" s="816"/>
      <c r="O5" s="816"/>
      <c r="P5" s="816"/>
      <c r="Q5" s="816"/>
      <c r="R5" s="816"/>
      <c r="S5" s="817"/>
      <c r="T5" s="820" t="s">
        <v>281</v>
      </c>
      <c r="U5" s="820" t="s">
        <v>280</v>
      </c>
      <c r="V5" s="818" t="s">
        <v>107</v>
      </c>
    </row>
    <row r="6" spans="1:22" s="29" customFormat="1" ht="138">
      <c r="A6" s="57"/>
      <c r="B6" s="89"/>
      <c r="C6" s="49" t="s">
        <v>108</v>
      </c>
      <c r="D6" s="48" t="s">
        <v>109</v>
      </c>
      <c r="E6" s="46" t="s">
        <v>110</v>
      </c>
      <c r="F6" s="46" t="s">
        <v>275</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821"/>
      <c r="U6" s="821"/>
      <c r="V6" s="819"/>
    </row>
    <row r="7" spans="1:22">
      <c r="A7" s="82">
        <v>1</v>
      </c>
      <c r="B7" s="87" t="s">
        <v>123</v>
      </c>
      <c r="C7" s="153"/>
      <c r="D7" s="151"/>
      <c r="E7" s="151"/>
      <c r="F7" s="151"/>
      <c r="G7" s="151"/>
      <c r="H7" s="151"/>
      <c r="I7" s="151"/>
      <c r="J7" s="151"/>
      <c r="K7" s="151"/>
      <c r="L7" s="154"/>
      <c r="M7" s="153"/>
      <c r="N7" s="151"/>
      <c r="O7" s="151"/>
      <c r="P7" s="151"/>
      <c r="Q7" s="151"/>
      <c r="R7" s="151"/>
      <c r="S7" s="154"/>
      <c r="T7" s="163"/>
      <c r="U7" s="162"/>
      <c r="V7" s="155">
        <f>SUM(C7:S7)</f>
        <v>0</v>
      </c>
    </row>
    <row r="8" spans="1:22">
      <c r="A8" s="82">
        <v>2</v>
      </c>
      <c r="B8" s="87" t="s">
        <v>124</v>
      </c>
      <c r="C8" s="153"/>
      <c r="D8" s="151"/>
      <c r="E8" s="151"/>
      <c r="F8" s="151"/>
      <c r="G8" s="151"/>
      <c r="H8" s="151"/>
      <c r="I8" s="151"/>
      <c r="J8" s="151"/>
      <c r="K8" s="151"/>
      <c r="L8" s="154"/>
      <c r="M8" s="153"/>
      <c r="N8" s="151"/>
      <c r="O8" s="151"/>
      <c r="P8" s="151"/>
      <c r="Q8" s="151"/>
      <c r="R8" s="151"/>
      <c r="S8" s="154"/>
      <c r="T8" s="162"/>
      <c r="U8" s="162"/>
      <c r="V8" s="155">
        <f t="shared" ref="V8:V20" si="0">SUM(C8:S8)</f>
        <v>0</v>
      </c>
    </row>
    <row r="9" spans="1:22">
      <c r="A9" s="82">
        <v>3</v>
      </c>
      <c r="B9" s="87" t="s">
        <v>125</v>
      </c>
      <c r="C9" s="153"/>
      <c r="D9" s="151"/>
      <c r="E9" s="151"/>
      <c r="F9" s="151"/>
      <c r="G9" s="151"/>
      <c r="H9" s="151"/>
      <c r="I9" s="151"/>
      <c r="J9" s="151"/>
      <c r="K9" s="151"/>
      <c r="L9" s="154"/>
      <c r="M9" s="153"/>
      <c r="N9" s="151"/>
      <c r="O9" s="151"/>
      <c r="P9" s="151"/>
      <c r="Q9" s="151"/>
      <c r="R9" s="151"/>
      <c r="S9" s="154"/>
      <c r="T9" s="162"/>
      <c r="U9" s="162"/>
      <c r="V9" s="155">
        <f>SUM(C9:S9)</f>
        <v>0</v>
      </c>
    </row>
    <row r="10" spans="1:22">
      <c r="A10" s="82">
        <v>4</v>
      </c>
      <c r="B10" s="87" t="s">
        <v>126</v>
      </c>
      <c r="C10" s="153"/>
      <c r="D10" s="151"/>
      <c r="E10" s="151"/>
      <c r="F10" s="151"/>
      <c r="G10" s="151"/>
      <c r="H10" s="151"/>
      <c r="I10" s="151"/>
      <c r="J10" s="151"/>
      <c r="K10" s="151"/>
      <c r="L10" s="154"/>
      <c r="M10" s="153"/>
      <c r="N10" s="151"/>
      <c r="O10" s="151"/>
      <c r="P10" s="151"/>
      <c r="Q10" s="151"/>
      <c r="R10" s="151"/>
      <c r="S10" s="154"/>
      <c r="T10" s="162"/>
      <c r="U10" s="162"/>
      <c r="V10" s="155">
        <f t="shared" si="0"/>
        <v>0</v>
      </c>
    </row>
    <row r="11" spans="1:22">
      <c r="A11" s="82">
        <v>5</v>
      </c>
      <c r="B11" s="87" t="s">
        <v>911</v>
      </c>
      <c r="C11" s="153"/>
      <c r="D11" s="151"/>
      <c r="E11" s="151"/>
      <c r="F11" s="151"/>
      <c r="G11" s="151"/>
      <c r="H11" s="151"/>
      <c r="I11" s="151"/>
      <c r="J11" s="151"/>
      <c r="K11" s="151"/>
      <c r="L11" s="154"/>
      <c r="M11" s="153"/>
      <c r="N11" s="151"/>
      <c r="O11" s="151"/>
      <c r="P11" s="151"/>
      <c r="Q11" s="151"/>
      <c r="R11" s="151"/>
      <c r="S11" s="154"/>
      <c r="T11" s="162"/>
      <c r="U11" s="162"/>
      <c r="V11" s="155">
        <f t="shared" si="0"/>
        <v>0</v>
      </c>
    </row>
    <row r="12" spans="1:22">
      <c r="A12" s="82">
        <v>6</v>
      </c>
      <c r="B12" s="87" t="s">
        <v>127</v>
      </c>
      <c r="C12" s="153"/>
      <c r="D12" s="151"/>
      <c r="E12" s="151"/>
      <c r="F12" s="151"/>
      <c r="G12" s="151"/>
      <c r="H12" s="151"/>
      <c r="I12" s="151"/>
      <c r="J12" s="151"/>
      <c r="K12" s="151"/>
      <c r="L12" s="154"/>
      <c r="M12" s="153"/>
      <c r="N12" s="151"/>
      <c r="O12" s="151"/>
      <c r="P12" s="151"/>
      <c r="Q12" s="151"/>
      <c r="R12" s="151"/>
      <c r="S12" s="154"/>
      <c r="T12" s="162"/>
      <c r="U12" s="162"/>
      <c r="V12" s="155">
        <f t="shared" si="0"/>
        <v>0</v>
      </c>
    </row>
    <row r="13" spans="1:22">
      <c r="A13" s="82">
        <v>7</v>
      </c>
      <c r="B13" s="87" t="s">
        <v>71</v>
      </c>
      <c r="C13" s="153"/>
      <c r="D13" s="151"/>
      <c r="E13" s="151"/>
      <c r="F13" s="151"/>
      <c r="G13" s="151"/>
      <c r="H13" s="151"/>
      <c r="I13" s="151"/>
      <c r="J13" s="151"/>
      <c r="K13" s="151"/>
      <c r="L13" s="154"/>
      <c r="M13" s="153"/>
      <c r="N13" s="151"/>
      <c r="O13" s="151"/>
      <c r="P13" s="151"/>
      <c r="Q13" s="151"/>
      <c r="R13" s="151"/>
      <c r="S13" s="154"/>
      <c r="T13" s="162"/>
      <c r="U13" s="162"/>
      <c r="V13" s="155">
        <f t="shared" si="0"/>
        <v>0</v>
      </c>
    </row>
    <row r="14" spans="1:22">
      <c r="A14" s="82">
        <v>8</v>
      </c>
      <c r="B14" s="87" t="s">
        <v>72</v>
      </c>
      <c r="C14" s="153"/>
      <c r="D14" s="151">
        <v>5273137.0129999965</v>
      </c>
      <c r="E14" s="151"/>
      <c r="F14" s="151"/>
      <c r="G14" s="151"/>
      <c r="H14" s="151"/>
      <c r="I14" s="151"/>
      <c r="J14" s="151"/>
      <c r="K14" s="151"/>
      <c r="L14" s="154"/>
      <c r="M14" s="153"/>
      <c r="N14" s="151"/>
      <c r="O14" s="151"/>
      <c r="P14" s="151"/>
      <c r="Q14" s="151"/>
      <c r="R14" s="151"/>
      <c r="S14" s="154"/>
      <c r="T14" s="162"/>
      <c r="U14" s="162"/>
      <c r="V14" s="155">
        <f t="shared" si="0"/>
        <v>5273137.0129999965</v>
      </c>
    </row>
    <row r="15" spans="1:22">
      <c r="A15" s="82">
        <v>9</v>
      </c>
      <c r="B15" s="87" t="s">
        <v>912</v>
      </c>
      <c r="C15" s="153"/>
      <c r="D15" s="151"/>
      <c r="E15" s="151"/>
      <c r="F15" s="151"/>
      <c r="G15" s="151"/>
      <c r="H15" s="151"/>
      <c r="I15" s="151"/>
      <c r="J15" s="151"/>
      <c r="K15" s="151"/>
      <c r="L15" s="154"/>
      <c r="M15" s="153"/>
      <c r="N15" s="151"/>
      <c r="O15" s="151"/>
      <c r="P15" s="151"/>
      <c r="Q15" s="151"/>
      <c r="R15" s="151"/>
      <c r="S15" s="154"/>
      <c r="T15" s="162"/>
      <c r="U15" s="162"/>
      <c r="V15" s="155">
        <f t="shared" si="0"/>
        <v>0</v>
      </c>
    </row>
    <row r="16" spans="1:22">
      <c r="A16" s="82">
        <v>10</v>
      </c>
      <c r="B16" s="87" t="s">
        <v>67</v>
      </c>
      <c r="C16" s="153"/>
      <c r="D16" s="151">
        <v>186.33</v>
      </c>
      <c r="E16" s="151"/>
      <c r="F16" s="151"/>
      <c r="G16" s="151"/>
      <c r="H16" s="151"/>
      <c r="I16" s="151"/>
      <c r="J16" s="151"/>
      <c r="K16" s="151"/>
      <c r="L16" s="154"/>
      <c r="M16" s="153"/>
      <c r="N16" s="151"/>
      <c r="O16" s="151"/>
      <c r="P16" s="151"/>
      <c r="Q16" s="151"/>
      <c r="R16" s="151"/>
      <c r="S16" s="154"/>
      <c r="T16" s="162"/>
      <c r="U16" s="162"/>
      <c r="V16" s="155">
        <f t="shared" si="0"/>
        <v>186.33</v>
      </c>
    </row>
    <row r="17" spans="1:22">
      <c r="A17" s="82">
        <v>11</v>
      </c>
      <c r="B17" s="87" t="s">
        <v>68</v>
      </c>
      <c r="C17" s="153"/>
      <c r="D17" s="151"/>
      <c r="E17" s="151"/>
      <c r="F17" s="151"/>
      <c r="G17" s="151"/>
      <c r="H17" s="151"/>
      <c r="I17" s="151"/>
      <c r="J17" s="151"/>
      <c r="K17" s="151"/>
      <c r="L17" s="154"/>
      <c r="M17" s="153"/>
      <c r="N17" s="151"/>
      <c r="O17" s="151"/>
      <c r="P17" s="151"/>
      <c r="Q17" s="151"/>
      <c r="R17" s="151"/>
      <c r="S17" s="154"/>
      <c r="T17" s="162"/>
      <c r="U17" s="162"/>
      <c r="V17" s="155">
        <f t="shared" si="0"/>
        <v>0</v>
      </c>
    </row>
    <row r="18" spans="1:22">
      <c r="A18" s="82">
        <v>12</v>
      </c>
      <c r="B18" s="87" t="s">
        <v>69</v>
      </c>
      <c r="C18" s="153"/>
      <c r="D18" s="151"/>
      <c r="E18" s="151"/>
      <c r="F18" s="151"/>
      <c r="G18" s="151"/>
      <c r="H18" s="151"/>
      <c r="I18" s="151"/>
      <c r="J18" s="151"/>
      <c r="K18" s="151"/>
      <c r="L18" s="154"/>
      <c r="M18" s="153"/>
      <c r="N18" s="151"/>
      <c r="O18" s="151"/>
      <c r="P18" s="151"/>
      <c r="Q18" s="151"/>
      <c r="R18" s="151"/>
      <c r="S18" s="154"/>
      <c r="T18" s="162"/>
      <c r="U18" s="162"/>
      <c r="V18" s="155">
        <f t="shared" si="0"/>
        <v>0</v>
      </c>
    </row>
    <row r="19" spans="1:22">
      <c r="A19" s="82">
        <v>13</v>
      </c>
      <c r="B19" s="87" t="s">
        <v>70</v>
      </c>
      <c r="C19" s="153"/>
      <c r="D19" s="151"/>
      <c r="E19" s="151"/>
      <c r="F19" s="151"/>
      <c r="G19" s="151"/>
      <c r="H19" s="151"/>
      <c r="I19" s="151"/>
      <c r="J19" s="151"/>
      <c r="K19" s="151"/>
      <c r="L19" s="154"/>
      <c r="M19" s="153"/>
      <c r="N19" s="151"/>
      <c r="O19" s="151"/>
      <c r="P19" s="151"/>
      <c r="Q19" s="151"/>
      <c r="R19" s="151"/>
      <c r="S19" s="154"/>
      <c r="T19" s="162"/>
      <c r="U19" s="162"/>
      <c r="V19" s="155">
        <f t="shared" si="0"/>
        <v>0</v>
      </c>
    </row>
    <row r="20" spans="1:22">
      <c r="A20" s="82">
        <v>14</v>
      </c>
      <c r="B20" s="87" t="s">
        <v>143</v>
      </c>
      <c r="C20" s="153"/>
      <c r="D20" s="151"/>
      <c r="E20" s="151"/>
      <c r="F20" s="151"/>
      <c r="G20" s="151"/>
      <c r="H20" s="151"/>
      <c r="I20" s="151"/>
      <c r="J20" s="151"/>
      <c r="K20" s="151"/>
      <c r="L20" s="154"/>
      <c r="M20" s="153"/>
      <c r="N20" s="151"/>
      <c r="O20" s="151"/>
      <c r="P20" s="151"/>
      <c r="Q20" s="151"/>
      <c r="R20" s="151"/>
      <c r="S20" s="154"/>
      <c r="T20" s="162"/>
      <c r="U20" s="162"/>
      <c r="V20" s="155">
        <f t="shared" si="0"/>
        <v>0</v>
      </c>
    </row>
    <row r="21" spans="1:22" ht="14.4" thickBot="1">
      <c r="A21" s="53"/>
      <c r="B21" s="54" t="s">
        <v>66</v>
      </c>
      <c r="C21" s="156">
        <f>SUM(C7:C20)</f>
        <v>0</v>
      </c>
      <c r="D21" s="152">
        <f t="shared" ref="D21:V21" si="1">SUM(D7:D20)</f>
        <v>5273323.3429999966</v>
      </c>
      <c r="E21" s="152">
        <f t="shared" si="1"/>
        <v>0</v>
      </c>
      <c r="F21" s="152">
        <f t="shared" si="1"/>
        <v>0</v>
      </c>
      <c r="G21" s="152">
        <f t="shared" si="1"/>
        <v>0</v>
      </c>
      <c r="H21" s="152">
        <f t="shared" si="1"/>
        <v>0</v>
      </c>
      <c r="I21" s="152">
        <f t="shared" si="1"/>
        <v>0</v>
      </c>
      <c r="J21" s="152">
        <f t="shared" si="1"/>
        <v>0</v>
      </c>
      <c r="K21" s="152">
        <f t="shared" si="1"/>
        <v>0</v>
      </c>
      <c r="L21" s="157">
        <f t="shared" si="1"/>
        <v>0</v>
      </c>
      <c r="M21" s="156">
        <f t="shared" si="1"/>
        <v>0</v>
      </c>
      <c r="N21" s="152">
        <f t="shared" si="1"/>
        <v>0</v>
      </c>
      <c r="O21" s="152">
        <f t="shared" si="1"/>
        <v>0</v>
      </c>
      <c r="P21" s="152">
        <f t="shared" si="1"/>
        <v>0</v>
      </c>
      <c r="Q21" s="152">
        <f t="shared" si="1"/>
        <v>0</v>
      </c>
      <c r="R21" s="152">
        <f t="shared" si="1"/>
        <v>0</v>
      </c>
      <c r="S21" s="157">
        <f t="shared" si="1"/>
        <v>0</v>
      </c>
      <c r="T21" s="157">
        <f>SUM(T7:T20)</f>
        <v>0</v>
      </c>
      <c r="U21" s="157">
        <f t="shared" si="1"/>
        <v>0</v>
      </c>
      <c r="V21" s="158">
        <f t="shared" si="1"/>
        <v>5273323.3429999966</v>
      </c>
    </row>
    <row r="24" spans="1:22">
      <c r="C24" s="32"/>
      <c r="D24" s="32"/>
      <c r="E24" s="32"/>
    </row>
    <row r="25" spans="1:22">
      <c r="A25" s="28"/>
      <c r="B25" s="28"/>
      <c r="D25" s="32"/>
      <c r="E25" s="32"/>
    </row>
    <row r="26" spans="1:22">
      <c r="A26" s="28"/>
      <c r="B26" s="47"/>
      <c r="D26" s="32"/>
      <c r="E26" s="32"/>
    </row>
    <row r="27" spans="1:22">
      <c r="A27" s="28"/>
      <c r="B27" s="28"/>
      <c r="D27" s="32"/>
      <c r="E27" s="32"/>
    </row>
    <row r="28" spans="1:22">
      <c r="A28" s="28"/>
      <c r="B28" s="47"/>
      <c r="D28" s="32"/>
      <c r="E28" s="3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C8" sqref="C8:G21"/>
    </sheetView>
  </sheetViews>
  <sheetFormatPr defaultColWidth="9.21875" defaultRowHeight="13.8"/>
  <cols>
    <col min="1" max="1" width="10.5546875" style="1" bestFit="1" customWidth="1"/>
    <col min="2" max="2" width="101.77734375" style="1" customWidth="1"/>
    <col min="3" max="3" width="13.77734375" style="1" customWidth="1"/>
    <col min="4" max="4" width="14.77734375" style="1" bestFit="1" customWidth="1"/>
    <col min="5" max="5" width="17.77734375" style="1" customWidth="1"/>
    <col min="6" max="6" width="15.77734375" style="1" customWidth="1"/>
    <col min="7" max="7" width="17.44140625" style="1" customWidth="1"/>
    <col min="8" max="8" width="15.21875" style="1" customWidth="1"/>
    <col min="9" max="16384" width="9.21875" style="8"/>
  </cols>
  <sheetData>
    <row r="1" spans="1:9">
      <c r="A1" s="1" t="s">
        <v>97</v>
      </c>
      <c r="B1" s="1" t="str">
        <f>Info!C2</f>
        <v>სს "კრედო ბანკი"</v>
      </c>
    </row>
    <row r="2" spans="1:9">
      <c r="A2" s="1" t="s">
        <v>98</v>
      </c>
      <c r="B2" s="276">
        <f>'1. key ratios'!B2</f>
        <v>46022</v>
      </c>
    </row>
    <row r="4" spans="1:9" ht="14.4" thickBot="1">
      <c r="A4" s="1" t="s">
        <v>250</v>
      </c>
      <c r="B4" s="22" t="s">
        <v>284</v>
      </c>
    </row>
    <row r="5" spans="1:9">
      <c r="A5" s="51"/>
      <c r="B5" s="80"/>
      <c r="C5" s="84" t="s">
        <v>0</v>
      </c>
      <c r="D5" s="84" t="s">
        <v>1</v>
      </c>
      <c r="E5" s="84" t="s">
        <v>2</v>
      </c>
      <c r="F5" s="84" t="s">
        <v>3</v>
      </c>
      <c r="G5" s="161" t="s">
        <v>4</v>
      </c>
      <c r="H5" s="85" t="s">
        <v>5</v>
      </c>
      <c r="I5" s="18"/>
    </row>
    <row r="6" spans="1:9" ht="15" customHeight="1">
      <c r="A6" s="79"/>
      <c r="B6" s="16"/>
      <c r="C6" s="813" t="s">
        <v>276</v>
      </c>
      <c r="D6" s="824" t="s">
        <v>297</v>
      </c>
      <c r="E6" s="825"/>
      <c r="F6" s="813" t="s">
        <v>303</v>
      </c>
      <c r="G6" s="813" t="s">
        <v>304</v>
      </c>
      <c r="H6" s="822" t="s">
        <v>278</v>
      </c>
      <c r="I6" s="18"/>
    </row>
    <row r="7" spans="1:9" ht="69">
      <c r="A7" s="79"/>
      <c r="B7" s="16"/>
      <c r="C7" s="814"/>
      <c r="D7" s="164" t="s">
        <v>279</v>
      </c>
      <c r="E7" s="164" t="s">
        <v>277</v>
      </c>
      <c r="F7" s="814"/>
      <c r="G7" s="814"/>
      <c r="H7" s="823"/>
      <c r="I7" s="18"/>
    </row>
    <row r="8" spans="1:9">
      <c r="A8" s="44">
        <v>1</v>
      </c>
      <c r="B8" s="87" t="s">
        <v>123</v>
      </c>
      <c r="C8" s="151">
        <v>391237967.31932014</v>
      </c>
      <c r="D8" s="151"/>
      <c r="E8" s="151"/>
      <c r="F8" s="151">
        <v>65541236.639320135</v>
      </c>
      <c r="G8" s="160">
        <v>65541236.639320135</v>
      </c>
      <c r="H8" s="167">
        <f>G8/(C8+E8)</f>
        <v>0.16752268980537557</v>
      </c>
    </row>
    <row r="9" spans="1:9" ht="15" customHeight="1">
      <c r="A9" s="44">
        <v>2</v>
      </c>
      <c r="B9" s="87" t="s">
        <v>124</v>
      </c>
      <c r="C9" s="151"/>
      <c r="D9" s="151"/>
      <c r="E9" s="151"/>
      <c r="F9" s="151"/>
      <c r="G9" s="160"/>
      <c r="H9" s="167"/>
    </row>
    <row r="10" spans="1:9">
      <c r="A10" s="44">
        <v>3</v>
      </c>
      <c r="B10" s="87" t="s">
        <v>125</v>
      </c>
      <c r="C10" s="151"/>
      <c r="D10" s="151"/>
      <c r="E10" s="151"/>
      <c r="F10" s="151"/>
      <c r="G10" s="160"/>
      <c r="H10" s="167"/>
    </row>
    <row r="11" spans="1:9">
      <c r="A11" s="44">
        <v>4</v>
      </c>
      <c r="B11" s="87" t="s">
        <v>126</v>
      </c>
      <c r="C11" s="151"/>
      <c r="D11" s="151"/>
      <c r="E11" s="151"/>
      <c r="F11" s="151"/>
      <c r="G11" s="160"/>
      <c r="H11" s="167"/>
    </row>
    <row r="12" spans="1:9">
      <c r="A12" s="44">
        <v>5</v>
      </c>
      <c r="B12" s="87" t="s">
        <v>911</v>
      </c>
      <c r="C12" s="151"/>
      <c r="D12" s="151"/>
      <c r="E12" s="151"/>
      <c r="F12" s="151"/>
      <c r="G12" s="160"/>
      <c r="H12" s="167"/>
    </row>
    <row r="13" spans="1:9">
      <c r="A13" s="44">
        <v>6</v>
      </c>
      <c r="B13" s="87" t="s">
        <v>127</v>
      </c>
      <c r="C13" s="151">
        <v>182135392.81708574</v>
      </c>
      <c r="D13" s="151"/>
      <c r="E13" s="151"/>
      <c r="F13" s="151">
        <v>41389030.772733167</v>
      </c>
      <c r="G13" s="160">
        <v>41389030.772733167</v>
      </c>
      <c r="H13" s="167">
        <f t="shared" ref="H13:H21" si="0">G13/(C13+E13)</f>
        <v>0.22724320700424869</v>
      </c>
    </row>
    <row r="14" spans="1:9">
      <c r="A14" s="44">
        <v>7</v>
      </c>
      <c r="B14" s="87" t="s">
        <v>71</v>
      </c>
      <c r="C14" s="151">
        <v>121068638.14861317</v>
      </c>
      <c r="D14" s="151">
        <v>20737856</v>
      </c>
      <c r="E14" s="151">
        <v>10368928</v>
      </c>
      <c r="F14" s="151">
        <v>131437566.14861317</v>
      </c>
      <c r="G14" s="160">
        <v>131437566.14861317</v>
      </c>
      <c r="H14" s="167">
        <f>G14/(C14+E14)</f>
        <v>1</v>
      </c>
    </row>
    <row r="15" spans="1:9">
      <c r="A15" s="44">
        <v>8</v>
      </c>
      <c r="B15" s="87" t="s">
        <v>72</v>
      </c>
      <c r="C15" s="151">
        <v>2794269651.6635656</v>
      </c>
      <c r="D15" s="151">
        <v>424110961</v>
      </c>
      <c r="E15" s="151">
        <v>111779092.30000001</v>
      </c>
      <c r="F15" s="151">
        <v>2179536557.9726744</v>
      </c>
      <c r="G15" s="160">
        <v>2174263420.9596744</v>
      </c>
      <c r="H15" s="167">
        <f t="shared" si="0"/>
        <v>0.74818546160866939</v>
      </c>
    </row>
    <row r="16" spans="1:9">
      <c r="A16" s="44">
        <v>9</v>
      </c>
      <c r="B16" s="87" t="s">
        <v>912</v>
      </c>
      <c r="C16" s="151">
        <v>149527169.68047649</v>
      </c>
      <c r="D16" s="151"/>
      <c r="E16" s="151"/>
      <c r="F16" s="151">
        <v>52334509.38816677</v>
      </c>
      <c r="G16" s="160">
        <v>52334509.38816677</v>
      </c>
      <c r="H16" s="167">
        <f t="shared" si="0"/>
        <v>0.35</v>
      </c>
    </row>
    <row r="17" spans="1:8">
      <c r="A17" s="44">
        <v>10</v>
      </c>
      <c r="B17" s="87" t="s">
        <v>67</v>
      </c>
      <c r="C17" s="151">
        <v>5754781.8517679451</v>
      </c>
      <c r="D17" s="151"/>
      <c r="E17" s="151"/>
      <c r="F17" s="151">
        <v>5731792.4526059488</v>
      </c>
      <c r="G17" s="160">
        <v>5731606.1226059487</v>
      </c>
      <c r="H17" s="167">
        <f t="shared" si="0"/>
        <v>0.99597278754278473</v>
      </c>
    </row>
    <row r="18" spans="1:8">
      <c r="A18" s="44">
        <v>11</v>
      </c>
      <c r="B18" s="87" t="s">
        <v>68</v>
      </c>
      <c r="C18" s="151"/>
      <c r="D18" s="151"/>
      <c r="E18" s="151"/>
      <c r="F18" s="151"/>
      <c r="G18" s="160"/>
      <c r="H18" s="167"/>
    </row>
    <row r="19" spans="1:8">
      <c r="A19" s="44">
        <v>12</v>
      </c>
      <c r="B19" s="87" t="s">
        <v>69</v>
      </c>
      <c r="C19" s="151"/>
      <c r="D19" s="151"/>
      <c r="E19" s="151"/>
      <c r="F19" s="151"/>
      <c r="G19" s="160"/>
      <c r="H19" s="167"/>
    </row>
    <row r="20" spans="1:8">
      <c r="A20" s="44">
        <v>13</v>
      </c>
      <c r="B20" s="87" t="s">
        <v>70</v>
      </c>
      <c r="C20" s="151"/>
      <c r="D20" s="151"/>
      <c r="E20" s="151"/>
      <c r="F20" s="151"/>
      <c r="G20" s="160"/>
      <c r="H20" s="167"/>
    </row>
    <row r="21" spans="1:8">
      <c r="A21" s="44">
        <v>14</v>
      </c>
      <c r="B21" s="87" t="s">
        <v>143</v>
      </c>
      <c r="C21" s="151">
        <v>217980204.88000003</v>
      </c>
      <c r="D21" s="151"/>
      <c r="E21" s="151"/>
      <c r="F21" s="151">
        <v>125089954.67500001</v>
      </c>
      <c r="G21" s="160">
        <v>125089954.67500001</v>
      </c>
      <c r="H21" s="167">
        <f t="shared" si="0"/>
        <v>0.57385923985099063</v>
      </c>
    </row>
    <row r="22" spans="1:8" ht="14.4" thickBot="1">
      <c r="A22" s="81"/>
      <c r="B22" s="86" t="s">
        <v>66</v>
      </c>
      <c r="C22" s="152">
        <f>SUM(C8:C21)</f>
        <v>3861973806.3608294</v>
      </c>
      <c r="D22" s="152">
        <f>SUM(D8:D21)</f>
        <v>444848817</v>
      </c>
      <c r="E22" s="152">
        <f>SUM(E8:E21)</f>
        <v>122148020.30000001</v>
      </c>
      <c r="F22" s="152">
        <f>SUM(F8:F21)</f>
        <v>2601060648.0491138</v>
      </c>
      <c r="G22" s="152">
        <f>SUM(G8:G21)</f>
        <v>2595787324.7061138</v>
      </c>
      <c r="H22" s="168">
        <f>G22/(C22+E22)</f>
        <v>0.65153312013094089</v>
      </c>
    </row>
    <row r="24" spans="1:8">
      <c r="G24" s="696"/>
      <c r="H24" s="696"/>
    </row>
    <row r="25" spans="1:8">
      <c r="H25" s="696"/>
    </row>
    <row r="26" spans="1:8">
      <c r="G26" s="696"/>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F8" sqref="F8:K8"/>
    </sheetView>
  </sheetViews>
  <sheetFormatPr defaultColWidth="9.21875" defaultRowHeight="13.8"/>
  <cols>
    <col min="1" max="1" width="10.5546875" style="1" bestFit="1" customWidth="1"/>
    <col min="2" max="2" width="104.21875" style="1" customWidth="1"/>
    <col min="3" max="11" width="12.77734375" style="1" customWidth="1"/>
    <col min="12" max="16384" width="9.21875" style="1"/>
  </cols>
  <sheetData>
    <row r="1" spans="1:11">
      <c r="A1" s="1" t="s">
        <v>97</v>
      </c>
      <c r="B1" s="1" t="str">
        <f>Info!C2</f>
        <v>სს "კრედო ბანკი"</v>
      </c>
    </row>
    <row r="2" spans="1:11">
      <c r="A2" s="1" t="s">
        <v>98</v>
      </c>
      <c r="B2" s="276">
        <f>'1. key ratios'!B2</f>
        <v>46022</v>
      </c>
    </row>
    <row r="4" spans="1:11" ht="14.4" thickBot="1">
      <c r="A4" s="1" t="s">
        <v>340</v>
      </c>
      <c r="B4" s="22" t="s">
        <v>339</v>
      </c>
    </row>
    <row r="5" spans="1:11" ht="30" customHeight="1">
      <c r="A5" s="829"/>
      <c r="B5" s="830"/>
      <c r="C5" s="827" t="s">
        <v>372</v>
      </c>
      <c r="D5" s="827"/>
      <c r="E5" s="827"/>
      <c r="F5" s="827" t="s">
        <v>373</v>
      </c>
      <c r="G5" s="827"/>
      <c r="H5" s="827"/>
      <c r="I5" s="827" t="s">
        <v>374</v>
      </c>
      <c r="J5" s="827"/>
      <c r="K5" s="828"/>
    </row>
    <row r="6" spans="1:11">
      <c r="A6" s="193"/>
      <c r="B6" s="194"/>
      <c r="C6" s="195" t="s">
        <v>26</v>
      </c>
      <c r="D6" s="195" t="s">
        <v>79</v>
      </c>
      <c r="E6" s="195" t="s">
        <v>66</v>
      </c>
      <c r="F6" s="195" t="s">
        <v>26</v>
      </c>
      <c r="G6" s="195" t="s">
        <v>79</v>
      </c>
      <c r="H6" s="195" t="s">
        <v>66</v>
      </c>
      <c r="I6" s="195" t="s">
        <v>26</v>
      </c>
      <c r="J6" s="195" t="s">
        <v>79</v>
      </c>
      <c r="K6" s="197" t="s">
        <v>66</v>
      </c>
    </row>
    <row r="7" spans="1:11">
      <c r="A7" s="198" t="s">
        <v>310</v>
      </c>
      <c r="B7" s="192"/>
      <c r="C7" s="192"/>
      <c r="D7" s="192"/>
      <c r="E7" s="192"/>
      <c r="F7" s="192"/>
      <c r="G7" s="192"/>
      <c r="H7" s="192"/>
      <c r="I7" s="192"/>
      <c r="J7" s="192"/>
      <c r="K7" s="199"/>
    </row>
    <row r="8" spans="1:11">
      <c r="A8" s="191">
        <v>1</v>
      </c>
      <c r="B8" s="175" t="s">
        <v>310</v>
      </c>
      <c r="C8" s="173"/>
      <c r="D8" s="173"/>
      <c r="E8" s="173"/>
      <c r="F8" s="176">
        <v>256685518.3956247</v>
      </c>
      <c r="G8" s="176">
        <v>289096286.30936402</v>
      </c>
      <c r="H8" s="703">
        <f>F8+G8</f>
        <v>545781804.70498872</v>
      </c>
      <c r="I8" s="706">
        <v>146492498.65497258</v>
      </c>
      <c r="J8" s="706">
        <v>97593950.788494468</v>
      </c>
      <c r="K8" s="707">
        <f>I8+J8</f>
        <v>244086449.44346705</v>
      </c>
    </row>
    <row r="9" spans="1:11">
      <c r="A9" s="198" t="s">
        <v>311</v>
      </c>
      <c r="B9" s="192"/>
      <c r="C9" s="192"/>
      <c r="D9" s="192"/>
      <c r="E9" s="192"/>
      <c r="F9" s="192"/>
      <c r="G9" s="192"/>
      <c r="H9" s="192"/>
      <c r="I9" s="699"/>
      <c r="J9" s="699"/>
      <c r="K9" s="707"/>
    </row>
    <row r="10" spans="1:11">
      <c r="A10" s="200">
        <v>2</v>
      </c>
      <c r="B10" s="177" t="s">
        <v>312</v>
      </c>
      <c r="C10" s="293">
        <v>559042477.87745643</v>
      </c>
      <c r="D10" s="697">
        <v>449448421.54187137</v>
      </c>
      <c r="E10" s="703">
        <f>C10+D10</f>
        <v>1008490899.4193277</v>
      </c>
      <c r="F10" s="697">
        <v>99367117.448027149</v>
      </c>
      <c r="G10" s="697">
        <v>130451326.06334214</v>
      </c>
      <c r="H10" s="703">
        <f t="shared" ref="H10:H15" si="0">F10+G10</f>
        <v>229818443.51136929</v>
      </c>
      <c r="I10" s="697">
        <v>28546940.061303254</v>
      </c>
      <c r="J10" s="697">
        <v>38159763.367702976</v>
      </c>
      <c r="K10" s="707">
        <f t="shared" ref="K10:K15" si="1">I10+J10</f>
        <v>66706703.429006234</v>
      </c>
    </row>
    <row r="11" spans="1:11">
      <c r="A11" s="200">
        <v>3</v>
      </c>
      <c r="B11" s="177" t="s">
        <v>313</v>
      </c>
      <c r="C11" s="293">
        <v>1445153286.4966302</v>
      </c>
      <c r="D11" s="697">
        <v>443490816.08972597</v>
      </c>
      <c r="E11" s="703">
        <f t="shared" ref="E11:E15" si="2">C11+D11</f>
        <v>1888644102.5863562</v>
      </c>
      <c r="F11" s="697">
        <v>72565463.942975536</v>
      </c>
      <c r="G11" s="697">
        <v>16604117.763616713</v>
      </c>
      <c r="H11" s="703">
        <f t="shared" si="0"/>
        <v>89169581.706592247</v>
      </c>
      <c r="I11" s="697">
        <v>65432352.006396763</v>
      </c>
      <c r="J11" s="697">
        <v>16236283.977634998</v>
      </c>
      <c r="K11" s="707">
        <f t="shared" si="1"/>
        <v>81668635.984031767</v>
      </c>
    </row>
    <row r="12" spans="1:11">
      <c r="A12" s="200">
        <v>4</v>
      </c>
      <c r="B12" s="177" t="s">
        <v>314</v>
      </c>
      <c r="C12" s="293">
        <v>61891304.347826086</v>
      </c>
      <c r="D12" s="697">
        <v>0</v>
      </c>
      <c r="E12" s="703">
        <f t="shared" si="2"/>
        <v>61891304.347826086</v>
      </c>
      <c r="F12" s="697"/>
      <c r="G12" s="697"/>
      <c r="H12" s="703">
        <f t="shared" si="0"/>
        <v>0</v>
      </c>
      <c r="I12" s="697"/>
      <c r="J12" s="697"/>
      <c r="K12" s="707">
        <f t="shared" si="1"/>
        <v>0</v>
      </c>
    </row>
    <row r="13" spans="1:11">
      <c r="A13" s="200">
        <v>5</v>
      </c>
      <c r="B13" s="177" t="s">
        <v>315</v>
      </c>
      <c r="C13" s="293">
        <v>395584789.55630428</v>
      </c>
      <c r="D13" s="697">
        <v>44690835.749021754</v>
      </c>
      <c r="E13" s="703">
        <f t="shared" si="2"/>
        <v>440275625.30532604</v>
      </c>
      <c r="F13" s="697">
        <v>63740552.104207642</v>
      </c>
      <c r="G13" s="697">
        <v>9132053.2097130474</v>
      </c>
      <c r="H13" s="703">
        <f t="shared" si="0"/>
        <v>72872605.313920692</v>
      </c>
      <c r="I13" s="697">
        <v>19779239.477815207</v>
      </c>
      <c r="J13" s="697">
        <v>4055436.9841902172</v>
      </c>
      <c r="K13" s="707">
        <f t="shared" si="1"/>
        <v>23834676.462005425</v>
      </c>
    </row>
    <row r="14" spans="1:11">
      <c r="A14" s="200">
        <v>6</v>
      </c>
      <c r="B14" s="177" t="s">
        <v>330</v>
      </c>
      <c r="C14" s="293"/>
      <c r="D14" s="697"/>
      <c r="E14" s="703">
        <f t="shared" si="2"/>
        <v>0</v>
      </c>
      <c r="F14" s="697"/>
      <c r="G14" s="697"/>
      <c r="H14" s="703">
        <f t="shared" si="0"/>
        <v>0</v>
      </c>
      <c r="I14" s="697"/>
      <c r="J14" s="697"/>
      <c r="K14" s="707">
        <f t="shared" si="1"/>
        <v>0</v>
      </c>
    </row>
    <row r="15" spans="1:11">
      <c r="A15" s="200">
        <v>7</v>
      </c>
      <c r="B15" s="177" t="s">
        <v>317</v>
      </c>
      <c r="C15" s="293">
        <v>10854845.958043478</v>
      </c>
      <c r="D15" s="697">
        <v>3175711.4030434787</v>
      </c>
      <c r="E15" s="703">
        <f t="shared" si="2"/>
        <v>14030557.361086957</v>
      </c>
      <c r="F15" s="697">
        <v>10854845.958043478</v>
      </c>
      <c r="G15" s="697">
        <v>3175711.4030434787</v>
      </c>
      <c r="H15" s="703">
        <f t="shared" si="0"/>
        <v>14030557.361086957</v>
      </c>
      <c r="I15" s="697">
        <v>10854845.958043478</v>
      </c>
      <c r="J15" s="697">
        <v>3175711.4030434787</v>
      </c>
      <c r="K15" s="707">
        <f t="shared" si="1"/>
        <v>14030557.361086957</v>
      </c>
    </row>
    <row r="16" spans="1:11">
      <c r="A16" s="200">
        <v>8</v>
      </c>
      <c r="B16" s="178" t="s">
        <v>318</v>
      </c>
      <c r="C16" s="685">
        <f>SUM(C10:C15)</f>
        <v>2472526704.2362604</v>
      </c>
      <c r="D16" s="685">
        <f t="shared" ref="D16:E16" si="3">SUM(D10:D15)</f>
        <v>940805784.78366256</v>
      </c>
      <c r="E16" s="685">
        <f t="shared" si="3"/>
        <v>3413332489.0199227</v>
      </c>
      <c r="F16" s="703">
        <f>SUM(F10:F15)</f>
        <v>246527979.45325381</v>
      </c>
      <c r="G16" s="703">
        <f>SUM(G10:G15)</f>
        <v>159363208.43971539</v>
      </c>
      <c r="H16" s="703">
        <f>SUM(H10:H15)</f>
        <v>405891187.89296919</v>
      </c>
      <c r="I16" s="703">
        <f>SUM(I10:I15)</f>
        <v>124613377.5035587</v>
      </c>
      <c r="J16" s="703">
        <f t="shared" ref="J16:K16" si="4">SUM(J10:J15)</f>
        <v>61627195.732571669</v>
      </c>
      <c r="K16" s="703">
        <f t="shared" si="4"/>
        <v>186240573.23613042</v>
      </c>
    </row>
    <row r="17" spans="1:11">
      <c r="A17" s="198" t="s">
        <v>319</v>
      </c>
      <c r="B17" s="192"/>
      <c r="C17" s="699"/>
      <c r="D17" s="699"/>
      <c r="E17" s="699"/>
      <c r="F17" s="699"/>
      <c r="G17" s="699"/>
      <c r="H17" s="699"/>
      <c r="I17" s="699"/>
      <c r="J17" s="699"/>
      <c r="K17" s="700"/>
    </row>
    <row r="18" spans="1:11">
      <c r="A18" s="200">
        <v>9</v>
      </c>
      <c r="B18" s="177" t="s">
        <v>320</v>
      </c>
      <c r="C18" s="293">
        <v>0</v>
      </c>
      <c r="D18" s="697">
        <v>0</v>
      </c>
      <c r="E18" s="703">
        <f t="shared" ref="E18:E20" si="5">C18+D18</f>
        <v>0</v>
      </c>
      <c r="F18" s="697"/>
      <c r="G18" s="697"/>
      <c r="H18" s="703">
        <f t="shared" ref="H18:H20" si="6">F18+G18</f>
        <v>0</v>
      </c>
      <c r="I18" s="697"/>
      <c r="J18" s="697"/>
      <c r="K18" s="698">
        <f>I18+J18</f>
        <v>0</v>
      </c>
    </row>
    <row r="19" spans="1:11">
      <c r="A19" s="200">
        <v>10</v>
      </c>
      <c r="B19" s="177" t="s">
        <v>321</v>
      </c>
      <c r="C19" s="293">
        <v>2468809077.7928886</v>
      </c>
      <c r="D19" s="697">
        <v>293719005.78518927</v>
      </c>
      <c r="E19" s="703">
        <f t="shared" si="5"/>
        <v>2762528083.5780778</v>
      </c>
      <c r="F19" s="697">
        <v>59028390.123610437</v>
      </c>
      <c r="G19" s="697">
        <v>1957414.1947662283</v>
      </c>
      <c r="H19" s="703">
        <f t="shared" si="6"/>
        <v>60985804.318376668</v>
      </c>
      <c r="I19" s="697">
        <v>169221417.20013207</v>
      </c>
      <c r="J19" s="697">
        <v>193635076.33161396</v>
      </c>
      <c r="K19" s="698">
        <f t="shared" ref="K19:K21" si="7">I19+J19</f>
        <v>362856493.53174603</v>
      </c>
    </row>
    <row r="20" spans="1:11">
      <c r="A20" s="200">
        <v>11</v>
      </c>
      <c r="B20" s="177" t="s">
        <v>322</v>
      </c>
      <c r="C20" s="293">
        <v>88282.929347826313</v>
      </c>
      <c r="D20" s="697">
        <v>0</v>
      </c>
      <c r="E20" s="703">
        <f t="shared" si="5"/>
        <v>88282.929347826313</v>
      </c>
      <c r="F20" s="697">
        <v>83810.527173913229</v>
      </c>
      <c r="G20" s="697">
        <v>0</v>
      </c>
      <c r="H20" s="703">
        <f t="shared" si="6"/>
        <v>83810.527173913229</v>
      </c>
      <c r="I20" s="697">
        <v>83810.527173913229</v>
      </c>
      <c r="J20" s="697">
        <v>0</v>
      </c>
      <c r="K20" s="698">
        <f t="shared" si="7"/>
        <v>83810.527173913229</v>
      </c>
    </row>
    <row r="21" spans="1:11" ht="14.4" thickBot="1">
      <c r="A21" s="120">
        <v>12</v>
      </c>
      <c r="B21" s="201" t="s">
        <v>323</v>
      </c>
      <c r="C21" s="701">
        <f>SUM(C18:C20)</f>
        <v>2468897360.7222366</v>
      </c>
      <c r="D21" s="701">
        <f t="shared" ref="D21:E21" si="8">SUM(D18:D20)</f>
        <v>293719005.78518927</v>
      </c>
      <c r="E21" s="704">
        <f t="shared" si="8"/>
        <v>2762616366.5074258</v>
      </c>
      <c r="F21" s="702">
        <f>SUM(F19:F20)</f>
        <v>59112200.650784351</v>
      </c>
      <c r="G21" s="702">
        <f>SUM(G19:G20)</f>
        <v>1957414.1947662283</v>
      </c>
      <c r="H21" s="705">
        <f>SUM(H18:H20)</f>
        <v>61069614.845550582</v>
      </c>
      <c r="I21" s="702">
        <f>SUM(I19:I20)</f>
        <v>169305227.72730598</v>
      </c>
      <c r="J21" s="702">
        <f>SUM(J19:J20)</f>
        <v>193635076.33161396</v>
      </c>
      <c r="K21" s="708">
        <f t="shared" si="7"/>
        <v>362940304.05891991</v>
      </c>
    </row>
    <row r="22" spans="1:11" ht="38.25" customHeight="1" thickBot="1">
      <c r="A22" s="189"/>
      <c r="B22" s="190"/>
      <c r="C22" s="190"/>
      <c r="D22" s="190"/>
      <c r="E22" s="190"/>
      <c r="F22" s="826" t="s">
        <v>324</v>
      </c>
      <c r="G22" s="827"/>
      <c r="H22" s="827"/>
      <c r="I22" s="826" t="s">
        <v>325</v>
      </c>
      <c r="J22" s="827"/>
      <c r="K22" s="828"/>
    </row>
    <row r="23" spans="1:11">
      <c r="A23" s="182">
        <v>13</v>
      </c>
      <c r="B23" s="179" t="s">
        <v>310</v>
      </c>
      <c r="C23" s="188"/>
      <c r="D23" s="188"/>
      <c r="E23" s="188"/>
      <c r="F23" s="709">
        <f>F8</f>
        <v>256685518.3956247</v>
      </c>
      <c r="G23" s="709">
        <f>G8</f>
        <v>289096286.30936402</v>
      </c>
      <c r="H23" s="710">
        <f>F23+G23</f>
        <v>545781804.70498872</v>
      </c>
      <c r="I23" s="709">
        <f>I8</f>
        <v>146492498.65497258</v>
      </c>
      <c r="J23" s="709">
        <f>J8</f>
        <v>97593950.788494468</v>
      </c>
      <c r="K23" s="717">
        <f>I23+J23</f>
        <v>244086449.44346705</v>
      </c>
    </row>
    <row r="24" spans="1:11" ht="14.4" thickBot="1">
      <c r="A24" s="183">
        <v>14</v>
      </c>
      <c r="B24" s="180" t="s">
        <v>326</v>
      </c>
      <c r="C24" s="202"/>
      <c r="D24" s="186"/>
      <c r="E24" s="187"/>
      <c r="F24" s="711">
        <f>MAX(F16-F21,F16*0.25)</f>
        <v>187415778.80246946</v>
      </c>
      <c r="G24" s="711">
        <f t="shared" ref="G24:H24" si="9">MAX(G16-G21,G16*0.25)</f>
        <v>157405794.24494916</v>
      </c>
      <c r="H24" s="711">
        <f t="shared" si="9"/>
        <v>344821573.04741859</v>
      </c>
      <c r="I24" s="711">
        <f>MAX(I16-I21,I16*0.25)</f>
        <v>31153344.375889674</v>
      </c>
      <c r="J24" s="711">
        <f t="shared" ref="J24:K24" si="10">MAX(J16-J21,J16*0.25)</f>
        <v>15406798.933142917</v>
      </c>
      <c r="K24" s="718">
        <f t="shared" si="10"/>
        <v>46560143.309032604</v>
      </c>
    </row>
    <row r="25" spans="1:11" ht="14.4" thickBot="1">
      <c r="A25" s="184">
        <v>15</v>
      </c>
      <c r="B25" s="181" t="s">
        <v>327</v>
      </c>
      <c r="C25" s="185"/>
      <c r="D25" s="185"/>
      <c r="E25" s="185"/>
      <c r="F25" s="712">
        <f t="shared" ref="F25:K25" si="11">F23/F24</f>
        <v>1.3696046300677993</v>
      </c>
      <c r="G25" s="712">
        <f t="shared" si="11"/>
        <v>1.8366305236482141</v>
      </c>
      <c r="H25" s="712">
        <f t="shared" si="11"/>
        <v>1.5827948346779765</v>
      </c>
      <c r="I25" s="712">
        <f t="shared" si="11"/>
        <v>4.7023040893274581</v>
      </c>
      <c r="J25" s="712">
        <f t="shared" si="11"/>
        <v>6.3344729305548055</v>
      </c>
      <c r="K25" s="719">
        <f t="shared" si="11"/>
        <v>5.2423904244322763</v>
      </c>
    </row>
    <row r="28" spans="1:11" ht="41.4">
      <c r="B28" s="17"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C14" activePane="bottomRight" state="frozen"/>
      <selection pane="topRight" activeCell="B1" sqref="B1"/>
      <selection pane="bottomLeft" activeCell="A5" sqref="A5"/>
      <selection pane="bottomRight" activeCell="M19" sqref="M19:M21"/>
    </sheetView>
  </sheetViews>
  <sheetFormatPr defaultColWidth="9.21875" defaultRowHeight="13.8"/>
  <cols>
    <col min="1" max="1" width="10.5546875" style="30" bestFit="1" customWidth="1"/>
    <col min="2" max="2" width="95" style="30" customWidth="1"/>
    <col min="3" max="9" width="15" style="30" customWidth="1"/>
    <col min="10" max="14" width="18.5546875" style="30" customWidth="1"/>
    <col min="15" max="17" width="18.5546875" style="8" customWidth="1"/>
    <col min="18" max="16384" width="9.21875" style="8"/>
  </cols>
  <sheetData>
    <row r="1" spans="1:17">
      <c r="A1" s="12" t="s">
        <v>97</v>
      </c>
      <c r="B1" s="30">
        <f>[4]Info!C2</f>
        <v>0</v>
      </c>
    </row>
    <row r="2" spans="1:17">
      <c r="A2" s="30" t="s">
        <v>98</v>
      </c>
      <c r="B2" s="276">
        <f>'[4]1. key ratios'!B2</f>
        <v>45747</v>
      </c>
    </row>
    <row r="3" spans="1:17">
      <c r="B3" s="8"/>
      <c r="C3" s="8"/>
      <c r="D3" s="8"/>
      <c r="E3" s="8"/>
      <c r="F3" s="8"/>
      <c r="G3" s="8"/>
      <c r="H3" s="8"/>
      <c r="I3" s="8"/>
      <c r="J3" s="8"/>
      <c r="K3" s="8"/>
      <c r="L3" s="8"/>
      <c r="M3" s="8"/>
      <c r="N3" s="8"/>
    </row>
    <row r="4" spans="1:17" ht="14.4">
      <c r="B4" s="623" t="s">
        <v>979</v>
      </c>
      <c r="C4" s="8"/>
      <c r="D4" s="8"/>
      <c r="E4" s="8"/>
      <c r="F4" s="8"/>
      <c r="G4" s="8"/>
      <c r="H4" s="8"/>
      <c r="I4" s="8"/>
      <c r="J4" s="8"/>
      <c r="K4" s="8"/>
      <c r="L4" s="8"/>
      <c r="M4" s="8"/>
      <c r="N4" s="8"/>
    </row>
    <row r="5" spans="1:17" ht="86.4">
      <c r="B5" s="624" t="s">
        <v>980</v>
      </c>
      <c r="C5" s="625" t="s">
        <v>981</v>
      </c>
      <c r="D5" s="625" t="s">
        <v>982</v>
      </c>
      <c r="E5" s="625" t="s">
        <v>983</v>
      </c>
      <c r="F5" s="625" t="s">
        <v>984</v>
      </c>
      <c r="G5" s="625" t="s">
        <v>985</v>
      </c>
      <c r="H5" s="625" t="s">
        <v>986</v>
      </c>
      <c r="I5" s="626" t="s">
        <v>987</v>
      </c>
      <c r="J5" s="627">
        <v>0.02</v>
      </c>
      <c r="K5" s="627">
        <v>0.2</v>
      </c>
      <c r="L5" s="627">
        <v>0.35</v>
      </c>
      <c r="M5" s="627">
        <v>0.5</v>
      </c>
      <c r="N5" s="627">
        <v>0.75</v>
      </c>
      <c r="O5" s="627">
        <v>1</v>
      </c>
      <c r="P5" s="627">
        <v>1.5</v>
      </c>
      <c r="Q5" s="628" t="s">
        <v>73</v>
      </c>
    </row>
    <row r="6" spans="1:17" ht="14.4">
      <c r="B6" s="629"/>
      <c r="C6" s="595">
        <f>IF(C7&gt;0,C7,IF(C8&gt;0,C8,IF(C9&gt;0,C9)))</f>
        <v>412455000</v>
      </c>
      <c r="D6" s="595">
        <f>IF(D7&gt;0,D7,IF(D8&gt;0,D8,IF(D9&gt;0,D9)))</f>
        <v>508289.5350056719</v>
      </c>
      <c r="E6" s="595">
        <f>IF(E7&gt;0,E7,IF(E8&gt;0,E8,IF(E9&gt;0,E9,0)))</f>
        <v>0</v>
      </c>
      <c r="F6" s="595">
        <f>IF(F7&gt;0,F7,IF(F8&gt;0,F8,IF(F9&gt;0,F9,0)))</f>
        <v>931.24931462947279</v>
      </c>
      <c r="G6" s="595">
        <f>IF(G7&gt;0,G7,IF(G8&gt;0,G8,IF(G9&gt;0,G9,0)))</f>
        <v>3758882.951846499</v>
      </c>
      <c r="H6" s="595"/>
      <c r="I6" s="595">
        <f t="shared" ref="I6:Q6" si="0">IF(I7&gt;0,I7,IF(I8&gt;0,I8,IF(I9&gt;0,I9)))</f>
        <v>5263739.8816255797</v>
      </c>
      <c r="J6" s="595">
        <f t="shared" ref="J6:P6" si="1">IF(J7&gt;0,J7,IF(J8&gt;0,J8,IF(J9&gt;0,J9,0)))</f>
        <v>0</v>
      </c>
      <c r="K6" s="595">
        <f t="shared" si="1"/>
        <v>0</v>
      </c>
      <c r="L6" s="595">
        <f t="shared" si="1"/>
        <v>0</v>
      </c>
      <c r="M6" s="595">
        <f t="shared" si="1"/>
        <v>5056007.0903711952</v>
      </c>
      <c r="N6" s="595">
        <f t="shared" si="1"/>
        <v>0</v>
      </c>
      <c r="O6" s="595">
        <f t="shared" si="1"/>
        <v>0</v>
      </c>
      <c r="P6" s="595">
        <f t="shared" si="1"/>
        <v>0</v>
      </c>
      <c r="Q6" s="595">
        <f t="shared" si="0"/>
        <v>2528003.5451855976</v>
      </c>
    </row>
    <row r="7" spans="1:17" ht="14.4">
      <c r="B7" s="630" t="s">
        <v>975</v>
      </c>
      <c r="C7" s="595">
        <f t="shared" ref="C7:E9" si="2">C11+C15+C19+C23+C27+C31</f>
        <v>412455000</v>
      </c>
      <c r="D7" s="595">
        <f t="shared" si="2"/>
        <v>508289.5350056719</v>
      </c>
      <c r="E7" s="595">
        <f t="shared" si="2"/>
        <v>0</v>
      </c>
      <c r="F7" s="595">
        <f t="shared" ref="F7:G9" si="3">F11+F15+F19+F23+F27+F31</f>
        <v>931.24931462947279</v>
      </c>
      <c r="G7" s="595">
        <f t="shared" si="3"/>
        <v>3758882.951846499</v>
      </c>
      <c r="H7" s="631">
        <v>1.4</v>
      </c>
      <c r="I7" s="632">
        <f t="shared" ref="I7:I33" si="4">(F7+G7)*H7</f>
        <v>5263739.8816255797</v>
      </c>
      <c r="J7" s="595">
        <f>J11+J15+J19+J23+J27+J31</f>
        <v>0</v>
      </c>
      <c r="K7" s="595">
        <f t="shared" ref="J7:P9" si="5">K11+K15+K19+K23+K27+K31</f>
        <v>0</v>
      </c>
      <c r="L7" s="595">
        <f t="shared" si="5"/>
        <v>0</v>
      </c>
      <c r="M7" s="595">
        <f t="shared" si="5"/>
        <v>5056007.0903711952</v>
      </c>
      <c r="N7" s="595">
        <f t="shared" si="5"/>
        <v>0</v>
      </c>
      <c r="O7" s="595">
        <f t="shared" si="5"/>
        <v>0</v>
      </c>
      <c r="P7" s="595">
        <f t="shared" si="5"/>
        <v>0</v>
      </c>
      <c r="Q7" s="595">
        <f>Q11+Q15+Q19+Q23+Q27+Q31</f>
        <v>2528003.5451855976</v>
      </c>
    </row>
    <row r="8" spans="1:17" ht="14.4">
      <c r="B8" s="630" t="s">
        <v>976</v>
      </c>
      <c r="C8" s="595">
        <f t="shared" si="2"/>
        <v>412455000</v>
      </c>
      <c r="D8" s="595">
        <f t="shared" si="2"/>
        <v>508289.5350056719</v>
      </c>
      <c r="E8" s="595">
        <f t="shared" si="2"/>
        <v>0</v>
      </c>
      <c r="F8" s="595">
        <f t="shared" si="3"/>
        <v>931.24931462947279</v>
      </c>
      <c r="G8" s="595">
        <f t="shared" si="3"/>
        <v>16498200</v>
      </c>
      <c r="H8" s="631">
        <v>1.4</v>
      </c>
      <c r="I8" s="632">
        <f t="shared" si="4"/>
        <v>23098783.749040477</v>
      </c>
      <c r="J8" s="595">
        <f t="shared" si="5"/>
        <v>0</v>
      </c>
      <c r="K8" s="595">
        <f t="shared" si="5"/>
        <v>0</v>
      </c>
      <c r="L8" s="595">
        <f t="shared" si="5"/>
        <v>0</v>
      </c>
      <c r="M8" s="595">
        <f t="shared" si="5"/>
        <v>23098783.749040481</v>
      </c>
      <c r="N8" s="595">
        <f t="shared" si="5"/>
        <v>0</v>
      </c>
      <c r="O8" s="595">
        <f t="shared" si="5"/>
        <v>0</v>
      </c>
      <c r="P8" s="595">
        <f t="shared" si="5"/>
        <v>0</v>
      </c>
      <c r="Q8" s="595">
        <f>Q12+Q16+Q20+Q24+Q28+Q32</f>
        <v>11549391.87452024</v>
      </c>
    </row>
    <row r="9" spans="1:17" ht="14.4">
      <c r="B9" s="630" t="s">
        <v>977</v>
      </c>
      <c r="C9" s="595">
        <f t="shared" si="2"/>
        <v>412455000</v>
      </c>
      <c r="D9" s="595">
        <f t="shared" si="2"/>
        <v>508289.5350056719</v>
      </c>
      <c r="E9" s="595">
        <f t="shared" si="2"/>
        <v>0</v>
      </c>
      <c r="F9" s="595">
        <f t="shared" si="3"/>
        <v>508289.5350056719</v>
      </c>
      <c r="G9" s="595">
        <f t="shared" si="3"/>
        <v>16498202.835000008</v>
      </c>
      <c r="H9" s="631">
        <v>1.4</v>
      </c>
      <c r="I9" s="632">
        <f t="shared" si="4"/>
        <v>23809089.318007953</v>
      </c>
      <c r="J9" s="595">
        <f t="shared" si="5"/>
        <v>0</v>
      </c>
      <c r="K9" s="595">
        <f t="shared" si="5"/>
        <v>0</v>
      </c>
      <c r="L9" s="595">
        <f t="shared" si="5"/>
        <v>0</v>
      </c>
      <c r="M9" s="595">
        <f t="shared" si="5"/>
        <v>23809085.349007938</v>
      </c>
      <c r="N9" s="595">
        <f t="shared" si="5"/>
        <v>0</v>
      </c>
      <c r="O9" s="595">
        <f t="shared" si="5"/>
        <v>0</v>
      </c>
      <c r="P9" s="595">
        <f t="shared" si="5"/>
        <v>0</v>
      </c>
      <c r="Q9" s="595">
        <f t="shared" ref="Q9" si="6">Q13+Q17+Q21+Q25+Q29+Q33</f>
        <v>11904542.674503969</v>
      </c>
    </row>
    <row r="10" spans="1:17" ht="14.4">
      <c r="B10" s="633" t="s">
        <v>988</v>
      </c>
      <c r="C10" s="634"/>
      <c r="D10" s="634"/>
      <c r="E10" s="634"/>
      <c r="F10" s="634"/>
      <c r="G10" s="634"/>
      <c r="H10" s="631">
        <v>1.4</v>
      </c>
      <c r="I10" s="632">
        <f t="shared" si="4"/>
        <v>0</v>
      </c>
      <c r="J10" s="592"/>
      <c r="K10" s="592"/>
      <c r="L10" s="592"/>
      <c r="M10" s="592"/>
      <c r="N10" s="592"/>
      <c r="O10" s="592"/>
      <c r="P10" s="592"/>
      <c r="Q10" s="595">
        <f>SUM(Q11:Q13)</f>
        <v>0</v>
      </c>
    </row>
    <row r="11" spans="1:17" ht="14.4">
      <c r="B11" s="635" t="s">
        <v>975</v>
      </c>
      <c r="C11" s="634"/>
      <c r="D11" s="634"/>
      <c r="E11" s="634"/>
      <c r="F11" s="634"/>
      <c r="G11" s="634"/>
      <c r="H11" s="631">
        <v>1.4</v>
      </c>
      <c r="I11" s="632">
        <f t="shared" si="4"/>
        <v>0</v>
      </c>
      <c r="J11" s="592"/>
      <c r="K11" s="592"/>
      <c r="L11" s="592"/>
      <c r="M11" s="592"/>
      <c r="N11" s="592"/>
      <c r="O11" s="592"/>
      <c r="P11" s="592"/>
      <c r="Q11" s="595">
        <f>SUMPRODUCT($J$5:$P$5,J11:P11)</f>
        <v>0</v>
      </c>
    </row>
    <row r="12" spans="1:17" ht="14.4">
      <c r="B12" s="635" t="s">
        <v>976</v>
      </c>
      <c r="C12" s="634"/>
      <c r="D12" s="634"/>
      <c r="E12" s="634"/>
      <c r="F12" s="634"/>
      <c r="G12" s="634"/>
      <c r="H12" s="631">
        <v>1.4</v>
      </c>
      <c r="I12" s="632">
        <f t="shared" si="4"/>
        <v>0</v>
      </c>
      <c r="J12" s="592"/>
      <c r="K12" s="592"/>
      <c r="L12" s="592"/>
      <c r="M12" s="592"/>
      <c r="N12" s="592"/>
      <c r="O12" s="592"/>
      <c r="P12" s="592"/>
      <c r="Q12" s="595">
        <f t="shared" ref="Q12:Q13" si="7">SUMPRODUCT($J$5:$P$5,J12:P12)</f>
        <v>0</v>
      </c>
    </row>
    <row r="13" spans="1:17" ht="14.4">
      <c r="B13" s="635" t="s">
        <v>977</v>
      </c>
      <c r="C13" s="634"/>
      <c r="D13" s="634"/>
      <c r="E13" s="634"/>
      <c r="F13" s="634"/>
      <c r="G13" s="634"/>
      <c r="H13" s="631">
        <v>1.4</v>
      </c>
      <c r="I13" s="632">
        <f t="shared" si="4"/>
        <v>0</v>
      </c>
      <c r="J13" s="592"/>
      <c r="K13" s="592"/>
      <c r="L13" s="592"/>
      <c r="M13" s="592"/>
      <c r="N13" s="592"/>
      <c r="O13" s="592"/>
      <c r="P13" s="592"/>
      <c r="Q13" s="595">
        <f t="shared" si="7"/>
        <v>0</v>
      </c>
    </row>
    <row r="14" spans="1:17" ht="14.4">
      <c r="B14" s="633" t="s">
        <v>989</v>
      </c>
      <c r="C14" s="634"/>
      <c r="D14" s="634"/>
      <c r="E14" s="634"/>
      <c r="F14" s="634"/>
      <c r="G14" s="634"/>
      <c r="H14" s="631">
        <v>1.4</v>
      </c>
      <c r="I14" s="632">
        <f t="shared" si="4"/>
        <v>0</v>
      </c>
      <c r="J14" s="592"/>
      <c r="K14" s="592"/>
      <c r="L14" s="592"/>
      <c r="M14" s="592"/>
      <c r="N14" s="592"/>
      <c r="O14" s="592"/>
      <c r="P14" s="592"/>
      <c r="Q14" s="595">
        <f>SUM(Q15:Q17)</f>
        <v>0</v>
      </c>
    </row>
    <row r="15" spans="1:17" ht="14.4">
      <c r="B15" s="635" t="s">
        <v>975</v>
      </c>
      <c r="C15" s="634"/>
      <c r="D15" s="634"/>
      <c r="E15" s="634"/>
      <c r="F15" s="634"/>
      <c r="G15" s="634"/>
      <c r="H15" s="631">
        <v>1.4</v>
      </c>
      <c r="I15" s="632">
        <f t="shared" si="4"/>
        <v>0</v>
      </c>
      <c r="J15" s="592"/>
      <c r="K15" s="592"/>
      <c r="L15" s="592"/>
      <c r="M15" s="720"/>
      <c r="N15" s="592"/>
      <c r="O15" s="592"/>
      <c r="P15" s="592"/>
      <c r="Q15" s="595">
        <f>SUMPRODUCT($J$5:$P$5,J15:P15)</f>
        <v>0</v>
      </c>
    </row>
    <row r="16" spans="1:17" ht="14.4">
      <c r="B16" s="635" t="s">
        <v>976</v>
      </c>
      <c r="C16" s="634"/>
      <c r="D16" s="634"/>
      <c r="E16" s="634"/>
      <c r="F16" s="634"/>
      <c r="G16" s="634"/>
      <c r="H16" s="631">
        <v>1.4</v>
      </c>
      <c r="I16" s="632">
        <f t="shared" si="4"/>
        <v>0</v>
      </c>
      <c r="J16" s="592"/>
      <c r="K16" s="592"/>
      <c r="L16" s="592"/>
      <c r="M16" s="720"/>
      <c r="N16" s="592"/>
      <c r="O16" s="592"/>
      <c r="P16" s="592"/>
      <c r="Q16" s="595">
        <f t="shared" ref="Q16:Q17" si="8">SUMPRODUCT($J$5:$P$5,J16:P16)</f>
        <v>0</v>
      </c>
    </row>
    <row r="17" spans="2:17" ht="14.4">
      <c r="B17" s="635" t="s">
        <v>977</v>
      </c>
      <c r="C17" s="634"/>
      <c r="D17" s="634"/>
      <c r="E17" s="634"/>
      <c r="F17" s="634"/>
      <c r="G17" s="634"/>
      <c r="H17" s="631">
        <v>1.4</v>
      </c>
      <c r="I17" s="632">
        <f t="shared" si="4"/>
        <v>0</v>
      </c>
      <c r="J17" s="592"/>
      <c r="K17" s="592"/>
      <c r="L17" s="592"/>
      <c r="M17" s="720"/>
      <c r="N17" s="592"/>
      <c r="O17" s="592"/>
      <c r="P17" s="592"/>
      <c r="Q17" s="595">
        <f t="shared" si="8"/>
        <v>0</v>
      </c>
    </row>
    <row r="18" spans="2:17" ht="14.4">
      <c r="B18" s="633" t="s">
        <v>990</v>
      </c>
      <c r="C18" s="634"/>
      <c r="D18" s="634"/>
      <c r="E18" s="634"/>
      <c r="F18" s="634"/>
      <c r="G18" s="634"/>
      <c r="H18" s="631">
        <v>1.4</v>
      </c>
      <c r="I18" s="632">
        <f t="shared" si="4"/>
        <v>0</v>
      </c>
      <c r="J18" s="592"/>
      <c r="K18" s="592"/>
      <c r="L18" s="592"/>
      <c r="M18" s="592"/>
      <c r="N18" s="592"/>
      <c r="O18" s="592"/>
      <c r="P18" s="592"/>
      <c r="Q18" s="595">
        <f>SUM(Q19:Q21)</f>
        <v>25981938.094209805</v>
      </c>
    </row>
    <row r="19" spans="2:17" ht="14.4">
      <c r="B19" s="635" t="s">
        <v>975</v>
      </c>
      <c r="C19" s="634">
        <v>412455000</v>
      </c>
      <c r="D19" s="634">
        <v>508289.5350056719</v>
      </c>
      <c r="E19" s="634">
        <v>0</v>
      </c>
      <c r="F19" s="634">
        <v>931.24931462947279</v>
      </c>
      <c r="G19" s="634">
        <v>3758882.951846499</v>
      </c>
      <c r="H19" s="631">
        <v>1.4</v>
      </c>
      <c r="I19" s="632">
        <f t="shared" si="4"/>
        <v>5263739.8816255797</v>
      </c>
      <c r="J19" s="592"/>
      <c r="K19" s="592"/>
      <c r="L19" s="592"/>
      <c r="M19" s="720">
        <v>5056007.0903711952</v>
      </c>
      <c r="N19" s="592"/>
      <c r="O19" s="592"/>
      <c r="P19" s="592"/>
      <c r="Q19" s="595">
        <f>SUMPRODUCT($J$5:$P$5,J19:P19)</f>
        <v>2528003.5451855976</v>
      </c>
    </row>
    <row r="20" spans="2:17" ht="14.4">
      <c r="B20" s="635" t="s">
        <v>976</v>
      </c>
      <c r="C20" s="634">
        <v>412455000</v>
      </c>
      <c r="D20" s="634">
        <v>508289.5350056719</v>
      </c>
      <c r="E20" s="634">
        <v>0</v>
      </c>
      <c r="F20" s="634">
        <v>931.24931462947279</v>
      </c>
      <c r="G20" s="634">
        <v>16498200</v>
      </c>
      <c r="H20" s="631">
        <v>1.4</v>
      </c>
      <c r="I20" s="632">
        <f t="shared" si="4"/>
        <v>23098783.749040477</v>
      </c>
      <c r="J20" s="592"/>
      <c r="K20" s="592"/>
      <c r="L20" s="592"/>
      <c r="M20" s="720">
        <v>23098783.749040481</v>
      </c>
      <c r="N20" s="592"/>
      <c r="O20" s="592"/>
      <c r="P20" s="592"/>
      <c r="Q20" s="595">
        <f t="shared" ref="Q20:Q21" si="9">SUMPRODUCT($J$5:$P$5,J20:P20)</f>
        <v>11549391.87452024</v>
      </c>
    </row>
    <row r="21" spans="2:17" ht="14.4">
      <c r="B21" s="635" t="s">
        <v>977</v>
      </c>
      <c r="C21" s="634">
        <v>412455000</v>
      </c>
      <c r="D21" s="634">
        <v>508289.5350056719</v>
      </c>
      <c r="E21" s="634">
        <v>0</v>
      </c>
      <c r="F21" s="634">
        <v>508289.5350056719</v>
      </c>
      <c r="G21" s="634">
        <v>16498202.835000008</v>
      </c>
      <c r="H21" s="631">
        <v>1.4</v>
      </c>
      <c r="I21" s="632">
        <f t="shared" si="4"/>
        <v>23809089.318007953</v>
      </c>
      <c r="J21" s="592"/>
      <c r="K21" s="592"/>
      <c r="L21" s="592"/>
      <c r="M21" s="720">
        <v>23809085.349007938</v>
      </c>
      <c r="N21" s="592"/>
      <c r="O21" s="592"/>
      <c r="P21" s="592"/>
      <c r="Q21" s="595">
        <f t="shared" si="9"/>
        <v>11904542.674503969</v>
      </c>
    </row>
    <row r="22" spans="2:17" ht="14.4">
      <c r="B22" s="633" t="s">
        <v>991</v>
      </c>
      <c r="C22" s="634"/>
      <c r="D22" s="634"/>
      <c r="E22" s="634"/>
      <c r="F22" s="634"/>
      <c r="G22" s="634"/>
      <c r="H22" s="631">
        <v>1.4</v>
      </c>
      <c r="I22" s="632">
        <f t="shared" si="4"/>
        <v>0</v>
      </c>
      <c r="J22" s="592"/>
      <c r="K22" s="592"/>
      <c r="L22" s="592"/>
      <c r="M22" s="592"/>
      <c r="N22" s="592"/>
      <c r="O22" s="592"/>
      <c r="P22" s="592"/>
      <c r="Q22" s="595">
        <f>SUM(Q23:Q25)</f>
        <v>0</v>
      </c>
    </row>
    <row r="23" spans="2:17" ht="14.4">
      <c r="B23" s="635" t="s">
        <v>975</v>
      </c>
      <c r="C23" s="634"/>
      <c r="D23" s="634"/>
      <c r="E23" s="634"/>
      <c r="F23" s="634"/>
      <c r="G23" s="634"/>
      <c r="H23" s="631">
        <v>1.4</v>
      </c>
      <c r="I23" s="632">
        <f t="shared" si="4"/>
        <v>0</v>
      </c>
      <c r="J23" s="592"/>
      <c r="K23" s="592"/>
      <c r="L23" s="592"/>
      <c r="M23" s="592"/>
      <c r="N23" s="592"/>
      <c r="O23" s="592"/>
      <c r="P23" s="592"/>
      <c r="Q23" s="595">
        <f>SUMPRODUCT($J$5:$P$5,J23:P23)</f>
        <v>0</v>
      </c>
    </row>
    <row r="24" spans="2:17" ht="14.4">
      <c r="B24" s="635" t="s">
        <v>976</v>
      </c>
      <c r="C24" s="634"/>
      <c r="D24" s="634"/>
      <c r="E24" s="634"/>
      <c r="F24" s="634"/>
      <c r="G24" s="634"/>
      <c r="H24" s="631">
        <v>1.4</v>
      </c>
      <c r="I24" s="632">
        <f t="shared" si="4"/>
        <v>0</v>
      </c>
      <c r="J24" s="592"/>
      <c r="K24" s="592"/>
      <c r="L24" s="592"/>
      <c r="M24" s="592"/>
      <c r="N24" s="592"/>
      <c r="O24" s="592"/>
      <c r="P24" s="592"/>
      <c r="Q24" s="595">
        <f t="shared" ref="Q24:Q25" si="10">SUMPRODUCT($J$5:$P$5,J24:P24)</f>
        <v>0</v>
      </c>
    </row>
    <row r="25" spans="2:17" ht="14.4">
      <c r="B25" s="635" t="s">
        <v>977</v>
      </c>
      <c r="C25" s="634"/>
      <c r="D25" s="634"/>
      <c r="E25" s="634"/>
      <c r="F25" s="634"/>
      <c r="G25" s="634"/>
      <c r="H25" s="631">
        <v>1.4</v>
      </c>
      <c r="I25" s="632">
        <f t="shared" si="4"/>
        <v>0</v>
      </c>
      <c r="J25" s="592"/>
      <c r="K25" s="592"/>
      <c r="L25" s="592"/>
      <c r="M25" s="592"/>
      <c r="N25" s="592"/>
      <c r="O25" s="592"/>
      <c r="P25" s="592"/>
      <c r="Q25" s="595">
        <f t="shared" si="10"/>
        <v>0</v>
      </c>
    </row>
    <row r="26" spans="2:17" ht="14.4">
      <c r="B26" s="633" t="s">
        <v>992</v>
      </c>
      <c r="C26" s="634"/>
      <c r="D26" s="634"/>
      <c r="E26" s="634"/>
      <c r="F26" s="634"/>
      <c r="G26" s="634"/>
      <c r="H26" s="631">
        <v>1.4</v>
      </c>
      <c r="I26" s="632">
        <f t="shared" si="4"/>
        <v>0</v>
      </c>
      <c r="J26" s="592"/>
      <c r="K26" s="592"/>
      <c r="L26" s="592"/>
      <c r="M26" s="592"/>
      <c r="N26" s="592"/>
      <c r="O26" s="592"/>
      <c r="P26" s="592"/>
      <c r="Q26" s="595">
        <f>SUM(Q27:Q29)</f>
        <v>0</v>
      </c>
    </row>
    <row r="27" spans="2:17" ht="14.4">
      <c r="B27" s="635" t="s">
        <v>975</v>
      </c>
      <c r="C27" s="634"/>
      <c r="D27" s="634"/>
      <c r="E27" s="634"/>
      <c r="F27" s="634"/>
      <c r="G27" s="634"/>
      <c r="H27" s="631">
        <v>1.4</v>
      </c>
      <c r="I27" s="632">
        <f t="shared" si="4"/>
        <v>0</v>
      </c>
      <c r="J27" s="592"/>
      <c r="K27" s="592"/>
      <c r="L27" s="592"/>
      <c r="M27" s="592"/>
      <c r="N27" s="592"/>
      <c r="O27" s="592"/>
      <c r="P27" s="592"/>
      <c r="Q27" s="595">
        <f>SUMPRODUCT($J$5:$P$5,J27:P27)</f>
        <v>0</v>
      </c>
    </row>
    <row r="28" spans="2:17" ht="14.4">
      <c r="B28" s="635" t="s">
        <v>976</v>
      </c>
      <c r="C28" s="634"/>
      <c r="D28" s="634"/>
      <c r="E28" s="634"/>
      <c r="F28" s="634"/>
      <c r="G28" s="634"/>
      <c r="H28" s="631">
        <v>1.4</v>
      </c>
      <c r="I28" s="632">
        <f t="shared" si="4"/>
        <v>0</v>
      </c>
      <c r="J28" s="592"/>
      <c r="K28" s="592"/>
      <c r="L28" s="592"/>
      <c r="M28" s="592"/>
      <c r="N28" s="592"/>
      <c r="O28" s="592"/>
      <c r="P28" s="592"/>
      <c r="Q28" s="595">
        <f t="shared" ref="Q28:Q29" si="11">SUMPRODUCT($J$5:$P$5,J28:P28)</f>
        <v>0</v>
      </c>
    </row>
    <row r="29" spans="2:17" ht="14.4">
      <c r="B29" s="635" t="s">
        <v>977</v>
      </c>
      <c r="C29" s="634"/>
      <c r="D29" s="634"/>
      <c r="E29" s="634"/>
      <c r="F29" s="634"/>
      <c r="G29" s="634"/>
      <c r="H29" s="631">
        <v>1.4</v>
      </c>
      <c r="I29" s="632">
        <f t="shared" si="4"/>
        <v>0</v>
      </c>
      <c r="J29" s="592"/>
      <c r="K29" s="592"/>
      <c r="L29" s="592"/>
      <c r="M29" s="592"/>
      <c r="N29" s="592"/>
      <c r="O29" s="592"/>
      <c r="P29" s="592"/>
      <c r="Q29" s="595">
        <f t="shared" si="11"/>
        <v>0</v>
      </c>
    </row>
    <row r="30" spans="2:17" ht="14.4">
      <c r="B30" s="636" t="s">
        <v>993</v>
      </c>
      <c r="C30" s="634"/>
      <c r="D30" s="634"/>
      <c r="E30" s="634"/>
      <c r="F30" s="634"/>
      <c r="G30" s="634"/>
      <c r="H30" s="631">
        <v>1.4</v>
      </c>
      <c r="I30" s="632">
        <f t="shared" si="4"/>
        <v>0</v>
      </c>
      <c r="J30" s="592"/>
      <c r="K30" s="592"/>
      <c r="L30" s="592"/>
      <c r="M30" s="592"/>
      <c r="N30" s="592"/>
      <c r="O30" s="592"/>
      <c r="P30" s="592"/>
      <c r="Q30" s="595">
        <f>SUM(Q31:Q33)</f>
        <v>0</v>
      </c>
    </row>
    <row r="31" spans="2:17" ht="14.4">
      <c r="B31" s="635" t="s">
        <v>975</v>
      </c>
      <c r="C31" s="634"/>
      <c r="D31" s="634"/>
      <c r="E31" s="634"/>
      <c r="F31" s="634"/>
      <c r="G31" s="634"/>
      <c r="H31" s="631">
        <v>1.4</v>
      </c>
      <c r="I31" s="632">
        <f t="shared" si="4"/>
        <v>0</v>
      </c>
      <c r="J31" s="592"/>
      <c r="K31" s="592"/>
      <c r="L31" s="592"/>
      <c r="M31" s="592"/>
      <c r="N31" s="592"/>
      <c r="O31" s="592"/>
      <c r="P31" s="592"/>
      <c r="Q31" s="595">
        <f>SUMPRODUCT($J$5:$P$5,J31:P31)</f>
        <v>0</v>
      </c>
    </row>
    <row r="32" spans="2:17" ht="14.4">
      <c r="B32" s="635" t="s">
        <v>976</v>
      </c>
      <c r="C32" s="634"/>
      <c r="D32" s="634"/>
      <c r="E32" s="634"/>
      <c r="F32" s="634"/>
      <c r="G32" s="634"/>
      <c r="H32" s="631">
        <v>1.4</v>
      </c>
      <c r="I32" s="632">
        <f t="shared" si="4"/>
        <v>0</v>
      </c>
      <c r="J32" s="592"/>
      <c r="K32" s="592"/>
      <c r="L32" s="592"/>
      <c r="M32" s="592"/>
      <c r="N32" s="592"/>
      <c r="O32" s="592"/>
      <c r="P32" s="592"/>
      <c r="Q32" s="595">
        <f t="shared" ref="Q32:Q33" si="12">SUMPRODUCT($J$5:$P$5,J32:P32)</f>
        <v>0</v>
      </c>
    </row>
    <row r="33" spans="2:17" ht="14.4">
      <c r="B33" s="635" t="s">
        <v>977</v>
      </c>
      <c r="C33" s="634"/>
      <c r="D33" s="634"/>
      <c r="E33" s="634"/>
      <c r="F33" s="634"/>
      <c r="G33" s="634"/>
      <c r="H33" s="631">
        <v>1.4</v>
      </c>
      <c r="I33" s="632">
        <f t="shared" si="4"/>
        <v>0</v>
      </c>
      <c r="J33" s="592"/>
      <c r="K33" s="592"/>
      <c r="L33" s="592"/>
      <c r="M33" s="592"/>
      <c r="N33" s="592"/>
      <c r="O33" s="592"/>
      <c r="P33" s="592"/>
      <c r="Q33" s="595">
        <f t="shared" si="12"/>
        <v>0</v>
      </c>
    </row>
    <row r="34" spans="2:17" ht="14.4">
      <c r="B34" s="637" t="s">
        <v>66</v>
      </c>
      <c r="C34" s="638">
        <f>C6</f>
        <v>412455000</v>
      </c>
      <c r="D34" s="638">
        <f t="shared" ref="D34:G34" si="13">D6</f>
        <v>508289.5350056719</v>
      </c>
      <c r="E34" s="638">
        <f t="shared" si="13"/>
        <v>0</v>
      </c>
      <c r="F34" s="638">
        <f t="shared" si="13"/>
        <v>931.24931462947279</v>
      </c>
      <c r="G34" s="638">
        <f t="shared" si="13"/>
        <v>3758882.951846499</v>
      </c>
      <c r="H34" s="631">
        <v>1.4</v>
      </c>
      <c r="I34" s="632">
        <f>(F34+G34)*H34</f>
        <v>5263739.8816255797</v>
      </c>
      <c r="J34" s="638">
        <f t="shared" ref="J34:Q34" si="14">J6</f>
        <v>0</v>
      </c>
      <c r="K34" s="638">
        <f t="shared" si="14"/>
        <v>0</v>
      </c>
      <c r="L34" s="638">
        <f t="shared" si="14"/>
        <v>0</v>
      </c>
      <c r="M34" s="638">
        <f t="shared" si="14"/>
        <v>5056007.0903711952</v>
      </c>
      <c r="N34" s="638">
        <f t="shared" si="14"/>
        <v>0</v>
      </c>
      <c r="O34" s="638">
        <f t="shared" si="14"/>
        <v>0</v>
      </c>
      <c r="P34" s="638">
        <f t="shared" si="14"/>
        <v>0</v>
      </c>
      <c r="Q34" s="638">
        <f t="shared" si="14"/>
        <v>2528003.5451855976</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I53"/>
  <sheetViews>
    <sheetView zoomScale="80" zoomScaleNormal="80" workbookViewId="0">
      <pane xSplit="1" ySplit="5" topLeftCell="B30" activePane="bottomRight" state="frozen"/>
      <selection pane="topRight" activeCell="B1" sqref="B1"/>
      <selection pane="bottomLeft" activeCell="A6" sqref="A6"/>
      <selection pane="bottomRight" activeCell="C48" sqref="C48:C50"/>
    </sheetView>
  </sheetViews>
  <sheetFormatPr defaultRowHeight="14.4"/>
  <cols>
    <col min="1" max="1" width="9.5546875" style="14" bestFit="1" customWidth="1"/>
    <col min="2" max="2" width="88.33203125" style="12" customWidth="1"/>
    <col min="3" max="3" width="12.77734375" style="12" customWidth="1"/>
    <col min="4" max="7" width="12.77734375" style="1" customWidth="1"/>
    <col min="8" max="8" width="6.77734375" customWidth="1"/>
    <col min="9" max="9" width="13.5546875" customWidth="1"/>
  </cols>
  <sheetData>
    <row r="1" spans="1:7">
      <c r="A1" s="13" t="s">
        <v>97</v>
      </c>
      <c r="B1" s="248" t="str">
        <f>Info!C2</f>
        <v>სს "კრედო ბანკი"</v>
      </c>
    </row>
    <row r="2" spans="1:7">
      <c r="A2" s="13" t="s">
        <v>98</v>
      </c>
      <c r="B2" s="276">
        <v>46022</v>
      </c>
    </row>
    <row r="3" spans="1:7" ht="15" thickBot="1">
      <c r="A3" s="13"/>
    </row>
    <row r="4" spans="1:7" ht="15" customHeight="1" thickBot="1">
      <c r="A4" s="31" t="s">
        <v>241</v>
      </c>
      <c r="B4" s="113" t="s">
        <v>128</v>
      </c>
      <c r="C4" s="114"/>
      <c r="D4" s="772" t="s">
        <v>903</v>
      </c>
      <c r="E4" s="773"/>
      <c r="F4" s="773"/>
      <c r="G4" s="774"/>
    </row>
    <row r="5" spans="1:7">
      <c r="A5" s="171" t="s">
        <v>25</v>
      </c>
      <c r="B5" s="172"/>
      <c r="C5" s="265" t="str">
        <f>INT((MONTH($B$2))/3)&amp;"Q"&amp;"-"&amp;YEAR($B$2)</f>
        <v>4Q-2025</v>
      </c>
      <c r="D5" s="265" t="str">
        <f>IF(INT(MONTH($B$2))=3, "4"&amp;"Q"&amp;"-"&amp;YEAR($B$2)-1, IF(INT(MONTH($B$2))=6, "1"&amp;"Q"&amp;"-"&amp;YEAR($B$2), IF(INT(MONTH($B$2))=9, "2"&amp;"Q"&amp;"-"&amp;YEAR($B$2),IF(INT(MONTH($B$2))=12, "3"&amp;"Q"&amp;"-"&amp;YEAR($B$2), 0))))</f>
        <v>3Q-2025</v>
      </c>
      <c r="E5" s="265" t="str">
        <f>IF(INT(MONTH($B$2))=3, "3"&amp;"Q"&amp;"-"&amp;YEAR($B$2)-1, IF(INT(MONTH($B$2))=6, "4"&amp;"Q"&amp;"-"&amp;YEAR($B$2)-1, IF(INT(MONTH($B$2))=9, "1"&amp;"Q"&amp;"-"&amp;YEAR($B$2),IF(INT(MONTH($B$2))=12, "2"&amp;"Q"&amp;"-"&amp;YEAR($B$2), 0))))</f>
        <v>2Q-2025</v>
      </c>
      <c r="F5" s="265" t="str">
        <f>IF(INT(MONTH($B$2))=3, "2"&amp;"Q"&amp;"-"&amp;YEAR($B$2)-1, IF(INT(MONTH($B$2))=6, "3"&amp;"Q"&amp;"-"&amp;YEAR($B$2)-1, IF(INT(MONTH($B$2))=9, "4"&amp;"Q"&amp;"-"&amp;YEAR($B$2)-1,IF(INT(MONTH($B$2))=12, "1"&amp;"Q"&amp;"-"&amp;YEAR($B$2), 0))))</f>
        <v>1Q-2025</v>
      </c>
      <c r="G5" s="266" t="str">
        <f>IF(INT(MONTH($B$2))=3, "1"&amp;"Q"&amp;"-"&amp;YEAR($B$2)-1, IF(INT(MONTH($B$2))=6, "2"&amp;"Q"&amp;"-"&amp;YEAR($B$2)-1, IF(INT(MONTH($B$2))=9, "3"&amp;"Q"&amp;"-"&amp;YEAR($B$2)-1,IF(INT(MONTH($B$2))=12, "4"&amp;"Q"&amp;"-"&amp;YEAR($B$2)-1, 0))))</f>
        <v>4Q-2024</v>
      </c>
    </row>
    <row r="6" spans="1:7">
      <c r="A6" s="267"/>
      <c r="B6" s="268" t="s">
        <v>95</v>
      </c>
      <c r="C6" s="173"/>
      <c r="D6" s="173"/>
      <c r="E6" s="173"/>
      <c r="F6" s="173"/>
      <c r="G6" s="174"/>
    </row>
    <row r="7" spans="1:7">
      <c r="A7" s="267"/>
      <c r="B7" s="269" t="s">
        <v>99</v>
      </c>
      <c r="C7" s="173"/>
      <c r="D7" s="173"/>
      <c r="E7" s="173"/>
      <c r="F7" s="173"/>
      <c r="G7" s="174"/>
    </row>
    <row r="8" spans="1:7">
      <c r="A8" s="252">
        <v>1</v>
      </c>
      <c r="B8" s="253" t="s">
        <v>22</v>
      </c>
      <c r="C8" s="270">
        <v>432248676.96000004</v>
      </c>
      <c r="D8" s="640">
        <v>407515510.73331797</v>
      </c>
      <c r="E8" s="641">
        <v>387976547.78696764</v>
      </c>
      <c r="F8" s="641">
        <v>367975692.77275252</v>
      </c>
      <c r="G8" s="641">
        <v>347648418</v>
      </c>
    </row>
    <row r="9" spans="1:7">
      <c r="A9" s="252">
        <v>2</v>
      </c>
      <c r="B9" s="253" t="s">
        <v>75</v>
      </c>
      <c r="C9" s="270">
        <v>459199676.96000004</v>
      </c>
      <c r="D9" s="640">
        <v>421059510.73331797</v>
      </c>
      <c r="E9" s="641">
        <v>401594547.78696764</v>
      </c>
      <c r="F9" s="641">
        <v>367975692.77275252</v>
      </c>
      <c r="G9" s="641">
        <v>347648418</v>
      </c>
    </row>
    <row r="10" spans="1:7">
      <c r="A10" s="252">
        <v>3</v>
      </c>
      <c r="B10" s="253" t="s">
        <v>74</v>
      </c>
      <c r="C10" s="270">
        <v>594972117.72000003</v>
      </c>
      <c r="D10" s="640">
        <v>530617084.17331797</v>
      </c>
      <c r="E10" s="641">
        <v>497794876.50696766</v>
      </c>
      <c r="F10" s="641">
        <v>466776392.41275251</v>
      </c>
      <c r="G10" s="641">
        <v>448625692.60000002</v>
      </c>
    </row>
    <row r="11" spans="1:7">
      <c r="A11" s="252">
        <v>4</v>
      </c>
      <c r="B11" s="253" t="s">
        <v>414</v>
      </c>
      <c r="C11" s="270">
        <v>379674052</v>
      </c>
      <c r="D11" s="640">
        <v>345466510.85021144</v>
      </c>
      <c r="E11" s="641">
        <v>327030586.23934674</v>
      </c>
      <c r="F11" s="641">
        <v>295817238.88254887</v>
      </c>
      <c r="G11" s="641">
        <v>280283119.22571325</v>
      </c>
    </row>
    <row r="12" spans="1:7">
      <c r="A12" s="252">
        <v>5</v>
      </c>
      <c r="B12" s="253" t="s">
        <v>415</v>
      </c>
      <c r="C12" s="270">
        <v>447887027</v>
      </c>
      <c r="D12" s="640">
        <v>408077160.59795773</v>
      </c>
      <c r="E12" s="641">
        <v>386528799.39315224</v>
      </c>
      <c r="F12" s="641">
        <v>352656781.29268879</v>
      </c>
      <c r="G12" s="641">
        <v>335073041.80542183</v>
      </c>
    </row>
    <row r="13" spans="1:7">
      <c r="A13" s="252">
        <v>6</v>
      </c>
      <c r="B13" s="253" t="s">
        <v>416</v>
      </c>
      <c r="C13" s="270">
        <v>538498131</v>
      </c>
      <c r="D13" s="640">
        <v>491246186.88958108</v>
      </c>
      <c r="E13" s="641">
        <v>465563738.1031093</v>
      </c>
      <c r="F13" s="641">
        <v>428160611.94416159</v>
      </c>
      <c r="G13" s="641">
        <v>407853681.9389714</v>
      </c>
    </row>
    <row r="14" spans="1:7">
      <c r="A14" s="267"/>
      <c r="B14" s="268" t="s">
        <v>418</v>
      </c>
      <c r="C14" s="173"/>
      <c r="D14" s="173"/>
      <c r="E14" s="173"/>
      <c r="F14" s="173"/>
      <c r="G14" s="173"/>
    </row>
    <row r="15" spans="1:7" ht="22.05" customHeight="1">
      <c r="A15" s="252">
        <v>7</v>
      </c>
      <c r="B15" s="253" t="s">
        <v>417</v>
      </c>
      <c r="C15" s="271">
        <v>3257318056.8187075</v>
      </c>
      <c r="D15" s="642">
        <v>2989051169.4370937</v>
      </c>
      <c r="E15" s="641">
        <v>2841701328.8094139</v>
      </c>
      <c r="F15" s="641">
        <v>2716844425.002924</v>
      </c>
      <c r="G15" s="641">
        <v>2616819609.5615358</v>
      </c>
    </row>
    <row r="16" spans="1:7">
      <c r="A16" s="267"/>
      <c r="B16" s="268" t="s">
        <v>421</v>
      </c>
      <c r="C16" s="173"/>
      <c r="D16" s="173"/>
      <c r="E16" s="173"/>
      <c r="F16" s="173"/>
      <c r="G16" s="173"/>
    </row>
    <row r="17" spans="1:9">
      <c r="A17" s="252"/>
      <c r="B17" s="269" t="s">
        <v>966</v>
      </c>
      <c r="C17" s="173"/>
      <c r="D17" s="173"/>
      <c r="E17" s="173"/>
      <c r="F17" s="173"/>
      <c r="G17" s="173"/>
    </row>
    <row r="18" spans="1:9">
      <c r="A18" s="252">
        <v>8</v>
      </c>
      <c r="B18" s="253" t="s">
        <v>412</v>
      </c>
      <c r="C18" s="277">
        <v>0.13270078924443751</v>
      </c>
      <c r="D18" s="643">
        <v>0.13633607711374923</v>
      </c>
      <c r="E18" s="644">
        <v>0.13652967110006525</v>
      </c>
      <c r="F18" s="644">
        <v>0.13544231292241052</v>
      </c>
      <c r="G18" s="644">
        <v>0.13285150291970282</v>
      </c>
      <c r="I18" s="675"/>
    </row>
    <row r="19" spans="1:9" ht="15" customHeight="1">
      <c r="A19" s="252">
        <v>9</v>
      </c>
      <c r="B19" s="253" t="s">
        <v>411</v>
      </c>
      <c r="C19" s="277">
        <v>0.14097477401653619</v>
      </c>
      <c r="D19" s="643">
        <v>0.14086728090794545</v>
      </c>
      <c r="E19" s="644">
        <v>0.14132187071018595</v>
      </c>
      <c r="F19" s="644">
        <v>0.13544231292241052</v>
      </c>
      <c r="G19" s="644">
        <v>0.13285150291970282</v>
      </c>
      <c r="I19" s="675"/>
    </row>
    <row r="20" spans="1:9">
      <c r="A20" s="252">
        <v>10</v>
      </c>
      <c r="B20" s="253" t="s">
        <v>413</v>
      </c>
      <c r="C20" s="277">
        <v>0.18265705323878798</v>
      </c>
      <c r="D20" s="643">
        <v>0.17752024107143177</v>
      </c>
      <c r="E20" s="644">
        <v>0.17517494588902788</v>
      </c>
      <c r="F20" s="644">
        <v>0.17180828910078286</v>
      </c>
      <c r="G20" s="644">
        <v>0.17143928873078493</v>
      </c>
      <c r="I20" s="675"/>
    </row>
    <row r="21" spans="1:9">
      <c r="A21" s="252">
        <v>11</v>
      </c>
      <c r="B21" s="253" t="s">
        <v>414</v>
      </c>
      <c r="C21" s="277">
        <v>0.11656032520533549</v>
      </c>
      <c r="D21" s="643">
        <v>0.11557731576581563</v>
      </c>
      <c r="E21" s="644">
        <v>0.11508267351106971</v>
      </c>
      <c r="F21" s="644">
        <v>0.10888265672180043</v>
      </c>
      <c r="G21" s="644">
        <v>0.10710830745364849</v>
      </c>
    </row>
    <row r="22" spans="1:9">
      <c r="A22" s="252">
        <v>12</v>
      </c>
      <c r="B22" s="253" t="s">
        <v>415</v>
      </c>
      <c r="C22" s="277">
        <v>0.13750177882151102</v>
      </c>
      <c r="D22" s="643">
        <v>0.13652397950578007</v>
      </c>
      <c r="E22" s="644">
        <v>0.13602020573889656</v>
      </c>
      <c r="F22" s="644">
        <v>0.12980381874685976</v>
      </c>
      <c r="G22" s="644">
        <v>0.12804590758183576</v>
      </c>
    </row>
    <row r="23" spans="1:9">
      <c r="A23" s="252">
        <v>13</v>
      </c>
      <c r="B23" s="253" t="s">
        <v>416</v>
      </c>
      <c r="C23" s="277">
        <v>0.16531948112120487</v>
      </c>
      <c r="D23" s="643">
        <v>0.16434853705836489</v>
      </c>
      <c r="E23" s="644">
        <v>0.16383274814393189</v>
      </c>
      <c r="F23" s="644">
        <v>0.15759482141141154</v>
      </c>
      <c r="G23" s="644">
        <v>0.15585853932945057</v>
      </c>
    </row>
    <row r="24" spans="1:9">
      <c r="A24" s="267"/>
      <c r="B24" s="268" t="s">
        <v>951</v>
      </c>
      <c r="C24" s="173"/>
      <c r="D24" s="173"/>
      <c r="E24" s="173"/>
      <c r="F24" s="173"/>
      <c r="G24" s="173"/>
    </row>
    <row r="25" spans="1:9" ht="27.6">
      <c r="A25" s="252">
        <v>14</v>
      </c>
      <c r="B25" s="253" t="s">
        <v>952</v>
      </c>
      <c r="C25" s="676"/>
      <c r="D25" s="645"/>
      <c r="E25" s="646"/>
      <c r="F25" s="646"/>
      <c r="G25" s="646"/>
    </row>
    <row r="26" spans="1:9">
      <c r="A26" s="267"/>
      <c r="B26" s="268" t="s">
        <v>6</v>
      </c>
      <c r="C26" s="173"/>
      <c r="D26" s="173"/>
      <c r="E26" s="173"/>
      <c r="F26" s="173"/>
      <c r="G26" s="173"/>
    </row>
    <row r="27" spans="1:9" ht="15" customHeight="1">
      <c r="A27" s="272">
        <v>15</v>
      </c>
      <c r="B27" s="273" t="s">
        <v>7</v>
      </c>
      <c r="C27" s="677">
        <v>0.189347410562761</v>
      </c>
      <c r="D27" s="647">
        <v>0.19100533529945291</v>
      </c>
      <c r="E27" s="648">
        <v>0.19332707095256682</v>
      </c>
      <c r="F27" s="648">
        <v>0.19528817622938224</v>
      </c>
      <c r="G27" s="648">
        <v>0.19204370446303029</v>
      </c>
    </row>
    <row r="28" spans="1:9">
      <c r="A28" s="272">
        <v>16</v>
      </c>
      <c r="B28" s="273" t="s">
        <v>8</v>
      </c>
      <c r="C28" s="677">
        <v>7.8047299655896366E-2</v>
      </c>
      <c r="D28" s="647">
        <v>7.7992364859775773E-2</v>
      </c>
      <c r="E28" s="648">
        <v>7.7003161677604293E-2</v>
      </c>
      <c r="F28" s="648">
        <v>7.6818069452227314E-2</v>
      </c>
      <c r="G28" s="648">
        <v>8.0465659644047338E-2</v>
      </c>
    </row>
    <row r="29" spans="1:9">
      <c r="A29" s="272">
        <v>17</v>
      </c>
      <c r="B29" s="273" t="s">
        <v>9</v>
      </c>
      <c r="C29" s="677">
        <v>6.2640050920558868E-2</v>
      </c>
      <c r="D29" s="647">
        <v>6.4543190408098985E-2</v>
      </c>
      <c r="E29" s="648">
        <v>6.6764903738628034E-2</v>
      </c>
      <c r="F29" s="648">
        <v>6.8826707639056003E-2</v>
      </c>
      <c r="G29" s="648">
        <v>5.8738835083216256E-2</v>
      </c>
    </row>
    <row r="30" spans="1:9">
      <c r="A30" s="272">
        <v>18</v>
      </c>
      <c r="B30" s="273" t="s">
        <v>129</v>
      </c>
      <c r="C30" s="677">
        <v>0.11129858693752</v>
      </c>
      <c r="D30" s="647">
        <v>0.11301297043967715</v>
      </c>
      <c r="E30" s="648">
        <v>0.11632390927496254</v>
      </c>
      <c r="F30" s="648">
        <v>0.11847010677715493</v>
      </c>
      <c r="G30" s="648">
        <v>0.11157804481898295</v>
      </c>
    </row>
    <row r="31" spans="1:9">
      <c r="A31" s="272">
        <v>19</v>
      </c>
      <c r="B31" s="273" t="s">
        <v>10</v>
      </c>
      <c r="C31" s="677">
        <v>2.728001582412631E-2</v>
      </c>
      <c r="D31" s="647">
        <v>2.6117410182600317E-2</v>
      </c>
      <c r="E31" s="648">
        <v>2.5639697424846935E-2</v>
      </c>
      <c r="F31" s="648">
        <v>2.8360921108693708E-2</v>
      </c>
      <c r="G31" s="648">
        <v>2.5309343339078742E-2</v>
      </c>
    </row>
    <row r="32" spans="1:9">
      <c r="A32" s="272">
        <v>20</v>
      </c>
      <c r="B32" s="273" t="s">
        <v>11</v>
      </c>
      <c r="C32" s="677">
        <v>0.21964725003694974</v>
      </c>
      <c r="D32" s="647">
        <v>0.20998718927537352</v>
      </c>
      <c r="E32" s="648">
        <v>0.20571416277916466</v>
      </c>
      <c r="F32" s="648">
        <v>0.22641363004890966</v>
      </c>
      <c r="G32" s="648">
        <v>0.20421646619790493</v>
      </c>
    </row>
    <row r="33" spans="1:7">
      <c r="A33" s="267"/>
      <c r="B33" s="268" t="s">
        <v>12</v>
      </c>
      <c r="C33" s="173"/>
      <c r="D33" s="173"/>
      <c r="E33" s="173"/>
      <c r="F33" s="173"/>
      <c r="G33" s="173"/>
    </row>
    <row r="34" spans="1:7">
      <c r="A34" s="272">
        <v>21</v>
      </c>
      <c r="B34" s="273" t="s">
        <v>13</v>
      </c>
      <c r="C34" s="677">
        <v>7.4721110846397215E-3</v>
      </c>
      <c r="D34" s="677">
        <v>8.8900369474808651E-3</v>
      </c>
      <c r="E34" s="647">
        <v>9.6304963828985814E-3</v>
      </c>
      <c r="F34" s="648">
        <v>7.608974533531084E-3</v>
      </c>
      <c r="G34" s="648">
        <v>8.0393354016192221E-3</v>
      </c>
    </row>
    <row r="35" spans="1:7" ht="15" customHeight="1">
      <c r="A35" s="272">
        <v>22</v>
      </c>
      <c r="B35" s="273" t="s">
        <v>916</v>
      </c>
      <c r="C35" s="677">
        <v>2.1710368413580514E-2</v>
      </c>
      <c r="D35" s="677">
        <v>2.3854461028989898E-2</v>
      </c>
      <c r="E35" s="647">
        <v>2.4218495933569111E-2</v>
      </c>
      <c r="F35" s="648">
        <v>2.2351396139721494E-2</v>
      </c>
      <c r="G35" s="648">
        <v>2.0721242376222759E-2</v>
      </c>
    </row>
    <row r="36" spans="1:7">
      <c r="A36" s="272">
        <v>23</v>
      </c>
      <c r="B36" s="273" t="s">
        <v>14</v>
      </c>
      <c r="C36" s="677">
        <v>0.10553754595913843</v>
      </c>
      <c r="D36" s="677">
        <v>0.10483005715849104</v>
      </c>
      <c r="E36" s="647">
        <v>0.10202260530010368</v>
      </c>
      <c r="F36" s="648">
        <v>0.10079318721264928</v>
      </c>
      <c r="G36" s="648">
        <v>0.1037553386179081</v>
      </c>
    </row>
    <row r="37" spans="1:7" ht="15" customHeight="1">
      <c r="A37" s="272">
        <v>24</v>
      </c>
      <c r="B37" s="273" t="s">
        <v>15</v>
      </c>
      <c r="C37" s="677">
        <v>0.15385412238763405</v>
      </c>
      <c r="D37" s="677">
        <v>0.16560729840761365</v>
      </c>
      <c r="E37" s="647">
        <v>0.1421135265673365</v>
      </c>
      <c r="F37" s="648">
        <v>0.13854944490065235</v>
      </c>
      <c r="G37" s="648">
        <v>0.14983819609067697</v>
      </c>
    </row>
    <row r="38" spans="1:7">
      <c r="A38" s="272">
        <v>25</v>
      </c>
      <c r="B38" s="273" t="s">
        <v>16</v>
      </c>
      <c r="C38" s="677">
        <v>0.23448532266881417</v>
      </c>
      <c r="D38" s="677">
        <v>0.15105222642033289</v>
      </c>
      <c r="E38" s="647">
        <v>9.1649319680043195E-2</v>
      </c>
      <c r="F38" s="648">
        <v>3.5511579153565176E-2</v>
      </c>
      <c r="G38" s="648">
        <v>0.25552711778765769</v>
      </c>
    </row>
    <row r="39" spans="1:7" ht="15" customHeight="1">
      <c r="A39" s="267"/>
      <c r="B39" s="268" t="s">
        <v>17</v>
      </c>
      <c r="C39" s="173"/>
      <c r="D39" s="173"/>
      <c r="E39" s="173"/>
      <c r="F39" s="173"/>
      <c r="G39" s="173"/>
    </row>
    <row r="40" spans="1:7" ht="15" customHeight="1">
      <c r="A40" s="272">
        <v>26</v>
      </c>
      <c r="B40" s="273" t="s">
        <v>18</v>
      </c>
      <c r="C40" s="714">
        <v>0.13255580313065779</v>
      </c>
      <c r="D40" s="647">
        <v>0.11610159083557653</v>
      </c>
      <c r="E40" s="647">
        <v>0.12607274742867008</v>
      </c>
      <c r="F40" s="647">
        <v>9.998351951010695E-2</v>
      </c>
      <c r="G40" s="647">
        <v>0.10456548349032237</v>
      </c>
    </row>
    <row r="41" spans="1:7" ht="15" customHeight="1">
      <c r="A41" s="272">
        <v>27</v>
      </c>
      <c r="B41" s="273" t="s">
        <v>19</v>
      </c>
      <c r="C41" s="677">
        <v>0.29472987017321994</v>
      </c>
      <c r="D41" s="647">
        <v>0.27861079501586511</v>
      </c>
      <c r="E41" s="647">
        <v>0.29363022332181665</v>
      </c>
      <c r="F41" s="647">
        <v>0.28190544393189232</v>
      </c>
      <c r="G41" s="647">
        <v>0.27011406939338301</v>
      </c>
    </row>
    <row r="42" spans="1:7" ht="15" customHeight="1">
      <c r="A42" s="272">
        <v>28</v>
      </c>
      <c r="B42" s="274" t="s">
        <v>20</v>
      </c>
      <c r="C42" s="677">
        <v>0.13029340827766825</v>
      </c>
      <c r="D42" s="647">
        <v>0.1260631759024764</v>
      </c>
      <c r="E42" s="647">
        <v>0.11679645504787096</v>
      </c>
      <c r="F42" s="647">
        <v>0.11421871307533431</v>
      </c>
      <c r="G42" s="647">
        <v>0.12767708937365424</v>
      </c>
    </row>
    <row r="43" spans="1:7" ht="15" customHeight="1">
      <c r="A43" s="275"/>
      <c r="B43" s="268" t="s">
        <v>344</v>
      </c>
      <c r="C43" s="173"/>
      <c r="D43" s="173"/>
      <c r="E43" s="173"/>
      <c r="F43" s="173"/>
      <c r="G43" s="173"/>
    </row>
    <row r="44" spans="1:7" ht="15" customHeight="1">
      <c r="A44" s="272">
        <v>29</v>
      </c>
      <c r="B44" s="314" t="s">
        <v>328</v>
      </c>
      <c r="C44" s="713">
        <v>545781804.70498872</v>
      </c>
      <c r="D44" s="713">
        <v>512120895.02282596</v>
      </c>
      <c r="E44" s="649">
        <v>424668688.78186804</v>
      </c>
      <c r="F44" s="650">
        <v>345796040.55633342</v>
      </c>
      <c r="G44" s="650">
        <v>384232329.62311006</v>
      </c>
    </row>
    <row r="45" spans="1:7">
      <c r="A45" s="272">
        <v>30</v>
      </c>
      <c r="B45" s="273" t="s">
        <v>329</v>
      </c>
      <c r="C45" s="713">
        <v>344821573.04741859</v>
      </c>
      <c r="D45" s="713">
        <v>346530349.86430192</v>
      </c>
      <c r="E45" s="649">
        <v>320037655.96559638</v>
      </c>
      <c r="F45" s="651">
        <v>274703477.41600484</v>
      </c>
      <c r="G45" s="651">
        <v>245408656.99990946</v>
      </c>
    </row>
    <row r="46" spans="1:7">
      <c r="A46" s="311">
        <v>31</v>
      </c>
      <c r="B46" s="312" t="s">
        <v>327</v>
      </c>
      <c r="C46" s="714">
        <v>1.5827948346779765</v>
      </c>
      <c r="D46" s="714">
        <v>1.4778529361811101</v>
      </c>
      <c r="E46" s="652">
        <v>1.3269335056857163</v>
      </c>
      <c r="F46" s="647">
        <v>1.2587974633923822</v>
      </c>
      <c r="G46" s="647">
        <v>1.5656836817425386</v>
      </c>
    </row>
    <row r="47" spans="1:7">
      <c r="A47" s="311"/>
      <c r="B47" s="268" t="s">
        <v>422</v>
      </c>
      <c r="C47" s="173"/>
      <c r="D47" s="173"/>
      <c r="E47" s="173"/>
      <c r="F47" s="173"/>
      <c r="G47" s="173"/>
    </row>
    <row r="48" spans="1:7">
      <c r="A48" s="311">
        <v>32</v>
      </c>
      <c r="B48" s="312" t="s">
        <v>429</v>
      </c>
      <c r="C48" s="313">
        <v>2931103746.7663841</v>
      </c>
      <c r="D48" s="313">
        <v>2687495564.27</v>
      </c>
      <c r="E48" s="653">
        <v>2559665228.5770578</v>
      </c>
      <c r="F48" s="654">
        <v>2311402468.1668806</v>
      </c>
      <c r="G48" s="654">
        <v>2314663069.089488</v>
      </c>
    </row>
    <row r="49" spans="1:7">
      <c r="A49" s="311">
        <v>33</v>
      </c>
      <c r="B49" s="312" t="s">
        <v>442</v>
      </c>
      <c r="C49" s="313">
        <v>2350925286.1675072</v>
      </c>
      <c r="D49" s="313">
        <v>2189643035.6148629</v>
      </c>
      <c r="E49" s="653">
        <v>2071267650.1338389</v>
      </c>
      <c r="F49" s="654">
        <v>1953393297.8604517</v>
      </c>
      <c r="G49" s="654">
        <v>1877689961.4497709</v>
      </c>
    </row>
    <row r="50" spans="1:7" ht="15" thickBot="1">
      <c r="A50" s="60">
        <v>34</v>
      </c>
      <c r="B50" s="136" t="s">
        <v>456</v>
      </c>
      <c r="C50" s="678">
        <v>1.2467872815918737</v>
      </c>
      <c r="D50" s="678">
        <v>1.2273669819954638</v>
      </c>
      <c r="E50" s="655">
        <v>1.2357964594347139</v>
      </c>
      <c r="F50" s="656">
        <v>1.1832755189129376</v>
      </c>
      <c r="G50" s="656">
        <v>1.2327454159680078</v>
      </c>
    </row>
    <row r="51" spans="1:7">
      <c r="A51" s="15"/>
    </row>
    <row r="52" spans="1:7">
      <c r="B52" s="17"/>
    </row>
    <row r="53" spans="1:7" ht="69">
      <c r="B53" s="211"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topLeftCell="A13" zoomScale="80" zoomScaleNormal="80" workbookViewId="0">
      <selection activeCell="C32" sqref="C32"/>
    </sheetView>
  </sheetViews>
  <sheetFormatPr defaultRowHeight="14.4"/>
  <cols>
    <col min="1" max="1" width="11.44140625" customWidth="1"/>
    <col min="2" max="2" width="76.77734375" style="2" customWidth="1"/>
    <col min="3" max="3" width="22.77734375" customWidth="1"/>
  </cols>
  <sheetData>
    <row r="1" spans="1:3">
      <c r="A1" s="1" t="s">
        <v>97</v>
      </c>
      <c r="B1" t="str">
        <f>Info!C2</f>
        <v>სს "კრედო ბანკი"</v>
      </c>
    </row>
    <row r="2" spans="1:3">
      <c r="A2" s="1" t="s">
        <v>98</v>
      </c>
      <c r="B2" s="276">
        <f>'1. key ratios'!B2</f>
        <v>46022</v>
      </c>
    </row>
    <row r="3" spans="1:3">
      <c r="A3" s="1"/>
      <c r="B3"/>
    </row>
    <row r="4" spans="1:3">
      <c r="A4" s="1" t="s">
        <v>406</v>
      </c>
      <c r="B4" t="s">
        <v>375</v>
      </c>
    </row>
    <row r="5" spans="1:3">
      <c r="A5" s="599"/>
      <c r="B5" s="599" t="s">
        <v>376</v>
      </c>
      <c r="C5" s="600"/>
    </row>
    <row r="6" spans="1:3">
      <c r="A6" s="601">
        <v>1</v>
      </c>
      <c r="B6" s="602" t="s">
        <v>376</v>
      </c>
      <c r="C6" s="603">
        <f>'2. SOFP'!E69</f>
        <v>3902634851.4246502</v>
      </c>
    </row>
    <row r="7" spans="1:3">
      <c r="A7" s="601">
        <v>2</v>
      </c>
      <c r="B7" s="602" t="s">
        <v>377</v>
      </c>
      <c r="C7" s="603">
        <f>'9. Capital'!C15</f>
        <v>40661045</v>
      </c>
    </row>
    <row r="8" spans="1:3">
      <c r="A8" s="604">
        <v>3</v>
      </c>
      <c r="B8" s="605" t="s">
        <v>378</v>
      </c>
      <c r="C8" s="606">
        <f>C6-C7</f>
        <v>3861973806.4246502</v>
      </c>
    </row>
    <row r="9" spans="1:3">
      <c r="A9" s="607"/>
      <c r="B9" s="607" t="s">
        <v>379</v>
      </c>
      <c r="C9" s="608"/>
    </row>
    <row r="10" spans="1:3">
      <c r="A10" s="609">
        <v>4</v>
      </c>
      <c r="B10" s="610" t="s">
        <v>380</v>
      </c>
      <c r="C10" s="603">
        <f>'15. CCR'!F34</f>
        <v>931.24931462947279</v>
      </c>
    </row>
    <row r="11" spans="1:3">
      <c r="A11" s="609">
        <v>5</v>
      </c>
      <c r="B11" s="611" t="s">
        <v>381</v>
      </c>
      <c r="C11" s="603">
        <f>'15. CCR'!G34</f>
        <v>3758882.951846499</v>
      </c>
    </row>
    <row r="12" spans="1:3">
      <c r="A12" s="609">
        <v>6</v>
      </c>
      <c r="B12" s="612" t="s">
        <v>978</v>
      </c>
      <c r="C12" s="606">
        <f>'15. CCR'!I34</f>
        <v>5263739.8816255797</v>
      </c>
    </row>
    <row r="13" spans="1:3">
      <c r="A13" s="613">
        <v>7</v>
      </c>
      <c r="B13" s="614" t="s">
        <v>382</v>
      </c>
      <c r="C13" s="603">
        <f>'15. CCR'!E34</f>
        <v>0</v>
      </c>
    </row>
    <row r="14" spans="1:3">
      <c r="A14" s="615">
        <v>8</v>
      </c>
      <c r="B14" s="616" t="s">
        <v>383</v>
      </c>
      <c r="C14" s="606">
        <f>C12</f>
        <v>5263739.8816255797</v>
      </c>
    </row>
    <row r="15" spans="1:3">
      <c r="A15" s="607"/>
      <c r="B15" s="607" t="s">
        <v>384</v>
      </c>
      <c r="C15" s="617"/>
    </row>
    <row r="16" spans="1:3">
      <c r="A16" s="613">
        <v>9</v>
      </c>
      <c r="B16" s="618" t="s">
        <v>385</v>
      </c>
      <c r="C16" s="603"/>
    </row>
    <row r="17" spans="1:3">
      <c r="A17" s="609">
        <v>10</v>
      </c>
      <c r="B17" s="602" t="s">
        <v>386</v>
      </c>
      <c r="C17" s="603"/>
    </row>
    <row r="18" spans="1:3">
      <c r="A18" s="609">
        <v>11</v>
      </c>
      <c r="B18" s="602" t="s">
        <v>387</v>
      </c>
      <c r="C18" s="603"/>
    </row>
    <row r="19" spans="1:3" ht="22.8">
      <c r="A19" s="613">
        <v>12</v>
      </c>
      <c r="B19" s="618" t="s">
        <v>388</v>
      </c>
      <c r="C19" s="603"/>
    </row>
    <row r="20" spans="1:3">
      <c r="A20" s="613">
        <v>13</v>
      </c>
      <c r="B20" s="618" t="s">
        <v>389</v>
      </c>
      <c r="C20" s="603"/>
    </row>
    <row r="21" spans="1:3">
      <c r="A21" s="613">
        <v>14</v>
      </c>
      <c r="B21" s="602" t="s">
        <v>390</v>
      </c>
      <c r="C21" s="603"/>
    </row>
    <row r="22" spans="1:3">
      <c r="A22" s="615">
        <v>15</v>
      </c>
      <c r="B22" s="616" t="s">
        <v>391</v>
      </c>
      <c r="C22" s="606">
        <f>SUM(C16:C21)</f>
        <v>0</v>
      </c>
    </row>
    <row r="23" spans="1:3">
      <c r="A23" s="607"/>
      <c r="B23" s="607" t="s">
        <v>392</v>
      </c>
      <c r="C23" s="608"/>
    </row>
    <row r="24" spans="1:3">
      <c r="A24" s="609">
        <v>16</v>
      </c>
      <c r="B24" s="602" t="s">
        <v>393</v>
      </c>
      <c r="C24" s="603">
        <v>444848817</v>
      </c>
    </row>
    <row r="25" spans="1:3">
      <c r="A25" s="609">
        <v>17</v>
      </c>
      <c r="B25" s="602" t="s">
        <v>394</v>
      </c>
      <c r="C25" s="721">
        <v>-322700796.69999999</v>
      </c>
    </row>
    <row r="26" spans="1:3">
      <c r="A26" s="615">
        <v>18</v>
      </c>
      <c r="B26" s="616" t="s">
        <v>395</v>
      </c>
      <c r="C26" s="606">
        <f>C24+C25</f>
        <v>122148020.30000001</v>
      </c>
    </row>
    <row r="27" spans="1:3">
      <c r="A27" s="607"/>
      <c r="B27" s="607" t="s">
        <v>396</v>
      </c>
      <c r="C27" s="617"/>
    </row>
    <row r="28" spans="1:3">
      <c r="A28" s="609">
        <v>19</v>
      </c>
      <c r="B28" s="602" t="s">
        <v>397</v>
      </c>
      <c r="C28" s="603"/>
    </row>
    <row r="29" spans="1:3">
      <c r="A29" s="609">
        <v>20</v>
      </c>
      <c r="B29" s="602" t="s">
        <v>398</v>
      </c>
      <c r="C29" s="603"/>
    </row>
    <row r="30" spans="1:3">
      <c r="A30" s="607"/>
      <c r="B30" s="607" t="s">
        <v>399</v>
      </c>
      <c r="C30" s="608"/>
    </row>
    <row r="31" spans="1:3">
      <c r="A31" s="615">
        <v>21</v>
      </c>
      <c r="B31" s="616" t="s">
        <v>75</v>
      </c>
      <c r="C31" s="606">
        <f>'1. key ratios'!C9</f>
        <v>459199676.96000004</v>
      </c>
    </row>
    <row r="32" spans="1:3">
      <c r="A32" s="615">
        <v>22</v>
      </c>
      <c r="B32" s="616" t="s">
        <v>400</v>
      </c>
      <c r="C32" s="606">
        <f>C8+C14+C22+C26</f>
        <v>3989385566.606276</v>
      </c>
    </row>
    <row r="33" spans="1:3">
      <c r="A33" s="619"/>
      <c r="B33" s="619" t="s">
        <v>375</v>
      </c>
      <c r="C33" s="608"/>
    </row>
    <row r="34" spans="1:3">
      <c r="A34" s="615">
        <v>23</v>
      </c>
      <c r="B34" s="616" t="s">
        <v>375</v>
      </c>
      <c r="C34" s="722">
        <f>IFERROR(C31/C32,0)</f>
        <v>0.11510536379431378</v>
      </c>
    </row>
    <row r="35" spans="1:3">
      <c r="A35" s="619"/>
      <c r="B35" s="619" t="s">
        <v>401</v>
      </c>
      <c r="C35" s="608"/>
    </row>
    <row r="36" spans="1:3">
      <c r="A36" s="613" t="s">
        <v>402</v>
      </c>
      <c r="B36" s="618" t="s">
        <v>403</v>
      </c>
      <c r="C36" s="620"/>
    </row>
    <row r="37" spans="1:3">
      <c r="A37" s="621" t="s">
        <v>404</v>
      </c>
      <c r="B37" s="622" t="s">
        <v>405</v>
      </c>
      <c r="C37" s="620"/>
    </row>
    <row r="39" spans="1:3">
      <c r="B39" s="249"/>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12"/>
  <sheetViews>
    <sheetView zoomScale="80" zoomScaleNormal="80" workbookViewId="0">
      <selection activeCell="C7" sqref="C7:C9"/>
    </sheetView>
  </sheetViews>
  <sheetFormatPr defaultRowHeight="14.4"/>
  <cols>
    <col min="1" max="1" width="11.44140625" customWidth="1"/>
    <col min="2" max="2" width="76.77734375" style="2" customWidth="1"/>
    <col min="3" max="6" width="24.44140625" customWidth="1"/>
  </cols>
  <sheetData>
    <row r="1" spans="1:6">
      <c r="A1" s="12" t="s">
        <v>97</v>
      </c>
      <c r="B1">
        <f>[5]Info!C2</f>
        <v>0</v>
      </c>
    </row>
    <row r="2" spans="1:6">
      <c r="A2" s="1" t="s">
        <v>98</v>
      </c>
      <c r="B2" s="276">
        <f>'[5]1. key ratios'!B2</f>
        <v>45747</v>
      </c>
    </row>
    <row r="3" spans="1:6">
      <c r="A3" s="1"/>
      <c r="B3"/>
    </row>
    <row r="4" spans="1:6">
      <c r="A4" s="598" t="s">
        <v>970</v>
      </c>
    </row>
    <row r="5" spans="1:6" ht="86.4">
      <c r="B5" s="592"/>
      <c r="C5" s="593" t="s">
        <v>971</v>
      </c>
      <c r="D5" s="593" t="s">
        <v>972</v>
      </c>
      <c r="E5" s="593" t="s">
        <v>973</v>
      </c>
      <c r="F5" s="593" t="s">
        <v>974</v>
      </c>
    </row>
    <row r="6" spans="1:6">
      <c r="B6" s="594" t="s">
        <v>969</v>
      </c>
      <c r="C6" s="595">
        <f>IF(C7&gt;0,C7,IF(C8&gt;0,C8,IF(C9&gt;0,C9)))</f>
        <v>115243.55197525768</v>
      </c>
      <c r="D6" s="595">
        <f>IF(D7&gt;0,D7,IF(D8&gt;0,D8,IF(D9&gt;0,D9,0)))</f>
        <v>0</v>
      </c>
      <c r="E6" s="595">
        <f>IF(E7&gt;0,E7,IF(E8&gt;0,E8,IF(E9&gt;0,E9,0)))</f>
        <v>0</v>
      </c>
      <c r="F6" s="595">
        <f>IF(F7&gt;0,F7,IF(F8&gt;0,F8,IF(F9&gt;0,F9,0)))</f>
        <v>115243.55197525768</v>
      </c>
    </row>
    <row r="7" spans="1:6">
      <c r="B7" s="596" t="s">
        <v>975</v>
      </c>
      <c r="C7" s="597">
        <v>115243.55197525768</v>
      </c>
      <c r="D7" s="597">
        <v>0</v>
      </c>
      <c r="E7" s="597">
        <v>0</v>
      </c>
      <c r="F7" s="597">
        <f>C7-D7-E7</f>
        <v>115243.55197525768</v>
      </c>
    </row>
    <row r="8" spans="1:6">
      <c r="B8" s="596" t="s">
        <v>976</v>
      </c>
      <c r="C8" s="597">
        <v>526810.44620789995</v>
      </c>
      <c r="D8" s="597">
        <v>0</v>
      </c>
      <c r="E8" s="597">
        <v>0</v>
      </c>
      <c r="F8" s="597">
        <f t="shared" ref="F8:F9" si="0">C8-D8-E8</f>
        <v>526810.44620789995</v>
      </c>
    </row>
    <row r="9" spans="1:6">
      <c r="B9" s="596" t="s">
        <v>977</v>
      </c>
      <c r="C9" s="597">
        <v>543096.96792014677</v>
      </c>
      <c r="D9" s="597">
        <v>0</v>
      </c>
      <c r="E9" s="597">
        <v>0</v>
      </c>
      <c r="F9" s="597">
        <f t="shared" si="0"/>
        <v>543096.96792014677</v>
      </c>
    </row>
    <row r="12" spans="1:6">
      <c r="D12" s="723"/>
      <c r="E12" s="723"/>
      <c r="F12" s="723"/>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J42"/>
  <sheetViews>
    <sheetView zoomScale="80" zoomScaleNormal="80" workbookViewId="0">
      <pane xSplit="2" ySplit="6" topLeftCell="C7" activePane="bottomRight" state="frozen"/>
      <selection pane="topRight" activeCell="C1" sqref="C1"/>
      <selection pane="bottomLeft" activeCell="A7" sqref="A7"/>
      <selection pane="bottomRight" activeCell="C20" sqref="C20:F20"/>
    </sheetView>
  </sheetViews>
  <sheetFormatPr defaultRowHeight="14.4"/>
  <cols>
    <col min="1" max="1" width="9.88671875" style="1" bestFit="1" customWidth="1"/>
    <col min="2" max="2" width="82.6640625" style="17" customWidth="1"/>
    <col min="3" max="7" width="17.5546875" style="1" customWidth="1"/>
    <col min="8" max="9" width="14.77734375" customWidth="1"/>
    <col min="10" max="10" width="16.33203125" bestFit="1" customWidth="1"/>
    <col min="11" max="11" width="11" bestFit="1" customWidth="1"/>
  </cols>
  <sheetData>
    <row r="1" spans="1:10">
      <c r="A1" s="1" t="s">
        <v>97</v>
      </c>
      <c r="B1" s="1" t="str">
        <f>Info!C2</f>
        <v>სს "კრედო ბანკი"</v>
      </c>
    </row>
    <row r="2" spans="1:10">
      <c r="A2" s="1" t="s">
        <v>98</v>
      </c>
      <c r="B2" s="276">
        <f>'1. key ratios'!B2</f>
        <v>46022</v>
      </c>
    </row>
    <row r="3" spans="1:10">
      <c r="B3" s="276"/>
    </row>
    <row r="4" spans="1:10" ht="15" thickBot="1">
      <c r="A4" s="1" t="s">
        <v>457</v>
      </c>
      <c r="B4" s="166" t="s">
        <v>422</v>
      </c>
    </row>
    <row r="5" spans="1:10">
      <c r="A5" s="278"/>
      <c r="B5" s="279"/>
      <c r="C5" s="831" t="s">
        <v>423</v>
      </c>
      <c r="D5" s="831"/>
      <c r="E5" s="831"/>
      <c r="F5" s="831"/>
      <c r="G5" s="832" t="s">
        <v>424</v>
      </c>
    </row>
    <row r="6" spans="1:10">
      <c r="A6" s="280"/>
      <c r="B6" s="281"/>
      <c r="C6" s="282" t="s">
        <v>425</v>
      </c>
      <c r="D6" s="282" t="s">
        <v>426</v>
      </c>
      <c r="E6" s="282" t="s">
        <v>427</v>
      </c>
      <c r="F6" s="282" t="s">
        <v>428</v>
      </c>
      <c r="G6" s="833"/>
      <c r="H6" s="769"/>
      <c r="I6" s="769"/>
    </row>
    <row r="7" spans="1:10">
      <c r="A7" s="283"/>
      <c r="B7" s="284" t="s">
        <v>429</v>
      </c>
      <c r="C7" s="285"/>
      <c r="D7" s="285"/>
      <c r="E7" s="285"/>
      <c r="F7" s="285"/>
      <c r="G7" s="286"/>
      <c r="J7" s="744"/>
    </row>
    <row r="8" spans="1:10">
      <c r="A8" s="287">
        <v>1</v>
      </c>
      <c r="B8" s="288" t="s">
        <v>430</v>
      </c>
      <c r="C8" s="726">
        <f>SUM(C9:C10)</f>
        <v>459199676.96000004</v>
      </c>
      <c r="D8" s="289">
        <f>SUM(D9:D10)</f>
        <v>0</v>
      </c>
      <c r="E8" s="289">
        <f>SUM(E9:E10)</f>
        <v>0</v>
      </c>
      <c r="F8" s="726">
        <f>SUM(F9:F10)</f>
        <v>1312965161.76</v>
      </c>
      <c r="G8" s="296">
        <f>SUM(G9:G10)</f>
        <v>1772164838.72</v>
      </c>
      <c r="J8" s="744"/>
    </row>
    <row r="9" spans="1:10">
      <c r="A9" s="287">
        <v>2</v>
      </c>
      <c r="B9" s="291" t="s">
        <v>74</v>
      </c>
      <c r="C9" s="289">
        <v>459199676.96000004</v>
      </c>
      <c r="D9" s="289"/>
      <c r="E9" s="289"/>
      <c r="F9" s="289">
        <v>135772440.75999999</v>
      </c>
      <c r="G9" s="290">
        <f>C9+F9</f>
        <v>594972117.72000003</v>
      </c>
      <c r="H9" s="747"/>
      <c r="I9" s="747"/>
      <c r="J9" s="747"/>
    </row>
    <row r="10" spans="1:10">
      <c r="A10" s="287">
        <v>3</v>
      </c>
      <c r="B10" s="291" t="s">
        <v>431</v>
      </c>
      <c r="C10" s="292"/>
      <c r="D10" s="292"/>
      <c r="E10" s="292"/>
      <c r="F10" s="289">
        <f>47870339+895414754+233504615+(1129471-726458)</f>
        <v>1177192721</v>
      </c>
      <c r="G10" s="290">
        <f>F10</f>
        <v>1177192721</v>
      </c>
      <c r="H10" s="747"/>
      <c r="I10" s="747"/>
    </row>
    <row r="11" spans="1:10" ht="27.6">
      <c r="A11" s="287">
        <v>4</v>
      </c>
      <c r="B11" s="288" t="s">
        <v>432</v>
      </c>
      <c r="C11" s="726">
        <f t="shared" ref="C11:F11" si="0">SUM(C12:C13)</f>
        <v>396165300</v>
      </c>
      <c r="D11" s="726">
        <f t="shared" si="0"/>
        <v>517494486.62391514</v>
      </c>
      <c r="E11" s="726">
        <f t="shared" si="0"/>
        <v>212083930.55104265</v>
      </c>
      <c r="F11" s="726">
        <f t="shared" si="0"/>
        <v>9240193.108347984</v>
      </c>
      <c r="G11" s="296">
        <f>SUM(G12:G13)</f>
        <v>847655789.79450428</v>
      </c>
      <c r="H11" s="747"/>
      <c r="I11" s="747"/>
      <c r="J11" s="747"/>
    </row>
    <row r="12" spans="1:10">
      <c r="A12" s="287">
        <v>5</v>
      </c>
      <c r="B12" s="291" t="s">
        <v>433</v>
      </c>
      <c r="C12" s="289">
        <v>120994203</v>
      </c>
      <c r="D12" s="293">
        <f>339978006.437556-1360</f>
        <v>339976646.43755603</v>
      </c>
      <c r="E12" s="289">
        <v>154726678.5410406</v>
      </c>
      <c r="F12" s="289">
        <v>6888771.2499619834</v>
      </c>
      <c r="G12" s="290">
        <f>SUM(C12:F12)*0.95</f>
        <v>591456984.26713073</v>
      </c>
      <c r="H12" s="747"/>
      <c r="I12" s="747"/>
    </row>
    <row r="13" spans="1:10">
      <c r="A13" s="287">
        <v>6</v>
      </c>
      <c r="B13" s="291" t="s">
        <v>434</v>
      </c>
      <c r="C13" s="289">
        <v>275171097</v>
      </c>
      <c r="D13" s="293">
        <v>177517840.18635911</v>
      </c>
      <c r="E13" s="289">
        <v>57357252.010002047</v>
      </c>
      <c r="F13" s="289">
        <v>2351421.8583860011</v>
      </c>
      <c r="G13" s="290">
        <f>SUM(C13:F13)*0.5</f>
        <v>256198805.52737358</v>
      </c>
      <c r="H13" s="747"/>
      <c r="I13" s="747"/>
      <c r="J13" s="744"/>
    </row>
    <row r="14" spans="1:10">
      <c r="A14" s="287">
        <v>7</v>
      </c>
      <c r="B14" s="288" t="s">
        <v>435</v>
      </c>
      <c r="C14" s="726">
        <f t="shared" ref="C14:F14" si="1">SUM(C15:C16)</f>
        <v>112323925</v>
      </c>
      <c r="D14" s="726">
        <f t="shared" si="1"/>
        <v>303479773.95630741</v>
      </c>
      <c r="E14" s="726">
        <f t="shared" si="1"/>
        <v>287229551.41481119</v>
      </c>
      <c r="F14" s="726">
        <f t="shared" si="1"/>
        <v>1033070.1445290002</v>
      </c>
      <c r="G14" s="296">
        <f>SUM(G15:G16)</f>
        <v>311283117.91782379</v>
      </c>
      <c r="H14" s="747"/>
      <c r="I14" s="747"/>
    </row>
    <row r="15" spans="1:10" ht="55.2">
      <c r="A15" s="287">
        <v>8</v>
      </c>
      <c r="B15" s="291" t="s">
        <v>436</v>
      </c>
      <c r="C15" s="289">
        <v>112323925</v>
      </c>
      <c r="D15" s="724">
        <v>221979689.2763074</v>
      </c>
      <c r="E15" s="289">
        <v>150459060.41481119</v>
      </c>
      <c r="F15" s="289">
        <v>1033070.1445290002</v>
      </c>
      <c r="G15" s="290">
        <f>SUM(C15:F15)*0.5</f>
        <v>242897872.41782379</v>
      </c>
      <c r="H15" s="747"/>
      <c r="I15" s="747"/>
      <c r="J15" s="746"/>
    </row>
    <row r="16" spans="1:10" ht="27.6">
      <c r="A16" s="287">
        <v>9</v>
      </c>
      <c r="B16" s="291" t="s">
        <v>437</v>
      </c>
      <c r="C16" s="289"/>
      <c r="D16" s="725">
        <f>67207580.68+14292504</f>
        <v>81500084.680000007</v>
      </c>
      <c r="E16" s="289">
        <f>(3267990+94628-6224)+133414097</f>
        <v>136770491</v>
      </c>
      <c r="F16" s="289"/>
      <c r="G16" s="290">
        <f>D16*0%+E16*50%</f>
        <v>68385245.5</v>
      </c>
      <c r="H16" s="747"/>
      <c r="I16" s="747"/>
      <c r="J16" s="747"/>
    </row>
    <row r="17" spans="1:10">
      <c r="A17" s="287">
        <v>10</v>
      </c>
      <c r="B17" s="288" t="s">
        <v>438</v>
      </c>
      <c r="C17" s="289"/>
      <c r="D17" s="293"/>
      <c r="E17" s="289"/>
      <c r="F17" s="289"/>
      <c r="G17" s="290"/>
      <c r="H17" s="747"/>
      <c r="I17" s="747"/>
      <c r="J17" s="747"/>
    </row>
    <row r="18" spans="1:10">
      <c r="A18" s="287">
        <v>11</v>
      </c>
      <c r="B18" s="288" t="s">
        <v>78</v>
      </c>
      <c r="C18" s="726">
        <f>SUM(C19:C20)</f>
        <v>54377551</v>
      </c>
      <c r="D18" s="685">
        <f t="shared" ref="D18:G18" si="2">SUM(D19:D20)</f>
        <v>147611736.517389</v>
      </c>
      <c r="E18" s="726">
        <f t="shared" si="2"/>
        <v>4117404.6174547537</v>
      </c>
      <c r="F18" s="726">
        <f t="shared" si="2"/>
        <v>44652044.02734375</v>
      </c>
      <c r="G18" s="290">
        <f t="shared" si="2"/>
        <v>0</v>
      </c>
      <c r="H18" s="747"/>
      <c r="I18" s="747"/>
      <c r="J18" s="744"/>
    </row>
    <row r="19" spans="1:10">
      <c r="A19" s="287">
        <v>12</v>
      </c>
      <c r="B19" s="291" t="s">
        <v>439</v>
      </c>
      <c r="C19" s="292"/>
      <c r="D19" s="293">
        <v>710699.44</v>
      </c>
      <c r="E19" s="289"/>
      <c r="F19" s="289"/>
      <c r="G19" s="290"/>
      <c r="H19" s="747"/>
      <c r="I19" s="747"/>
      <c r="J19" s="744"/>
    </row>
    <row r="20" spans="1:10" ht="27.6">
      <c r="A20" s="287">
        <v>13</v>
      </c>
      <c r="B20" s="291" t="s">
        <v>440</v>
      </c>
      <c r="C20" s="301">
        <v>54377551</v>
      </c>
      <c r="D20" s="301">
        <f>161193541.077389-14292504</f>
        <v>146901037.077389</v>
      </c>
      <c r="E20" s="301">
        <v>4117404.6174547537</v>
      </c>
      <c r="F20" s="301">
        <v>44652044.02734375</v>
      </c>
      <c r="G20" s="745"/>
      <c r="I20" s="744"/>
      <c r="J20" s="744"/>
    </row>
    <row r="21" spans="1:10">
      <c r="A21" s="294">
        <v>14</v>
      </c>
      <c r="B21" s="295" t="s">
        <v>441</v>
      </c>
      <c r="C21" s="292"/>
      <c r="D21" s="292"/>
      <c r="E21" s="292"/>
      <c r="F21" s="292"/>
      <c r="G21" s="296">
        <f>SUM(G8,G11,G14,G17,G18)</f>
        <v>2931103746.4323282</v>
      </c>
      <c r="J21" s="744"/>
    </row>
    <row r="22" spans="1:10">
      <c r="A22" s="297"/>
      <c r="B22" s="315" t="s">
        <v>442</v>
      </c>
      <c r="C22" s="298"/>
      <c r="D22" s="299"/>
      <c r="E22" s="298"/>
      <c r="F22" s="298"/>
      <c r="G22" s="300"/>
      <c r="I22" s="744"/>
      <c r="J22" s="747"/>
    </row>
    <row r="23" spans="1:10">
      <c r="A23" s="287">
        <v>15</v>
      </c>
      <c r="B23" s="288" t="s">
        <v>310</v>
      </c>
      <c r="C23" s="742">
        <v>387340274.22955298</v>
      </c>
      <c r="D23" s="743">
        <v>230876165.36171299</v>
      </c>
      <c r="E23" s="742">
        <v>34949910.196828201</v>
      </c>
      <c r="F23" s="742">
        <v>43213424.441458903</v>
      </c>
      <c r="G23" s="296">
        <v>13736851.9195117</v>
      </c>
      <c r="J23" s="744"/>
    </row>
    <row r="24" spans="1:10">
      <c r="A24" s="287">
        <v>16</v>
      </c>
      <c r="B24" s="288" t="s">
        <v>443</v>
      </c>
      <c r="C24" s="726">
        <f>SUM(C25:C27,C29,C31)</f>
        <v>1437854.4268523799</v>
      </c>
      <c r="D24" s="685">
        <f t="shared" ref="D24:G24" si="3">SUM(D25:D27,D29,D31)</f>
        <v>556777185.18487263</v>
      </c>
      <c r="E24" s="726">
        <f t="shared" si="3"/>
        <v>470771125.77339441</v>
      </c>
      <c r="F24" s="726">
        <f t="shared" si="3"/>
        <v>1906347200.6650889</v>
      </c>
      <c r="G24" s="296">
        <f t="shared" si="3"/>
        <v>2109455119.4830513</v>
      </c>
    </row>
    <row r="25" spans="1:10" ht="27.6">
      <c r="A25" s="287">
        <v>17</v>
      </c>
      <c r="B25" s="291" t="s">
        <v>444</v>
      </c>
      <c r="C25" s="289"/>
      <c r="D25" s="293"/>
      <c r="E25" s="289"/>
      <c r="F25" s="289"/>
      <c r="G25" s="290"/>
    </row>
    <row r="26" spans="1:10" ht="27.6">
      <c r="A26" s="287">
        <v>18</v>
      </c>
      <c r="B26" s="291" t="s">
        <v>445</v>
      </c>
      <c r="C26" s="289">
        <v>1437854.4268523799</v>
      </c>
      <c r="D26" s="293"/>
      <c r="E26" s="289"/>
      <c r="F26" s="289"/>
      <c r="G26" s="290">
        <f>C26*15%</f>
        <v>215678.16402785698</v>
      </c>
    </row>
    <row r="27" spans="1:10">
      <c r="A27" s="287">
        <v>19</v>
      </c>
      <c r="B27" s="291" t="s">
        <v>446</v>
      </c>
      <c r="C27" s="289">
        <v>0</v>
      </c>
      <c r="D27" s="293">
        <v>548102998.405231</v>
      </c>
      <c r="E27" s="289">
        <v>461254714.77260202</v>
      </c>
      <c r="F27" s="289">
        <v>1780750727.03791</v>
      </c>
      <c r="G27" s="290">
        <v>2018316974.5711401</v>
      </c>
    </row>
    <row r="28" spans="1:10">
      <c r="A28" s="287">
        <v>20</v>
      </c>
      <c r="B28" s="303" t="s">
        <v>447</v>
      </c>
      <c r="C28" s="289"/>
      <c r="D28" s="293"/>
      <c r="E28" s="289"/>
      <c r="F28" s="289"/>
      <c r="G28" s="290"/>
    </row>
    <row r="29" spans="1:10">
      <c r="A29" s="287">
        <v>21</v>
      </c>
      <c r="B29" s="291" t="s">
        <v>448</v>
      </c>
      <c r="C29" s="289"/>
      <c r="D29" s="293">
        <v>8674186.7796416599</v>
      </c>
      <c r="E29" s="289">
        <v>9516411.0007924009</v>
      </c>
      <c r="F29" s="289">
        <v>124649173.627179</v>
      </c>
      <c r="G29" s="290">
        <v>90117261.747883305</v>
      </c>
    </row>
    <row r="30" spans="1:10">
      <c r="A30" s="287">
        <v>22</v>
      </c>
      <c r="B30" s="303" t="s">
        <v>447</v>
      </c>
      <c r="C30" s="289"/>
      <c r="D30" s="293">
        <v>8674186.7796416599</v>
      </c>
      <c r="E30" s="289">
        <v>9516411.0007924009</v>
      </c>
      <c r="F30" s="289">
        <v>124649173.627179</v>
      </c>
      <c r="G30" s="290">
        <v>90117261.747883305</v>
      </c>
    </row>
    <row r="31" spans="1:10" ht="27.6">
      <c r="A31" s="287">
        <v>23</v>
      </c>
      <c r="B31" s="291" t="s">
        <v>449</v>
      </c>
      <c r="C31" s="289"/>
      <c r="D31" s="293"/>
      <c r="E31" s="289"/>
      <c r="F31" s="289">
        <v>947300</v>
      </c>
      <c r="G31" s="290">
        <f>F31*85%</f>
        <v>805205</v>
      </c>
    </row>
    <row r="32" spans="1:10">
      <c r="A32" s="287">
        <v>24</v>
      </c>
      <c r="B32" s="288" t="s">
        <v>450</v>
      </c>
      <c r="C32" s="289"/>
      <c r="D32" s="293"/>
      <c r="E32" s="289"/>
      <c r="F32" s="289"/>
      <c r="G32" s="290"/>
    </row>
    <row r="33" spans="1:10">
      <c r="A33" s="287">
        <v>25</v>
      </c>
      <c r="B33" s="288" t="s">
        <v>88</v>
      </c>
      <c r="C33" s="726">
        <f>SUM(C34:C35)</f>
        <v>55533762.390000008</v>
      </c>
      <c r="D33" s="726">
        <f>SUM(D34:D35)</f>
        <v>59689053.717008926</v>
      </c>
      <c r="E33" s="726">
        <f>SUM(E34:E35)</f>
        <v>36745628.559777364</v>
      </c>
      <c r="F33" s="726">
        <f>SUM(F34:F35)</f>
        <v>78292221.723451927</v>
      </c>
      <c r="G33" s="290">
        <f>SUM(G34:G35)</f>
        <v>205643413.474944</v>
      </c>
    </row>
    <row r="34" spans="1:10">
      <c r="A34" s="287">
        <v>26</v>
      </c>
      <c r="B34" s="291" t="s">
        <v>451</v>
      </c>
      <c r="C34" s="292"/>
      <c r="D34" s="293">
        <v>584722.38</v>
      </c>
      <c r="E34" s="289"/>
      <c r="F34" s="289"/>
      <c r="G34" s="290">
        <v>584722.38</v>
      </c>
    </row>
    <row r="35" spans="1:10">
      <c r="A35" s="287">
        <v>27</v>
      </c>
      <c r="B35" s="291" t="s">
        <v>452</v>
      </c>
      <c r="C35" s="301">
        <v>55533762.390000008</v>
      </c>
      <c r="D35" s="302">
        <v>59104331.337008923</v>
      </c>
      <c r="E35" s="301">
        <v>36745628.559777364</v>
      </c>
      <c r="F35" s="301">
        <v>78292221.723451927</v>
      </c>
      <c r="G35" s="745">
        <v>205058691.094944</v>
      </c>
    </row>
    <row r="36" spans="1:10">
      <c r="A36" s="287">
        <v>28</v>
      </c>
      <c r="B36" s="288" t="s">
        <v>453</v>
      </c>
      <c r="C36" s="289">
        <v>407583696.62</v>
      </c>
      <c r="D36" s="293">
        <v>0</v>
      </c>
      <c r="E36" s="289">
        <v>0</v>
      </c>
      <c r="F36" s="289">
        <v>34214329.18</v>
      </c>
      <c r="G36" s="290">
        <f>SUM(C36:F36)*5%</f>
        <v>22089901.290000003</v>
      </c>
    </row>
    <row r="37" spans="1:10">
      <c r="A37" s="294">
        <v>29</v>
      </c>
      <c r="B37" s="295" t="s">
        <v>454</v>
      </c>
      <c r="C37" s="292"/>
      <c r="D37" s="292"/>
      <c r="E37" s="292"/>
      <c r="F37" s="292"/>
      <c r="G37" s="296">
        <f>SUM(G23:G24,G32:G33,G36)</f>
        <v>2350925286.1675072</v>
      </c>
      <c r="H37" s="747"/>
      <c r="I37" s="744"/>
    </row>
    <row r="38" spans="1:10">
      <c r="A38" s="283"/>
      <c r="B38" s="304"/>
      <c r="C38" s="305"/>
      <c r="D38" s="305"/>
      <c r="E38" s="305"/>
      <c r="F38" s="305"/>
      <c r="G38" s="306"/>
      <c r="J38" s="744"/>
    </row>
    <row r="39" spans="1:10" ht="15" thickBot="1">
      <c r="A39" s="307">
        <v>30</v>
      </c>
      <c r="B39" s="308" t="s">
        <v>422</v>
      </c>
      <c r="C39" s="202"/>
      <c r="D39" s="186"/>
      <c r="E39" s="186"/>
      <c r="F39" s="309"/>
      <c r="G39" s="310">
        <f>IFERROR(G21/G37,0)</f>
        <v>1.2467872814497782</v>
      </c>
    </row>
    <row r="42" spans="1:10" ht="41.4">
      <c r="B42" s="17"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election activeCell="F26" sqref="F26"/>
    </sheetView>
  </sheetViews>
  <sheetFormatPr defaultColWidth="9.21875" defaultRowHeight="12"/>
  <cols>
    <col min="1" max="1" width="11.77734375" style="320" bestFit="1" customWidth="1"/>
    <col min="2" max="2" width="105.21875" style="320" bestFit="1" customWidth="1"/>
    <col min="3" max="3" width="19.21875" style="320" customWidth="1"/>
    <col min="4" max="4" width="18.33203125" style="320" customWidth="1"/>
    <col min="5" max="5" width="17.33203125" style="320" bestFit="1" customWidth="1"/>
    <col min="6" max="6" width="18.88671875" style="320" customWidth="1"/>
    <col min="7" max="7" width="30.44140625" style="320" customWidth="1"/>
    <col min="8" max="8" width="19" style="320" customWidth="1"/>
    <col min="9" max="16384" width="9.21875" style="320"/>
  </cols>
  <sheetData>
    <row r="1" spans="1:8" ht="13.8">
      <c r="A1" s="319" t="s">
        <v>97</v>
      </c>
      <c r="B1" s="248" t="str">
        <f>Info!C2</f>
        <v>სს "კრედო ბანკი"</v>
      </c>
    </row>
    <row r="2" spans="1:8">
      <c r="A2" s="319" t="s">
        <v>98</v>
      </c>
      <c r="B2" s="322">
        <f>'1. key ratios'!B2</f>
        <v>46022</v>
      </c>
    </row>
    <row r="3" spans="1:8">
      <c r="A3" s="321" t="s">
        <v>462</v>
      </c>
    </row>
    <row r="5" spans="1:8">
      <c r="A5" s="834" t="s">
        <v>463</v>
      </c>
      <c r="B5" s="835"/>
      <c r="C5" s="840" t="s">
        <v>464</v>
      </c>
      <c r="D5" s="841"/>
      <c r="E5" s="841"/>
      <c r="F5" s="841"/>
      <c r="G5" s="841"/>
      <c r="H5" s="842"/>
    </row>
    <row r="6" spans="1:8">
      <c r="A6" s="836"/>
      <c r="B6" s="837"/>
      <c r="C6" s="843"/>
      <c r="D6" s="844"/>
      <c r="E6" s="844"/>
      <c r="F6" s="844"/>
      <c r="G6" s="844"/>
      <c r="H6" s="845"/>
    </row>
    <row r="7" spans="1:8" ht="24">
      <c r="A7" s="838"/>
      <c r="B7" s="839"/>
      <c r="C7" s="429" t="s">
        <v>465</v>
      </c>
      <c r="D7" s="429" t="s">
        <v>466</v>
      </c>
      <c r="E7" s="429" t="s">
        <v>467</v>
      </c>
      <c r="F7" s="429" t="s">
        <v>468</v>
      </c>
      <c r="G7" s="429" t="s">
        <v>648</v>
      </c>
      <c r="H7" s="429" t="s">
        <v>66</v>
      </c>
    </row>
    <row r="8" spans="1:8">
      <c r="A8" s="425">
        <v>1</v>
      </c>
      <c r="B8" s="424" t="s">
        <v>123</v>
      </c>
      <c r="C8" s="728">
        <v>108172956.49932</v>
      </c>
      <c r="D8" s="728">
        <v>263319726.55582201</v>
      </c>
      <c r="E8" s="728">
        <v>19745284.2733333</v>
      </c>
      <c r="F8" s="728">
        <v>0</v>
      </c>
      <c r="G8" s="728">
        <v>0</v>
      </c>
      <c r="H8" s="727">
        <f t="shared" ref="H8:H20" si="0">SUM(C8:G8)</f>
        <v>391237967.32847536</v>
      </c>
    </row>
    <row r="9" spans="1:8">
      <c r="A9" s="425">
        <v>2</v>
      </c>
      <c r="B9" s="424" t="s">
        <v>124</v>
      </c>
      <c r="C9" s="728">
        <v>0</v>
      </c>
      <c r="D9" s="728">
        <v>0</v>
      </c>
      <c r="E9" s="728">
        <v>0</v>
      </c>
      <c r="F9" s="728">
        <v>0</v>
      </c>
      <c r="G9" s="728">
        <v>0</v>
      </c>
      <c r="H9" s="727">
        <f t="shared" si="0"/>
        <v>0</v>
      </c>
    </row>
    <row r="10" spans="1:8">
      <c r="A10" s="425">
        <v>3</v>
      </c>
      <c r="B10" s="424" t="s">
        <v>125</v>
      </c>
      <c r="C10" s="728">
        <v>0</v>
      </c>
      <c r="D10" s="728">
        <v>0</v>
      </c>
      <c r="E10" s="728">
        <v>0</v>
      </c>
      <c r="F10" s="728">
        <v>0</v>
      </c>
      <c r="G10" s="728">
        <v>0</v>
      </c>
      <c r="H10" s="727">
        <f t="shared" si="0"/>
        <v>0</v>
      </c>
    </row>
    <row r="11" spans="1:8">
      <c r="A11" s="425">
        <v>4</v>
      </c>
      <c r="B11" s="424" t="s">
        <v>126</v>
      </c>
      <c r="C11" s="728">
        <v>0</v>
      </c>
      <c r="D11" s="728">
        <v>0</v>
      </c>
      <c r="E11" s="728">
        <v>0</v>
      </c>
      <c r="F11" s="728">
        <v>0</v>
      </c>
      <c r="G11" s="728">
        <v>0</v>
      </c>
      <c r="H11" s="727">
        <f t="shared" si="0"/>
        <v>0</v>
      </c>
    </row>
    <row r="12" spans="1:8">
      <c r="A12" s="425">
        <v>5</v>
      </c>
      <c r="B12" s="424" t="s">
        <v>911</v>
      </c>
      <c r="C12" s="728">
        <v>0</v>
      </c>
      <c r="D12" s="728">
        <v>0</v>
      </c>
      <c r="E12" s="728">
        <v>0</v>
      </c>
      <c r="F12" s="728">
        <v>0</v>
      </c>
      <c r="G12" s="728">
        <v>0</v>
      </c>
      <c r="H12" s="727">
        <f t="shared" si="0"/>
        <v>0</v>
      </c>
    </row>
    <row r="13" spans="1:8">
      <c r="A13" s="425">
        <v>6</v>
      </c>
      <c r="B13" s="424" t="s">
        <v>127</v>
      </c>
      <c r="C13" s="728">
        <v>182135392.81708601</v>
      </c>
      <c r="D13" s="728">
        <v>0</v>
      </c>
      <c r="E13" s="728">
        <v>0</v>
      </c>
      <c r="F13" s="728">
        <v>0</v>
      </c>
      <c r="G13" s="728">
        <v>0</v>
      </c>
      <c r="H13" s="727">
        <f t="shared" si="0"/>
        <v>182135392.81708601</v>
      </c>
    </row>
    <row r="14" spans="1:8">
      <c r="A14" s="425">
        <v>7</v>
      </c>
      <c r="B14" s="424" t="s">
        <v>71</v>
      </c>
      <c r="C14" s="728">
        <v>0</v>
      </c>
      <c r="D14" s="728">
        <v>25083972.82830799</v>
      </c>
      <c r="E14" s="728">
        <v>37929900.830016382</v>
      </c>
      <c r="F14" s="728">
        <v>59347381.300661691</v>
      </c>
      <c r="G14" s="728"/>
      <c r="H14" s="727">
        <f t="shared" si="0"/>
        <v>122361254.95898607</v>
      </c>
    </row>
    <row r="15" spans="1:8">
      <c r="A15" s="425">
        <v>8</v>
      </c>
      <c r="B15" s="426" t="s">
        <v>72</v>
      </c>
      <c r="C15" s="728">
        <v>1000750.6491760697</v>
      </c>
      <c r="D15" s="728">
        <v>430199268.31645656</v>
      </c>
      <c r="E15" s="728">
        <v>1660131961.4283631</v>
      </c>
      <c r="F15" s="728">
        <v>707353857.50104213</v>
      </c>
      <c r="G15" s="728"/>
      <c r="H15" s="727">
        <f t="shared" si="0"/>
        <v>2798685837.8950377</v>
      </c>
    </row>
    <row r="16" spans="1:8">
      <c r="A16" s="425">
        <v>9</v>
      </c>
      <c r="B16" s="424" t="s">
        <v>912</v>
      </c>
      <c r="C16" s="728">
        <v>323.86495710323209</v>
      </c>
      <c r="D16" s="728">
        <v>2135591.7743962533</v>
      </c>
      <c r="E16" s="728">
        <v>34265478.119307302</v>
      </c>
      <c r="F16" s="728">
        <v>113171754.72014</v>
      </c>
      <c r="G16" s="728"/>
      <c r="H16" s="727">
        <f t="shared" si="0"/>
        <v>149573148.47880065</v>
      </c>
    </row>
    <row r="17" spans="1:8">
      <c r="A17" s="425">
        <v>10</v>
      </c>
      <c r="B17" s="428" t="s">
        <v>483</v>
      </c>
      <c r="C17" s="728">
        <v>176158.38787751397</v>
      </c>
      <c r="D17" s="728">
        <v>835065.54470840993</v>
      </c>
      <c r="E17" s="728">
        <v>3406904.3287937124</v>
      </c>
      <c r="F17" s="728">
        <v>1336653.5849776845</v>
      </c>
      <c r="G17" s="728"/>
      <c r="H17" s="727">
        <f t="shared" si="0"/>
        <v>5754781.8463573214</v>
      </c>
    </row>
    <row r="18" spans="1:8">
      <c r="A18" s="425">
        <v>11</v>
      </c>
      <c r="B18" s="424" t="s">
        <v>68</v>
      </c>
      <c r="C18" s="728">
        <v>0</v>
      </c>
      <c r="D18" s="728">
        <v>0</v>
      </c>
      <c r="E18" s="728">
        <v>0</v>
      </c>
      <c r="F18" s="728">
        <v>0</v>
      </c>
      <c r="G18" s="728">
        <v>0</v>
      </c>
      <c r="H18" s="727">
        <f t="shared" si="0"/>
        <v>0</v>
      </c>
    </row>
    <row r="19" spans="1:8">
      <c r="A19" s="425">
        <v>12</v>
      </c>
      <c r="B19" s="424" t="s">
        <v>69</v>
      </c>
      <c r="C19" s="728">
        <v>0</v>
      </c>
      <c r="D19" s="728">
        <v>0</v>
      </c>
      <c r="E19" s="728">
        <v>0</v>
      </c>
      <c r="F19" s="728">
        <v>0</v>
      </c>
      <c r="G19" s="728">
        <v>0</v>
      </c>
      <c r="H19" s="727">
        <f t="shared" si="0"/>
        <v>0</v>
      </c>
    </row>
    <row r="20" spans="1:8">
      <c r="A20" s="427">
        <v>13</v>
      </c>
      <c r="B20" s="426" t="s">
        <v>70</v>
      </c>
      <c r="C20" s="728">
        <v>0</v>
      </c>
      <c r="D20" s="728">
        <v>0</v>
      </c>
      <c r="E20" s="728">
        <v>0</v>
      </c>
      <c r="F20" s="728">
        <v>0</v>
      </c>
      <c r="G20" s="728">
        <v>0</v>
      </c>
      <c r="H20" s="727">
        <f t="shared" si="0"/>
        <v>0</v>
      </c>
    </row>
    <row r="21" spans="1:8">
      <c r="A21" s="425">
        <v>14</v>
      </c>
      <c r="B21" s="424" t="s">
        <v>469</v>
      </c>
      <c r="C21" s="728">
        <v>98471877.86999999</v>
      </c>
      <c r="D21" s="728">
        <v>25698135</v>
      </c>
      <c r="E21" s="728">
        <v>34555344.140000001</v>
      </c>
      <c r="F21" s="728">
        <v>0</v>
      </c>
      <c r="G21" s="728">
        <v>59254847.500000045</v>
      </c>
      <c r="H21" s="727">
        <f>SUM(C21:G21)</f>
        <v>217980204.51000005</v>
      </c>
    </row>
    <row r="22" spans="1:8">
      <c r="A22" s="423">
        <v>15</v>
      </c>
      <c r="B22" s="422" t="s">
        <v>66</v>
      </c>
      <c r="C22" s="727">
        <f>SUM(C18:C21)+SUM(C8:C16)</f>
        <v>389781301.70053917</v>
      </c>
      <c r="D22" s="727">
        <f t="shared" ref="D22:H22" si="1">SUM(D18:D21)+SUM(D8:D16)</f>
        <v>746436694.47498286</v>
      </c>
      <c r="E22" s="727">
        <f t="shared" si="1"/>
        <v>1786627968.7910202</v>
      </c>
      <c r="F22" s="727">
        <f t="shared" si="1"/>
        <v>879872993.52184379</v>
      </c>
      <c r="G22" s="727">
        <f t="shared" si="1"/>
        <v>59254847.500000045</v>
      </c>
      <c r="H22" s="727">
        <f t="shared" si="1"/>
        <v>3861973805.9883862</v>
      </c>
    </row>
    <row r="26" spans="1:8" ht="36">
      <c r="B26" s="337" t="s">
        <v>647</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26"/>
  <sheetViews>
    <sheetView showGridLines="0" topLeftCell="B1" zoomScale="90" zoomScaleNormal="90" workbookViewId="0">
      <selection activeCell="E22" activeCellId="1" sqref="H22 E22"/>
    </sheetView>
  </sheetViews>
  <sheetFormatPr defaultColWidth="9.21875" defaultRowHeight="12"/>
  <cols>
    <col min="1" max="1" width="11.77734375" style="323" bestFit="1" customWidth="1"/>
    <col min="2" max="2" width="78.21875" style="320" customWidth="1"/>
    <col min="3" max="4" width="31.5546875" style="320" customWidth="1"/>
    <col min="5" max="5" width="16.44140625" style="320" bestFit="1" customWidth="1"/>
    <col min="6" max="6" width="14.21875" style="320" bestFit="1" customWidth="1"/>
    <col min="7" max="7" width="20" style="320" bestFit="1" customWidth="1"/>
    <col min="8" max="8" width="25.21875" style="320" bestFit="1" customWidth="1"/>
    <col min="9" max="16384" width="9.21875" style="320"/>
  </cols>
  <sheetData>
    <row r="1" spans="1:8" ht="13.8">
      <c r="A1" s="319" t="s">
        <v>97</v>
      </c>
      <c r="B1" s="248" t="str">
        <f>Info!C2</f>
        <v>სს "კრედო ბანკი"</v>
      </c>
      <c r="C1" s="441"/>
      <c r="D1" s="441"/>
      <c r="E1" s="441"/>
      <c r="F1" s="441"/>
      <c r="G1" s="441"/>
      <c r="H1" s="441"/>
    </row>
    <row r="2" spans="1:8">
      <c r="A2" s="319" t="s">
        <v>98</v>
      </c>
      <c r="B2" s="322">
        <f>'1. key ratios'!B2</f>
        <v>46022</v>
      </c>
      <c r="C2" s="441"/>
      <c r="D2" s="441"/>
      <c r="E2" s="441"/>
      <c r="F2" s="441"/>
      <c r="G2" s="441"/>
      <c r="H2" s="441"/>
    </row>
    <row r="3" spans="1:8">
      <c r="A3" s="321" t="s">
        <v>470</v>
      </c>
      <c r="B3" s="441"/>
      <c r="C3" s="441"/>
      <c r="D3" s="441"/>
      <c r="E3" s="441"/>
      <c r="F3" s="441"/>
      <c r="G3" s="441"/>
      <c r="H3" s="441"/>
    </row>
    <row r="4" spans="1:8">
      <c r="A4" s="442"/>
      <c r="B4" s="441"/>
      <c r="C4" s="440" t="s">
        <v>471</v>
      </c>
      <c r="D4" s="440" t="s">
        <v>472</v>
      </c>
      <c r="E4" s="440" t="s">
        <v>473</v>
      </c>
      <c r="F4" s="440" t="s">
        <v>474</v>
      </c>
      <c r="G4" s="440" t="s">
        <v>475</v>
      </c>
      <c r="H4" s="440" t="s">
        <v>476</v>
      </c>
    </row>
    <row r="5" spans="1:8" ht="34.049999999999997" customHeight="1">
      <c r="A5" s="834" t="s">
        <v>835</v>
      </c>
      <c r="B5" s="835"/>
      <c r="C5" s="848" t="s">
        <v>565</v>
      </c>
      <c r="D5" s="848"/>
      <c r="E5" s="848" t="s">
        <v>834</v>
      </c>
      <c r="F5" s="846" t="s">
        <v>833</v>
      </c>
      <c r="G5" s="846" t="s">
        <v>480</v>
      </c>
      <c r="H5" s="438" t="s">
        <v>832</v>
      </c>
    </row>
    <row r="6" spans="1:8" ht="24">
      <c r="A6" s="838"/>
      <c r="B6" s="839"/>
      <c r="C6" s="439" t="s">
        <v>481</v>
      </c>
      <c r="D6" s="439" t="s">
        <v>482</v>
      </c>
      <c r="E6" s="848"/>
      <c r="F6" s="847"/>
      <c r="G6" s="847"/>
      <c r="H6" s="438" t="s">
        <v>831</v>
      </c>
    </row>
    <row r="7" spans="1:8" ht="24">
      <c r="A7" s="436">
        <v>1</v>
      </c>
      <c r="B7" s="424" t="s">
        <v>123</v>
      </c>
      <c r="C7" s="729"/>
      <c r="D7" s="729">
        <v>391362931.82999998</v>
      </c>
      <c r="E7" s="729">
        <v>124964.510679864</v>
      </c>
      <c r="F7" s="729"/>
      <c r="G7" s="729"/>
      <c r="H7" s="430">
        <f t="shared" ref="H7:H20" si="0">C7+D7-E7-F7</f>
        <v>391237967.31932014</v>
      </c>
    </row>
    <row r="8" spans="1:8" ht="14.55" customHeight="1">
      <c r="A8" s="436">
        <v>2</v>
      </c>
      <c r="B8" s="424" t="s">
        <v>124</v>
      </c>
      <c r="C8" s="729"/>
      <c r="D8" s="729">
        <v>0</v>
      </c>
      <c r="E8" s="729"/>
      <c r="F8" s="729"/>
      <c r="G8" s="729"/>
      <c r="H8" s="430">
        <f t="shared" si="0"/>
        <v>0</v>
      </c>
    </row>
    <row r="9" spans="1:8">
      <c r="A9" s="436">
        <v>3</v>
      </c>
      <c r="B9" s="424" t="s">
        <v>125</v>
      </c>
      <c r="C9" s="729"/>
      <c r="D9" s="729">
        <v>0</v>
      </c>
      <c r="E9" s="729"/>
      <c r="F9" s="729"/>
      <c r="G9" s="729"/>
      <c r="H9" s="430">
        <f t="shared" si="0"/>
        <v>0</v>
      </c>
    </row>
    <row r="10" spans="1:8">
      <c r="A10" s="436">
        <v>4</v>
      </c>
      <c r="B10" s="424" t="s">
        <v>126</v>
      </c>
      <c r="C10" s="729"/>
      <c r="D10" s="729">
        <v>0</v>
      </c>
      <c r="E10" s="729"/>
      <c r="F10" s="729"/>
      <c r="G10" s="729"/>
      <c r="H10" s="430">
        <f t="shared" si="0"/>
        <v>0</v>
      </c>
    </row>
    <row r="11" spans="1:8">
      <c r="A11" s="436">
        <v>5</v>
      </c>
      <c r="B11" s="424" t="s">
        <v>911</v>
      </c>
      <c r="C11" s="729"/>
      <c r="D11" s="729">
        <v>0</v>
      </c>
      <c r="E11" s="729"/>
      <c r="F11" s="729"/>
      <c r="G11" s="729"/>
      <c r="H11" s="430">
        <f t="shared" si="0"/>
        <v>0</v>
      </c>
    </row>
    <row r="12" spans="1:8">
      <c r="A12" s="436">
        <v>6</v>
      </c>
      <c r="B12" s="424" t="s">
        <v>127</v>
      </c>
      <c r="C12" s="729"/>
      <c r="D12" s="729">
        <v>182154652.61000001</v>
      </c>
      <c r="E12" s="729">
        <v>19259.786915231427</v>
      </c>
      <c r="F12" s="729"/>
      <c r="G12" s="729"/>
      <c r="H12" s="430">
        <f t="shared" si="0"/>
        <v>182135392.82308477</v>
      </c>
    </row>
    <row r="13" spans="1:8">
      <c r="A13" s="436">
        <v>7</v>
      </c>
      <c r="B13" s="424" t="s">
        <v>71</v>
      </c>
      <c r="C13" s="729">
        <v>2758794.9086417519</v>
      </c>
      <c r="D13" s="729">
        <v>121487888.65967335</v>
      </c>
      <c r="E13" s="729">
        <v>1885428.609329049</v>
      </c>
      <c r="F13" s="729"/>
      <c r="G13" s="729">
        <v>934.39529600000003</v>
      </c>
      <c r="H13" s="430">
        <f t="shared" si="0"/>
        <v>122361254.95898606</v>
      </c>
    </row>
    <row r="14" spans="1:8">
      <c r="A14" s="436">
        <v>8</v>
      </c>
      <c r="B14" s="426" t="s">
        <v>72</v>
      </c>
      <c r="C14" s="729">
        <v>20580956.057803925</v>
      </c>
      <c r="D14" s="729">
        <v>2843681181.4714012</v>
      </c>
      <c r="E14" s="729">
        <v>65576299.634124734</v>
      </c>
      <c r="F14" s="729"/>
      <c r="G14" s="729">
        <v>19733327.513296757</v>
      </c>
      <c r="H14" s="430">
        <f t="shared" si="0"/>
        <v>2798685837.8950806</v>
      </c>
    </row>
    <row r="15" spans="1:8" ht="24">
      <c r="A15" s="436">
        <v>9</v>
      </c>
      <c r="B15" s="424" t="s">
        <v>912</v>
      </c>
      <c r="C15" s="729">
        <v>113442.54976314121</v>
      </c>
      <c r="D15" s="729">
        <v>150141699.63009515</v>
      </c>
      <c r="E15" s="729">
        <v>681993.70105780195</v>
      </c>
      <c r="F15" s="729"/>
      <c r="G15" s="729">
        <v>87594.037500999999</v>
      </c>
      <c r="H15" s="430">
        <f t="shared" si="0"/>
        <v>149573148.47880051</v>
      </c>
    </row>
    <row r="16" spans="1:8">
      <c r="A16" s="436">
        <v>10</v>
      </c>
      <c r="B16" s="428" t="s">
        <v>483</v>
      </c>
      <c r="C16" s="729">
        <v>23442761.235516243</v>
      </c>
      <c r="D16" s="729">
        <v>0</v>
      </c>
      <c r="E16" s="729">
        <v>17687979.389158949</v>
      </c>
      <c r="F16" s="729"/>
      <c r="G16" s="729">
        <v>19821855.946093757</v>
      </c>
      <c r="H16" s="430">
        <f t="shared" si="0"/>
        <v>5754781.8463572934</v>
      </c>
    </row>
    <row r="17" spans="1:8">
      <c r="A17" s="436">
        <v>11</v>
      </c>
      <c r="B17" s="424" t="s">
        <v>68</v>
      </c>
      <c r="C17" s="729"/>
      <c r="D17" s="729"/>
      <c r="E17" s="729"/>
      <c r="F17" s="729"/>
      <c r="G17" s="729"/>
      <c r="H17" s="430">
        <f t="shared" si="0"/>
        <v>0</v>
      </c>
    </row>
    <row r="18" spans="1:8">
      <c r="A18" s="436">
        <v>12</v>
      </c>
      <c r="B18" s="424" t="s">
        <v>69</v>
      </c>
      <c r="C18" s="729"/>
      <c r="D18" s="729"/>
      <c r="E18" s="729"/>
      <c r="F18" s="729"/>
      <c r="G18" s="729"/>
      <c r="H18" s="430">
        <f t="shared" si="0"/>
        <v>0</v>
      </c>
    </row>
    <row r="19" spans="1:8">
      <c r="A19" s="437">
        <v>13</v>
      </c>
      <c r="B19" s="426" t="s">
        <v>70</v>
      </c>
      <c r="C19" s="729"/>
      <c r="D19" s="729"/>
      <c r="E19" s="729"/>
      <c r="F19" s="729"/>
      <c r="G19" s="729"/>
      <c r="H19" s="430">
        <f t="shared" si="0"/>
        <v>0</v>
      </c>
    </row>
    <row r="20" spans="1:8">
      <c r="A20" s="436">
        <v>14</v>
      </c>
      <c r="B20" s="424" t="s">
        <v>469</v>
      </c>
      <c r="C20" s="729"/>
      <c r="D20" s="729">
        <v>266815970.25240546</v>
      </c>
      <c r="E20" s="729">
        <v>8174720.502404904</v>
      </c>
      <c r="F20" s="729"/>
      <c r="G20" s="729"/>
      <c r="H20" s="430">
        <f t="shared" si="0"/>
        <v>258641249.75000057</v>
      </c>
    </row>
    <row r="21" spans="1:8" s="324" customFormat="1">
      <c r="A21" s="435">
        <v>15</v>
      </c>
      <c r="B21" s="434" t="s">
        <v>66</v>
      </c>
      <c r="C21" s="730">
        <f t="shared" ref="C21:H21" si="1">SUM(C7:C15)+SUM(C17:C20)</f>
        <v>23453193.51620882</v>
      </c>
      <c r="D21" s="730">
        <f t="shared" si="1"/>
        <v>3955644324.4535751</v>
      </c>
      <c r="E21" s="730">
        <f t="shared" si="1"/>
        <v>76462666.744511589</v>
      </c>
      <c r="F21" s="730">
        <f t="shared" si="1"/>
        <v>0</v>
      </c>
      <c r="G21" s="730">
        <f t="shared" si="1"/>
        <v>19821855.946093757</v>
      </c>
      <c r="H21" s="430">
        <f t="shared" si="1"/>
        <v>3902634851.2252722</v>
      </c>
    </row>
    <row r="22" spans="1:8">
      <c r="A22" s="433">
        <v>16</v>
      </c>
      <c r="B22" s="432" t="s">
        <v>484</v>
      </c>
      <c r="C22" s="729">
        <v>23453193.516208854</v>
      </c>
      <c r="D22" s="729">
        <v>3115310769.7611694</v>
      </c>
      <c r="E22" s="729">
        <v>68143721.944511592</v>
      </c>
      <c r="F22" s="729"/>
      <c r="G22" s="729">
        <v>19821855.946093757</v>
      </c>
      <c r="H22" s="430">
        <f>C22+D22-E22-F22</f>
        <v>3070620241.3328667</v>
      </c>
    </row>
    <row r="23" spans="1:8">
      <c r="A23" s="433">
        <v>17</v>
      </c>
      <c r="B23" s="432" t="s">
        <v>485</v>
      </c>
      <c r="C23" s="729"/>
      <c r="D23" s="729">
        <v>68160411.649999991</v>
      </c>
      <c r="E23" s="729">
        <v>93302.3</v>
      </c>
      <c r="F23" s="729"/>
      <c r="G23" s="729"/>
      <c r="H23" s="430">
        <f>C23+D23-E23-F23</f>
        <v>68067109.349999994</v>
      </c>
    </row>
    <row r="26" spans="1:8" ht="42.45" customHeight="1">
      <c r="B26" s="337" t="s">
        <v>647</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H36"/>
  <sheetViews>
    <sheetView showGridLines="0" topLeftCell="B3" zoomScale="80" zoomScaleNormal="80" workbookViewId="0">
      <selection activeCell="H28" sqref="H28"/>
    </sheetView>
  </sheetViews>
  <sheetFormatPr defaultColWidth="9.21875" defaultRowHeight="12"/>
  <cols>
    <col min="1" max="1" width="11" style="320" bestFit="1" customWidth="1"/>
    <col min="2" max="2" width="73.77734375" style="320" customWidth="1"/>
    <col min="3" max="4" width="35" style="320" customWidth="1"/>
    <col min="5" max="7" width="22" style="320" customWidth="1"/>
    <col min="8" max="8" width="35.6640625" style="320" customWidth="1"/>
    <col min="9" max="16384" width="9.21875" style="320"/>
  </cols>
  <sheetData>
    <row r="1" spans="1:8" ht="13.8">
      <c r="A1" s="319" t="s">
        <v>97</v>
      </c>
      <c r="B1" s="248" t="str">
        <f>Info!C2</f>
        <v>სს "კრედო ბანკი"</v>
      </c>
      <c r="C1" s="441"/>
      <c r="D1" s="441"/>
      <c r="E1" s="441"/>
      <c r="F1" s="441"/>
      <c r="G1" s="441"/>
      <c r="H1" s="441"/>
    </row>
    <row r="2" spans="1:8">
      <c r="A2" s="319" t="s">
        <v>98</v>
      </c>
      <c r="B2" s="322">
        <f>'1. key ratios'!B2</f>
        <v>46022</v>
      </c>
      <c r="C2" s="441"/>
      <c r="D2" s="441"/>
      <c r="E2" s="441"/>
      <c r="F2" s="441"/>
      <c r="G2" s="441"/>
      <c r="H2" s="441"/>
    </row>
    <row r="3" spans="1:8">
      <c r="A3" s="321" t="s">
        <v>486</v>
      </c>
      <c r="B3" s="441"/>
      <c r="C3" s="441"/>
      <c r="D3" s="441"/>
      <c r="E3" s="441"/>
      <c r="F3" s="441"/>
      <c r="G3" s="441"/>
      <c r="H3" s="441"/>
    </row>
    <row r="4" spans="1:8">
      <c r="A4" s="441"/>
      <c r="B4" s="441"/>
      <c r="C4" s="440" t="s">
        <v>471</v>
      </c>
      <c r="D4" s="440" t="s">
        <v>472</v>
      </c>
      <c r="E4" s="440" t="s">
        <v>473</v>
      </c>
      <c r="F4" s="440" t="s">
        <v>474</v>
      </c>
      <c r="G4" s="440" t="s">
        <v>475</v>
      </c>
      <c r="H4" s="440" t="s">
        <v>476</v>
      </c>
    </row>
    <row r="5" spans="1:8" ht="41.55" customHeight="1">
      <c r="A5" s="834" t="s">
        <v>837</v>
      </c>
      <c r="B5" s="835"/>
      <c r="C5" s="849" t="s">
        <v>565</v>
      </c>
      <c r="D5" s="850"/>
      <c r="E5" s="846" t="s">
        <v>834</v>
      </c>
      <c r="F5" s="846" t="s">
        <v>833</v>
      </c>
      <c r="G5" s="846" t="s">
        <v>480</v>
      </c>
      <c r="H5" s="438" t="s">
        <v>832</v>
      </c>
    </row>
    <row r="6" spans="1:8" ht="24">
      <c r="A6" s="838"/>
      <c r="B6" s="839"/>
      <c r="C6" s="439" t="s">
        <v>481</v>
      </c>
      <c r="D6" s="439" t="s">
        <v>482</v>
      </c>
      <c r="E6" s="847"/>
      <c r="F6" s="847"/>
      <c r="G6" s="847"/>
      <c r="H6" s="438" t="s">
        <v>831</v>
      </c>
    </row>
    <row r="7" spans="1:8">
      <c r="A7" s="431">
        <v>1</v>
      </c>
      <c r="B7" s="444" t="s">
        <v>487</v>
      </c>
      <c r="C7" s="729">
        <v>84593.94</v>
      </c>
      <c r="D7" s="729">
        <v>418290932.68000001</v>
      </c>
      <c r="E7" s="729">
        <v>532759.160679864</v>
      </c>
      <c r="F7" s="729"/>
      <c r="G7" s="729">
        <v>113548.46726600008</v>
      </c>
      <c r="H7" s="430">
        <f t="shared" ref="H7:H34" si="0">C7+D7-E7-F7</f>
        <v>417842767.45932013</v>
      </c>
    </row>
    <row r="8" spans="1:8">
      <c r="A8" s="431">
        <v>2</v>
      </c>
      <c r="B8" s="444" t="s">
        <v>488</v>
      </c>
      <c r="C8" s="729">
        <v>25577.32</v>
      </c>
      <c r="D8" s="729">
        <v>208576750.2175951</v>
      </c>
      <c r="E8" s="729">
        <v>258543.17691523142</v>
      </c>
      <c r="F8" s="729"/>
      <c r="G8" s="729">
        <v>3398.57</v>
      </c>
      <c r="H8" s="430">
        <f t="shared" si="0"/>
        <v>208343784.36067986</v>
      </c>
    </row>
    <row r="9" spans="1:8">
      <c r="A9" s="431">
        <v>3</v>
      </c>
      <c r="B9" s="444" t="s">
        <v>836</v>
      </c>
      <c r="C9" s="729">
        <v>112447.17</v>
      </c>
      <c r="D9" s="729">
        <v>8073445.7999999998</v>
      </c>
      <c r="E9" s="729">
        <v>218582.41999999998</v>
      </c>
      <c r="F9" s="729"/>
      <c r="G9" s="729">
        <v>47174.95</v>
      </c>
      <c r="H9" s="430">
        <f t="shared" si="0"/>
        <v>7967310.5499999998</v>
      </c>
    </row>
    <row r="10" spans="1:8">
      <c r="A10" s="431">
        <v>4</v>
      </c>
      <c r="B10" s="444" t="s">
        <v>489</v>
      </c>
      <c r="C10" s="729">
        <v>0</v>
      </c>
      <c r="D10" s="729">
        <v>63138556.259999998</v>
      </c>
      <c r="E10" s="729">
        <v>288340.05000000005</v>
      </c>
      <c r="F10" s="729"/>
      <c r="G10" s="729">
        <v>328.71999999999997</v>
      </c>
      <c r="H10" s="430">
        <f t="shared" si="0"/>
        <v>62850216.210000001</v>
      </c>
    </row>
    <row r="11" spans="1:8">
      <c r="A11" s="431">
        <v>5</v>
      </c>
      <c r="B11" s="444" t="s">
        <v>490</v>
      </c>
      <c r="C11" s="729">
        <v>5785.1</v>
      </c>
      <c r="D11" s="729">
        <v>50502115.07</v>
      </c>
      <c r="E11" s="729">
        <v>211311.19</v>
      </c>
      <c r="F11" s="729"/>
      <c r="G11" s="729">
        <v>44000.122013</v>
      </c>
      <c r="H11" s="430">
        <f t="shared" si="0"/>
        <v>50296588.980000004</v>
      </c>
    </row>
    <row r="12" spans="1:8">
      <c r="A12" s="431">
        <v>6</v>
      </c>
      <c r="B12" s="444" t="s">
        <v>491</v>
      </c>
      <c r="C12" s="729">
        <v>138127.03</v>
      </c>
      <c r="D12" s="729">
        <v>15266505.23</v>
      </c>
      <c r="E12" s="729">
        <v>306671.27</v>
      </c>
      <c r="F12" s="729"/>
      <c r="G12" s="729">
        <v>139194.49999999997</v>
      </c>
      <c r="H12" s="430">
        <f t="shared" si="0"/>
        <v>15097960.99</v>
      </c>
    </row>
    <row r="13" spans="1:8">
      <c r="A13" s="431">
        <v>7</v>
      </c>
      <c r="B13" s="444" t="s">
        <v>492</v>
      </c>
      <c r="C13" s="729">
        <v>49420</v>
      </c>
      <c r="D13" s="729">
        <v>6099954.7800000003</v>
      </c>
      <c r="E13" s="729">
        <v>154573.71000000002</v>
      </c>
      <c r="F13" s="729"/>
      <c r="G13" s="729">
        <v>22011.629999999997</v>
      </c>
      <c r="H13" s="430">
        <f t="shared" si="0"/>
        <v>5994801.0700000003</v>
      </c>
    </row>
    <row r="14" spans="1:8">
      <c r="A14" s="431">
        <v>8</v>
      </c>
      <c r="B14" s="444" t="s">
        <v>493</v>
      </c>
      <c r="C14" s="729">
        <v>1248211.79</v>
      </c>
      <c r="D14" s="729">
        <v>217480925.17000002</v>
      </c>
      <c r="E14" s="729">
        <v>3998078.2800000003</v>
      </c>
      <c r="F14" s="729"/>
      <c r="G14" s="729">
        <v>958604.44007200212</v>
      </c>
      <c r="H14" s="430">
        <f t="shared" si="0"/>
        <v>214731058.68000001</v>
      </c>
    </row>
    <row r="15" spans="1:8">
      <c r="A15" s="431">
        <v>9</v>
      </c>
      <c r="B15" s="444" t="s">
        <v>494</v>
      </c>
      <c r="C15" s="729">
        <v>190035.62</v>
      </c>
      <c r="D15" s="729">
        <v>37906260.590000004</v>
      </c>
      <c r="E15" s="729">
        <v>775970.73999999987</v>
      </c>
      <c r="F15" s="729"/>
      <c r="G15" s="729">
        <v>199947.14359800011</v>
      </c>
      <c r="H15" s="430">
        <f t="shared" si="0"/>
        <v>37320325.469999999</v>
      </c>
    </row>
    <row r="16" spans="1:8">
      <c r="A16" s="431">
        <v>10</v>
      </c>
      <c r="B16" s="444" t="s">
        <v>495</v>
      </c>
      <c r="C16" s="729">
        <v>2936352.59</v>
      </c>
      <c r="D16" s="729">
        <v>18255322.390000001</v>
      </c>
      <c r="E16" s="729">
        <v>1899825.29</v>
      </c>
      <c r="F16" s="729"/>
      <c r="G16" s="729">
        <v>57627.23000000001</v>
      </c>
      <c r="H16" s="430">
        <f t="shared" si="0"/>
        <v>19291849.690000001</v>
      </c>
    </row>
    <row r="17" spans="1:8">
      <c r="A17" s="431">
        <v>11</v>
      </c>
      <c r="B17" s="444" t="s">
        <v>496</v>
      </c>
      <c r="C17" s="729">
        <v>78538.01999999999</v>
      </c>
      <c r="D17" s="729">
        <v>8689025.75</v>
      </c>
      <c r="E17" s="729">
        <v>233300.87000000002</v>
      </c>
      <c r="F17" s="729"/>
      <c r="G17" s="729">
        <v>32272.363871000009</v>
      </c>
      <c r="H17" s="430">
        <f t="shared" si="0"/>
        <v>8534262.9000000004</v>
      </c>
    </row>
    <row r="18" spans="1:8">
      <c r="A18" s="431">
        <v>12</v>
      </c>
      <c r="B18" s="444" t="s">
        <v>497</v>
      </c>
      <c r="C18" s="729">
        <v>592056.6</v>
      </c>
      <c r="D18" s="729">
        <v>162676360.06</v>
      </c>
      <c r="E18" s="729">
        <v>2785213.4000000004</v>
      </c>
      <c r="F18" s="729"/>
      <c r="G18" s="729">
        <v>849187.98533900024</v>
      </c>
      <c r="H18" s="430">
        <f t="shared" si="0"/>
        <v>160483203.25999999</v>
      </c>
    </row>
    <row r="19" spans="1:8">
      <c r="A19" s="431">
        <v>13</v>
      </c>
      <c r="B19" s="444" t="s">
        <v>498</v>
      </c>
      <c r="C19" s="729">
        <v>333435.32</v>
      </c>
      <c r="D19" s="729">
        <v>28664492.689999998</v>
      </c>
      <c r="E19" s="729">
        <v>739448.63</v>
      </c>
      <c r="F19" s="729"/>
      <c r="G19" s="729">
        <v>176507.26420200005</v>
      </c>
      <c r="H19" s="430">
        <f t="shared" si="0"/>
        <v>28258479.379999999</v>
      </c>
    </row>
    <row r="20" spans="1:8">
      <c r="A20" s="431">
        <v>14</v>
      </c>
      <c r="B20" s="444" t="s">
        <v>499</v>
      </c>
      <c r="C20" s="729">
        <v>162797.44</v>
      </c>
      <c r="D20" s="729">
        <v>94299305.310000002</v>
      </c>
      <c r="E20" s="729">
        <v>1020678.9099999999</v>
      </c>
      <c r="F20" s="729"/>
      <c r="G20" s="729">
        <v>93800.62363099998</v>
      </c>
      <c r="H20" s="430">
        <f t="shared" si="0"/>
        <v>93441423.840000004</v>
      </c>
    </row>
    <row r="21" spans="1:8">
      <c r="A21" s="431">
        <v>15</v>
      </c>
      <c r="B21" s="444" t="s">
        <v>500</v>
      </c>
      <c r="C21" s="729">
        <v>355551.35</v>
      </c>
      <c r="D21" s="729">
        <v>61947958.090000004</v>
      </c>
      <c r="E21" s="729">
        <v>1243556.47</v>
      </c>
      <c r="F21" s="729"/>
      <c r="G21" s="729">
        <v>427059.72177899978</v>
      </c>
      <c r="H21" s="430">
        <f t="shared" si="0"/>
        <v>61059952.970000006</v>
      </c>
    </row>
    <row r="22" spans="1:8">
      <c r="A22" s="431">
        <v>16</v>
      </c>
      <c r="B22" s="444" t="s">
        <v>501</v>
      </c>
      <c r="C22" s="729">
        <v>134685.85999999999</v>
      </c>
      <c r="D22" s="729">
        <v>15376456.120000001</v>
      </c>
      <c r="E22" s="729">
        <v>416944.92</v>
      </c>
      <c r="F22" s="729"/>
      <c r="G22" s="729">
        <v>86219.15</v>
      </c>
      <c r="H22" s="430">
        <f t="shared" si="0"/>
        <v>15094197.060000001</v>
      </c>
    </row>
    <row r="23" spans="1:8">
      <c r="A23" s="431">
        <v>17</v>
      </c>
      <c r="B23" s="444" t="s">
        <v>502</v>
      </c>
      <c r="C23" s="729">
        <v>9320.4</v>
      </c>
      <c r="D23" s="729">
        <v>973927.86</v>
      </c>
      <c r="E23" s="729">
        <v>21379.149999999998</v>
      </c>
      <c r="F23" s="729"/>
      <c r="G23" s="729">
        <v>475.21999999999997</v>
      </c>
      <c r="H23" s="430">
        <f t="shared" si="0"/>
        <v>961869.11</v>
      </c>
    </row>
    <row r="24" spans="1:8">
      <c r="A24" s="431">
        <v>18</v>
      </c>
      <c r="B24" s="444" t="s">
        <v>503</v>
      </c>
      <c r="C24" s="729">
        <v>10693.98</v>
      </c>
      <c r="D24" s="729">
        <v>4464058.57</v>
      </c>
      <c r="E24" s="729">
        <v>70581.87</v>
      </c>
      <c r="F24" s="729"/>
      <c r="G24" s="729">
        <v>15489.550000000003</v>
      </c>
      <c r="H24" s="430">
        <f t="shared" si="0"/>
        <v>4404170.6800000006</v>
      </c>
    </row>
    <row r="25" spans="1:8">
      <c r="A25" s="431">
        <v>19</v>
      </c>
      <c r="B25" s="444" t="s">
        <v>504</v>
      </c>
      <c r="C25" s="729">
        <v>55839.75</v>
      </c>
      <c r="D25" s="729">
        <v>8618111.0700000003</v>
      </c>
      <c r="E25" s="729">
        <v>158235.06</v>
      </c>
      <c r="F25" s="729"/>
      <c r="G25" s="729">
        <v>106008.05999999998</v>
      </c>
      <c r="H25" s="430">
        <f t="shared" si="0"/>
        <v>8515715.7599999998</v>
      </c>
    </row>
    <row r="26" spans="1:8">
      <c r="A26" s="431">
        <v>20</v>
      </c>
      <c r="B26" s="444" t="s">
        <v>505</v>
      </c>
      <c r="C26" s="729">
        <v>11683.45</v>
      </c>
      <c r="D26" s="729">
        <v>23704065.369999997</v>
      </c>
      <c r="E26" s="729">
        <v>223510.59</v>
      </c>
      <c r="F26" s="729"/>
      <c r="G26" s="729">
        <v>25051.780000000006</v>
      </c>
      <c r="H26" s="430">
        <f t="shared" si="0"/>
        <v>23492238.229999997</v>
      </c>
    </row>
    <row r="27" spans="1:8">
      <c r="A27" s="431">
        <v>21</v>
      </c>
      <c r="B27" s="444" t="s">
        <v>506</v>
      </c>
      <c r="C27" s="729">
        <v>15496.08</v>
      </c>
      <c r="D27" s="729">
        <v>3023237.46</v>
      </c>
      <c r="E27" s="729">
        <v>35124.629999999997</v>
      </c>
      <c r="F27" s="729"/>
      <c r="G27" s="729">
        <v>1725.6</v>
      </c>
      <c r="H27" s="430">
        <f t="shared" si="0"/>
        <v>3003608.91</v>
      </c>
    </row>
    <row r="28" spans="1:8">
      <c r="A28" s="431">
        <v>22</v>
      </c>
      <c r="B28" s="444" t="s">
        <v>507</v>
      </c>
      <c r="C28" s="729">
        <v>120.34</v>
      </c>
      <c r="D28" s="729">
        <v>1511469.02</v>
      </c>
      <c r="E28" s="729">
        <v>14114.46</v>
      </c>
      <c r="F28" s="729"/>
      <c r="G28" s="729">
        <v>8169.6799999999994</v>
      </c>
      <c r="H28" s="430">
        <f t="shared" si="0"/>
        <v>1497474.9000000001</v>
      </c>
    </row>
    <row r="29" spans="1:8">
      <c r="A29" s="431">
        <v>23</v>
      </c>
      <c r="B29" s="444" t="s">
        <v>508</v>
      </c>
      <c r="C29" s="729">
        <v>5857385.7000000002</v>
      </c>
      <c r="D29" s="729">
        <v>713757254.55999994</v>
      </c>
      <c r="E29" s="729">
        <v>17755825.82</v>
      </c>
      <c r="F29" s="729"/>
      <c r="G29" s="729">
        <v>5514151.972545011</v>
      </c>
      <c r="H29" s="430">
        <f t="shared" si="0"/>
        <v>701858814.43999994</v>
      </c>
    </row>
    <row r="30" spans="1:8">
      <c r="A30" s="431">
        <v>24</v>
      </c>
      <c r="B30" s="444" t="s">
        <v>509</v>
      </c>
      <c r="C30" s="729">
        <v>7738841.3099999996</v>
      </c>
      <c r="D30" s="729">
        <v>1085675153.6099999</v>
      </c>
      <c r="E30" s="729">
        <v>25756706.09</v>
      </c>
      <c r="F30" s="729"/>
      <c r="G30" s="729">
        <v>6914355.8904619776</v>
      </c>
      <c r="H30" s="430">
        <f t="shared" si="0"/>
        <v>1067657288.8299998</v>
      </c>
    </row>
    <row r="31" spans="1:8">
      <c r="A31" s="431">
        <v>25</v>
      </c>
      <c r="B31" s="444" t="s">
        <v>510</v>
      </c>
      <c r="C31" s="729">
        <v>2347952.66</v>
      </c>
      <c r="D31" s="729">
        <v>334915672.08000004</v>
      </c>
      <c r="E31" s="729">
        <v>6585583.3600000003</v>
      </c>
      <c r="F31" s="729"/>
      <c r="G31" s="729">
        <v>3270344.8613157645</v>
      </c>
      <c r="H31" s="430">
        <f t="shared" si="0"/>
        <v>330678041.38000005</v>
      </c>
    </row>
    <row r="32" spans="1:8">
      <c r="A32" s="431">
        <v>26</v>
      </c>
      <c r="B32" s="444" t="s">
        <v>511</v>
      </c>
      <c r="C32" s="729">
        <v>958244.74</v>
      </c>
      <c r="D32" s="729">
        <v>96941038.38000001</v>
      </c>
      <c r="E32" s="729">
        <v>2583086.8000000003</v>
      </c>
      <c r="F32" s="729"/>
      <c r="G32" s="729">
        <v>715200.4499999996</v>
      </c>
      <c r="H32" s="430">
        <f t="shared" si="0"/>
        <v>95316196.320000008</v>
      </c>
    </row>
    <row r="33" spans="1:8">
      <c r="A33" s="431">
        <v>27</v>
      </c>
      <c r="B33" s="431" t="s">
        <v>88</v>
      </c>
      <c r="C33" s="729"/>
      <c r="D33" s="729">
        <v>266815970.25240546</v>
      </c>
      <c r="E33" s="729">
        <v>8174720.502404904</v>
      </c>
      <c r="F33" s="729"/>
      <c r="G33" s="729"/>
      <c r="H33" s="430">
        <f t="shared" si="0"/>
        <v>258641249.75000057</v>
      </c>
    </row>
    <row r="34" spans="1:8">
      <c r="A34" s="431">
        <v>28</v>
      </c>
      <c r="B34" s="434" t="s">
        <v>66</v>
      </c>
      <c r="C34" s="730">
        <f>SUM(C7:C33)</f>
        <v>23453193.559999999</v>
      </c>
      <c r="D34" s="730">
        <f>SUM(D7:D33)</f>
        <v>3955644324.4400001</v>
      </c>
      <c r="E34" s="730">
        <f>SUM(E7:E33)</f>
        <v>76462666.819999993</v>
      </c>
      <c r="F34" s="730">
        <f>SUM(F7:F33)</f>
        <v>0</v>
      </c>
      <c r="G34" s="730">
        <f>SUM(G7:G33)</f>
        <v>19821855.946093757</v>
      </c>
      <c r="H34" s="430">
        <f t="shared" si="0"/>
        <v>3902634851.1799998</v>
      </c>
    </row>
    <row r="36" spans="1:8">
      <c r="B36" s="325"/>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0" zoomScaleNormal="80" workbookViewId="0">
      <selection activeCell="G26" sqref="G25:G26"/>
    </sheetView>
  </sheetViews>
  <sheetFormatPr defaultColWidth="9.21875" defaultRowHeight="12"/>
  <cols>
    <col min="1" max="1" width="11.77734375" style="320" bestFit="1" customWidth="1"/>
    <col min="2" max="2" width="108" style="320" bestFit="1" customWidth="1"/>
    <col min="3" max="3" width="35.5546875" style="320" customWidth="1"/>
    <col min="4" max="4" width="38.44140625" style="320" customWidth="1"/>
    <col min="5" max="16384" width="9.21875" style="320"/>
  </cols>
  <sheetData>
    <row r="1" spans="1:4" ht="13.8">
      <c r="A1" s="319" t="s">
        <v>97</v>
      </c>
      <c r="B1" s="248" t="str">
        <f>Info!C2</f>
        <v>სს "კრედო ბანკი"</v>
      </c>
    </row>
    <row r="2" spans="1:4">
      <c r="A2" s="319" t="s">
        <v>98</v>
      </c>
      <c r="B2" s="322">
        <f>'1. key ratios'!B2</f>
        <v>46022</v>
      </c>
    </row>
    <row r="3" spans="1:4">
      <c r="A3" s="321" t="s">
        <v>512</v>
      </c>
    </row>
    <row r="5" spans="1:4" ht="18" customHeight="1">
      <c r="A5" s="851" t="s">
        <v>848</v>
      </c>
      <c r="B5" s="851"/>
      <c r="C5" s="452" t="s">
        <v>531</v>
      </c>
      <c r="D5" s="452" t="s">
        <v>847</v>
      </c>
    </row>
    <row r="6" spans="1:4" ht="18" customHeight="1">
      <c r="A6" s="451">
        <v>1</v>
      </c>
      <c r="B6" s="445" t="s">
        <v>846</v>
      </c>
      <c r="C6" s="731">
        <v>69813170.818901405</v>
      </c>
      <c r="D6" s="731"/>
    </row>
    <row r="7" spans="1:4" ht="18" customHeight="1">
      <c r="A7" s="448">
        <v>2</v>
      </c>
      <c r="B7" s="445" t="s">
        <v>845</v>
      </c>
      <c r="C7" s="732">
        <f>SUM(C8:C9)</f>
        <v>48475736.80341506</v>
      </c>
      <c r="D7" s="731">
        <f>SUM(D8:D9)</f>
        <v>0</v>
      </c>
    </row>
    <row r="8" spans="1:4" ht="18" customHeight="1">
      <c r="A8" s="450">
        <v>2.1</v>
      </c>
      <c r="B8" s="449" t="s">
        <v>844</v>
      </c>
      <c r="C8" s="731">
        <v>8088940.5572193265</v>
      </c>
      <c r="D8" s="731"/>
    </row>
    <row r="9" spans="1:4" ht="18" customHeight="1">
      <c r="A9" s="450">
        <v>2.2000000000000002</v>
      </c>
      <c r="B9" s="449" t="s">
        <v>843</v>
      </c>
      <c r="C9" s="731">
        <v>40386796.246195734</v>
      </c>
      <c r="D9" s="731"/>
    </row>
    <row r="10" spans="1:4" ht="18" customHeight="1">
      <c r="A10" s="451">
        <v>3</v>
      </c>
      <c r="B10" s="445" t="s">
        <v>842</v>
      </c>
      <c r="C10" s="731">
        <f>SUM(C11:C13)</f>
        <v>50133926.892056793</v>
      </c>
      <c r="D10" s="731">
        <f>SUM(D11:D13)</f>
        <v>0</v>
      </c>
    </row>
    <row r="11" spans="1:4" ht="18" customHeight="1">
      <c r="A11" s="450">
        <v>3.1</v>
      </c>
      <c r="B11" s="449" t="s">
        <v>513</v>
      </c>
      <c r="C11" s="731">
        <v>19821862.756094292</v>
      </c>
      <c r="D11" s="731"/>
    </row>
    <row r="12" spans="1:4" ht="18" customHeight="1">
      <c r="A12" s="450">
        <v>3.2</v>
      </c>
      <c r="B12" s="449" t="s">
        <v>841</v>
      </c>
      <c r="C12" s="731">
        <v>12525629.00362451</v>
      </c>
      <c r="D12" s="731"/>
    </row>
    <row r="13" spans="1:4" ht="18" customHeight="1">
      <c r="A13" s="450">
        <v>3.3</v>
      </c>
      <c r="B13" s="449" t="s">
        <v>840</v>
      </c>
      <c r="C13" s="731">
        <v>17786435.132337987</v>
      </c>
      <c r="D13" s="731"/>
    </row>
    <row r="14" spans="1:4" ht="18" customHeight="1">
      <c r="A14" s="448">
        <v>4</v>
      </c>
      <c r="B14" s="447" t="s">
        <v>839</v>
      </c>
      <c r="C14" s="731">
        <v>-11258.771254508312</v>
      </c>
      <c r="D14" s="731"/>
    </row>
    <row r="15" spans="1:4" ht="18" customHeight="1">
      <c r="A15" s="446">
        <v>5</v>
      </c>
      <c r="B15" s="445" t="s">
        <v>838</v>
      </c>
      <c r="C15" s="732">
        <f>C6+C7-C10+C14</f>
        <v>68143721.959005162</v>
      </c>
      <c r="D15" s="732">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0" zoomScaleNormal="80" workbookViewId="0">
      <selection activeCell="B24" sqref="B24"/>
    </sheetView>
  </sheetViews>
  <sheetFormatPr defaultColWidth="9.21875" defaultRowHeight="12"/>
  <cols>
    <col min="1" max="1" width="11.77734375" style="441" bestFit="1" customWidth="1"/>
    <col min="2" max="2" width="128.88671875" style="441" bestFit="1" customWidth="1"/>
    <col min="3" max="3" width="37" style="441" customWidth="1"/>
    <col min="4" max="4" width="50.5546875" style="441" customWidth="1"/>
    <col min="5" max="16384" width="9.21875" style="441"/>
  </cols>
  <sheetData>
    <row r="1" spans="1:4" ht="13.8">
      <c r="A1" s="319" t="s">
        <v>97</v>
      </c>
      <c r="B1" s="248" t="str">
        <f>Info!C2</f>
        <v>სს "კრედო ბანკი"</v>
      </c>
    </row>
    <row r="2" spans="1:4">
      <c r="A2" s="319" t="s">
        <v>98</v>
      </c>
      <c r="B2" s="322">
        <f>'1. key ratios'!B2</f>
        <v>46022</v>
      </c>
    </row>
    <row r="3" spans="1:4">
      <c r="A3" s="321" t="s">
        <v>514</v>
      </c>
    </row>
    <row r="4" spans="1:4">
      <c r="A4" s="321"/>
    </row>
    <row r="5" spans="1:4" ht="15" customHeight="1">
      <c r="A5" s="852" t="s">
        <v>515</v>
      </c>
      <c r="B5" s="853"/>
      <c r="C5" s="856" t="s">
        <v>516</v>
      </c>
      <c r="D5" s="856" t="s">
        <v>517</v>
      </c>
    </row>
    <row r="6" spans="1:4">
      <c r="A6" s="854"/>
      <c r="B6" s="855"/>
      <c r="C6" s="856"/>
      <c r="D6" s="856"/>
    </row>
    <row r="7" spans="1:4" ht="18" customHeight="1">
      <c r="A7" s="434">
        <v>1</v>
      </c>
      <c r="B7" s="434" t="s">
        <v>518</v>
      </c>
      <c r="C7" s="733">
        <v>26017845.448062629</v>
      </c>
      <c r="D7" s="453"/>
    </row>
    <row r="8" spans="1:4" ht="18" customHeight="1">
      <c r="A8" s="431">
        <v>2</v>
      </c>
      <c r="B8" s="431" t="s">
        <v>519</v>
      </c>
      <c r="C8" s="734">
        <v>25073580.040017128</v>
      </c>
      <c r="D8" s="453"/>
    </row>
    <row r="9" spans="1:4" ht="18" customHeight="1">
      <c r="A9" s="431">
        <v>3</v>
      </c>
      <c r="B9" s="456" t="s">
        <v>520</v>
      </c>
      <c r="C9" s="734"/>
      <c r="D9" s="453"/>
    </row>
    <row r="10" spans="1:4" ht="18" customHeight="1">
      <c r="A10" s="431">
        <v>4</v>
      </c>
      <c r="B10" s="431" t="s">
        <v>521</v>
      </c>
      <c r="C10" s="733">
        <f>SUM(C11:C17)</f>
        <v>27638231.952075139</v>
      </c>
      <c r="D10" s="453"/>
    </row>
    <row r="11" spans="1:4" ht="18" customHeight="1">
      <c r="A11" s="431">
        <v>5</v>
      </c>
      <c r="B11" s="455" t="s">
        <v>849</v>
      </c>
      <c r="C11" s="734"/>
      <c r="D11" s="453"/>
    </row>
    <row r="12" spans="1:4" ht="18" customHeight="1">
      <c r="A12" s="431">
        <v>6</v>
      </c>
      <c r="B12" s="455" t="s">
        <v>522</v>
      </c>
      <c r="C12" s="734">
        <v>1720574.0900000036</v>
      </c>
      <c r="D12" s="453"/>
    </row>
    <row r="13" spans="1:4" ht="18" customHeight="1">
      <c r="A13" s="431">
        <v>7</v>
      </c>
      <c r="B13" s="455" t="s">
        <v>525</v>
      </c>
      <c r="C13" s="734">
        <v>19821862.756094292</v>
      </c>
      <c r="D13" s="453"/>
    </row>
    <row r="14" spans="1:4" ht="18" customHeight="1">
      <c r="A14" s="431">
        <v>8</v>
      </c>
      <c r="B14" s="455" t="s">
        <v>523</v>
      </c>
      <c r="C14" s="734"/>
      <c r="D14" s="431"/>
    </row>
    <row r="15" spans="1:4" ht="18" customHeight="1">
      <c r="A15" s="431">
        <v>9</v>
      </c>
      <c r="B15" s="455" t="s">
        <v>524</v>
      </c>
      <c r="C15" s="734"/>
      <c r="D15" s="431"/>
    </row>
    <row r="16" spans="1:4" ht="18" customHeight="1">
      <c r="A16" s="431">
        <v>10</v>
      </c>
      <c r="B16" s="455" t="s">
        <v>526</v>
      </c>
      <c r="C16" s="734">
        <v>6081070.0989453103</v>
      </c>
      <c r="D16" s="431"/>
    </row>
    <row r="17" spans="1:4" ht="18" customHeight="1">
      <c r="A17" s="431">
        <v>11</v>
      </c>
      <c r="B17" s="455" t="s">
        <v>527</v>
      </c>
      <c r="C17" s="734">
        <v>14725.007035529476</v>
      </c>
      <c r="D17" s="453"/>
    </row>
    <row r="18" spans="1:4" ht="18" customHeight="1">
      <c r="A18" s="434">
        <v>12</v>
      </c>
      <c r="B18" s="454" t="s">
        <v>528</v>
      </c>
      <c r="C18" s="733">
        <f>C7+C8+C9-C10</f>
        <v>23453193.536004618</v>
      </c>
      <c r="D18" s="453"/>
    </row>
    <row r="21" spans="1:4">
      <c r="B21" s="319"/>
    </row>
    <row r="22" spans="1:4">
      <c r="B22" s="319"/>
    </row>
    <row r="23" spans="1:4">
      <c r="B23" s="321"/>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election activeCell="C27" sqref="C27:C28"/>
    </sheetView>
  </sheetViews>
  <sheetFormatPr defaultColWidth="9.21875" defaultRowHeight="12"/>
  <cols>
    <col min="1" max="1" width="11.77734375" style="441" bestFit="1" customWidth="1"/>
    <col min="2" max="2" width="63.88671875" style="441" customWidth="1"/>
    <col min="3" max="3" width="15.5546875" style="441" customWidth="1"/>
    <col min="4" max="18" width="22.21875" style="441" customWidth="1"/>
    <col min="19" max="19" width="23.21875" style="441" bestFit="1" customWidth="1"/>
    <col min="20" max="26" width="22.21875" style="441" customWidth="1"/>
    <col min="27" max="27" width="23.21875" style="441" bestFit="1" customWidth="1"/>
    <col min="28" max="28" width="20" style="441" customWidth="1"/>
    <col min="29" max="16384" width="9.21875" style="441"/>
  </cols>
  <sheetData>
    <row r="1" spans="1:28" ht="13.8">
      <c r="A1" s="319" t="s">
        <v>97</v>
      </c>
      <c r="B1" s="248" t="str">
        <f>Info!C2</f>
        <v>სს "კრედო ბანკი"</v>
      </c>
    </row>
    <row r="2" spans="1:28">
      <c r="A2" s="319" t="s">
        <v>98</v>
      </c>
      <c r="B2" s="322">
        <f>'1. key ratios'!B2</f>
        <v>46022</v>
      </c>
      <c r="C2" s="442"/>
    </row>
    <row r="3" spans="1:28">
      <c r="A3" s="321" t="s">
        <v>529</v>
      </c>
    </row>
    <row r="5" spans="1:28" ht="15" customHeight="1">
      <c r="A5" s="857" t="s">
        <v>862</v>
      </c>
      <c r="B5" s="858"/>
      <c r="C5" s="849" t="s">
        <v>861</v>
      </c>
      <c r="D5" s="863"/>
      <c r="E5" s="863"/>
      <c r="F5" s="863"/>
      <c r="G5" s="863"/>
      <c r="H5" s="863"/>
      <c r="I5" s="863"/>
      <c r="J5" s="863"/>
      <c r="K5" s="863"/>
      <c r="L5" s="863"/>
      <c r="M5" s="863"/>
      <c r="N5" s="863"/>
      <c r="O5" s="863"/>
      <c r="P5" s="863"/>
      <c r="Q5" s="863"/>
      <c r="R5" s="863"/>
      <c r="S5" s="863"/>
      <c r="T5" s="467"/>
      <c r="U5" s="467"/>
      <c r="V5" s="467"/>
      <c r="W5" s="467"/>
      <c r="X5" s="467"/>
      <c r="Y5" s="467"/>
      <c r="Z5" s="467"/>
      <c r="AA5" s="466"/>
      <c r="AB5" s="459"/>
    </row>
    <row r="6" spans="1:28">
      <c r="A6" s="859"/>
      <c r="B6" s="860"/>
      <c r="C6" s="864" t="s">
        <v>66</v>
      </c>
      <c r="D6" s="866" t="s">
        <v>860</v>
      </c>
      <c r="E6" s="866"/>
      <c r="F6" s="866"/>
      <c r="G6" s="866"/>
      <c r="H6" s="867" t="s">
        <v>859</v>
      </c>
      <c r="I6" s="868"/>
      <c r="J6" s="868"/>
      <c r="K6" s="869"/>
      <c r="L6" s="464"/>
      <c r="M6" s="870" t="s">
        <v>858</v>
      </c>
      <c r="N6" s="870"/>
      <c r="O6" s="870"/>
      <c r="P6" s="870"/>
      <c r="Q6" s="870"/>
      <c r="R6" s="870"/>
      <c r="S6" s="847"/>
      <c r="T6" s="465"/>
      <c r="U6" s="850" t="s">
        <v>857</v>
      </c>
      <c r="V6" s="850"/>
      <c r="W6" s="850"/>
      <c r="X6" s="850"/>
      <c r="Y6" s="850"/>
      <c r="Z6" s="850"/>
      <c r="AA6" s="848"/>
      <c r="AB6" s="464"/>
    </row>
    <row r="7" spans="1:28" ht="24">
      <c r="A7" s="861"/>
      <c r="B7" s="862"/>
      <c r="C7" s="865"/>
      <c r="D7" s="463"/>
      <c r="E7" s="438" t="s">
        <v>530</v>
      </c>
      <c r="F7" s="438" t="s">
        <v>855</v>
      </c>
      <c r="G7" s="438" t="s">
        <v>856</v>
      </c>
      <c r="H7" s="462"/>
      <c r="I7" s="438" t="s">
        <v>530</v>
      </c>
      <c r="J7" s="438" t="s">
        <v>855</v>
      </c>
      <c r="K7" s="438" t="s">
        <v>856</v>
      </c>
      <c r="L7" s="461"/>
      <c r="M7" s="438" t="s">
        <v>530</v>
      </c>
      <c r="N7" s="438" t="s">
        <v>855</v>
      </c>
      <c r="O7" s="438" t="s">
        <v>854</v>
      </c>
      <c r="P7" s="438" t="s">
        <v>853</v>
      </c>
      <c r="Q7" s="438" t="s">
        <v>852</v>
      </c>
      <c r="R7" s="438" t="s">
        <v>851</v>
      </c>
      <c r="S7" s="438" t="s">
        <v>850</v>
      </c>
      <c r="T7" s="460"/>
      <c r="U7" s="438" t="s">
        <v>530</v>
      </c>
      <c r="V7" s="438" t="s">
        <v>855</v>
      </c>
      <c r="W7" s="438" t="s">
        <v>854</v>
      </c>
      <c r="X7" s="438" t="s">
        <v>853</v>
      </c>
      <c r="Y7" s="438" t="s">
        <v>852</v>
      </c>
      <c r="Z7" s="438" t="s">
        <v>851</v>
      </c>
      <c r="AA7" s="438" t="s">
        <v>850</v>
      </c>
      <c r="AB7" s="459"/>
    </row>
    <row r="8" spans="1:28">
      <c r="A8" s="458">
        <v>1</v>
      </c>
      <c r="B8" s="434" t="s">
        <v>531</v>
      </c>
      <c r="C8" s="730">
        <f t="shared" ref="C8:L8" si="0">SUM(C9:C14)</f>
        <v>3138763963.3034749</v>
      </c>
      <c r="D8" s="730">
        <f t="shared" si="0"/>
        <v>2984976952.3697505</v>
      </c>
      <c r="E8" s="730">
        <f t="shared" si="0"/>
        <v>12329950.294318849</v>
      </c>
      <c r="F8" s="730">
        <f t="shared" si="0"/>
        <v>0</v>
      </c>
      <c r="G8" s="730">
        <f t="shared" si="0"/>
        <v>0</v>
      </c>
      <c r="H8" s="730">
        <f t="shared" si="0"/>
        <v>130333817.39772017</v>
      </c>
      <c r="I8" s="730">
        <f t="shared" si="0"/>
        <v>5216824.5595741346</v>
      </c>
      <c r="J8" s="730">
        <f t="shared" si="0"/>
        <v>18731714.92063361</v>
      </c>
      <c r="K8" s="730">
        <f t="shared" si="0"/>
        <v>0</v>
      </c>
      <c r="L8" s="730">
        <f t="shared" si="0"/>
        <v>23442761.255362496</v>
      </c>
      <c r="M8" s="730">
        <f t="shared" ref="M8:S8" si="1">SUM(M9:M14)</f>
        <v>113772.70544623747</v>
      </c>
      <c r="N8" s="730">
        <f t="shared" si="1"/>
        <v>1643372.098176054</v>
      </c>
      <c r="O8" s="730">
        <f t="shared" si="1"/>
        <v>19853292.049574383</v>
      </c>
      <c r="P8" s="730">
        <f t="shared" si="1"/>
        <v>0</v>
      </c>
      <c r="Q8" s="730">
        <f t="shared" si="1"/>
        <v>0</v>
      </c>
      <c r="R8" s="730">
        <f t="shared" si="1"/>
        <v>0</v>
      </c>
      <c r="S8" s="730">
        <f t="shared" si="1"/>
        <v>0</v>
      </c>
      <c r="T8" s="730">
        <f>SUM(T9:T14)</f>
        <v>10432.280642149</v>
      </c>
      <c r="U8" s="730">
        <f t="shared" ref="U8:AA8" si="2">SUM(U9:U14)</f>
        <v>0</v>
      </c>
      <c r="V8" s="730">
        <f t="shared" si="2"/>
        <v>0</v>
      </c>
      <c r="W8" s="730">
        <f t="shared" si="2"/>
        <v>0</v>
      </c>
      <c r="X8" s="730">
        <f t="shared" si="2"/>
        <v>0</v>
      </c>
      <c r="Y8" s="730">
        <f t="shared" si="2"/>
        <v>0</v>
      </c>
      <c r="Z8" s="730">
        <f t="shared" si="2"/>
        <v>0</v>
      </c>
      <c r="AA8" s="730">
        <f t="shared" si="2"/>
        <v>0</v>
      </c>
    </row>
    <row r="9" spans="1:28">
      <c r="A9" s="431">
        <v>1.1000000000000001</v>
      </c>
      <c r="B9" s="448" t="s">
        <v>532</v>
      </c>
      <c r="C9" s="448"/>
      <c r="D9" s="729"/>
      <c r="E9" s="729"/>
      <c r="F9" s="729"/>
      <c r="G9" s="729"/>
      <c r="H9" s="729"/>
      <c r="I9" s="729"/>
      <c r="J9" s="729"/>
      <c r="K9" s="729"/>
      <c r="L9" s="729"/>
      <c r="M9" s="729"/>
      <c r="N9" s="729"/>
      <c r="O9" s="729"/>
      <c r="P9" s="729"/>
      <c r="Q9" s="729"/>
      <c r="R9" s="729"/>
      <c r="S9" s="729"/>
      <c r="T9" s="729"/>
      <c r="U9" s="729"/>
      <c r="V9" s="729"/>
      <c r="W9" s="729"/>
      <c r="X9" s="729"/>
      <c r="Y9" s="729"/>
      <c r="Z9" s="729"/>
      <c r="AA9" s="729"/>
    </row>
    <row r="10" spans="1:28">
      <c r="A10" s="431">
        <v>1.2</v>
      </c>
      <c r="B10" s="448" t="s">
        <v>533</v>
      </c>
      <c r="C10" s="448"/>
      <c r="D10" s="729"/>
      <c r="E10" s="729"/>
      <c r="F10" s="729"/>
      <c r="G10" s="729"/>
      <c r="H10" s="729"/>
      <c r="I10" s="729"/>
      <c r="J10" s="729"/>
      <c r="K10" s="729"/>
      <c r="L10" s="729"/>
      <c r="M10" s="729"/>
      <c r="N10" s="729"/>
      <c r="O10" s="729"/>
      <c r="P10" s="729"/>
      <c r="Q10" s="729"/>
      <c r="R10" s="729"/>
      <c r="S10" s="729"/>
      <c r="T10" s="729"/>
      <c r="U10" s="729"/>
      <c r="V10" s="729"/>
      <c r="W10" s="729"/>
      <c r="X10" s="729"/>
      <c r="Y10" s="729"/>
      <c r="Z10" s="729"/>
      <c r="AA10" s="729"/>
    </row>
    <row r="11" spans="1:28">
      <c r="A11" s="431">
        <v>1.3</v>
      </c>
      <c r="B11" s="448" t="s">
        <v>534</v>
      </c>
      <c r="C11" s="448"/>
      <c r="D11" s="729"/>
      <c r="E11" s="729"/>
      <c r="F11" s="729"/>
      <c r="G11" s="729"/>
      <c r="H11" s="729"/>
      <c r="I11" s="729"/>
      <c r="J11" s="729"/>
      <c r="K11" s="729"/>
      <c r="L11" s="729"/>
      <c r="M11" s="729"/>
      <c r="N11" s="729"/>
      <c r="O11" s="729"/>
      <c r="P11" s="729"/>
      <c r="Q11" s="729"/>
      <c r="R11" s="729"/>
      <c r="S11" s="729"/>
      <c r="T11" s="729"/>
      <c r="U11" s="729"/>
      <c r="V11" s="729"/>
      <c r="W11" s="729"/>
      <c r="X11" s="729"/>
      <c r="Y11" s="729"/>
      <c r="Z11" s="729"/>
      <c r="AA11" s="729"/>
    </row>
    <row r="12" spans="1:28">
      <c r="A12" s="431">
        <v>1.4</v>
      </c>
      <c r="B12" s="448" t="s">
        <v>535</v>
      </c>
      <c r="C12" s="448"/>
      <c r="D12" s="729"/>
      <c r="E12" s="729"/>
      <c r="F12" s="729"/>
      <c r="G12" s="729"/>
      <c r="H12" s="729"/>
      <c r="I12" s="729"/>
      <c r="J12" s="729"/>
      <c r="K12" s="729"/>
      <c r="L12" s="729"/>
      <c r="M12" s="729"/>
      <c r="N12" s="729"/>
      <c r="O12" s="729"/>
      <c r="P12" s="729"/>
      <c r="Q12" s="729"/>
      <c r="R12" s="729"/>
      <c r="S12" s="729"/>
      <c r="T12" s="729"/>
      <c r="U12" s="729"/>
      <c r="V12" s="729"/>
      <c r="W12" s="729"/>
      <c r="X12" s="729"/>
      <c r="Y12" s="729"/>
      <c r="Z12" s="729"/>
      <c r="AA12" s="729"/>
    </row>
    <row r="13" spans="1:28">
      <c r="A13" s="431">
        <v>1.5</v>
      </c>
      <c r="B13" s="448" t="s">
        <v>536</v>
      </c>
      <c r="C13" s="735">
        <f>D13+H13+L13+T13</f>
        <v>212424395.78498647</v>
      </c>
      <c r="D13" s="729">
        <v>204787185.84426957</v>
      </c>
      <c r="E13" s="729">
        <v>75108.667629429852</v>
      </c>
      <c r="F13" s="729">
        <v>0</v>
      </c>
      <c r="G13" s="729">
        <v>0</v>
      </c>
      <c r="H13" s="729">
        <v>4639325.9781658584</v>
      </c>
      <c r="I13" s="729">
        <v>0</v>
      </c>
      <c r="J13" s="729">
        <v>36843.46</v>
      </c>
      <c r="K13" s="729">
        <v>0</v>
      </c>
      <c r="L13" s="729">
        <v>2997883.9625510368</v>
      </c>
      <c r="M13" s="729">
        <v>0</v>
      </c>
      <c r="N13" s="729">
        <v>0</v>
      </c>
      <c r="O13" s="729">
        <v>2997883.9625510368</v>
      </c>
      <c r="P13" s="729">
        <v>0</v>
      </c>
      <c r="Q13" s="729">
        <v>0</v>
      </c>
      <c r="R13" s="729">
        <v>0</v>
      </c>
      <c r="S13" s="729">
        <v>0</v>
      </c>
      <c r="T13" s="729">
        <v>0</v>
      </c>
      <c r="U13" s="729">
        <v>0</v>
      </c>
      <c r="V13" s="729">
        <v>0</v>
      </c>
      <c r="W13" s="729">
        <v>0</v>
      </c>
      <c r="X13" s="729">
        <v>0</v>
      </c>
      <c r="Y13" s="729">
        <v>0</v>
      </c>
      <c r="Z13" s="729">
        <v>0</v>
      </c>
      <c r="AA13" s="729">
        <v>0</v>
      </c>
    </row>
    <row r="14" spans="1:28">
      <c r="A14" s="431">
        <v>1.6</v>
      </c>
      <c r="B14" s="448" t="s">
        <v>537</v>
      </c>
      <c r="C14" s="735">
        <f>D14+H14+L14+T14</f>
        <v>2926339567.5184884</v>
      </c>
      <c r="D14" s="729">
        <v>2780189766.5254807</v>
      </c>
      <c r="E14" s="729">
        <v>12254841.626689419</v>
      </c>
      <c r="F14" s="729">
        <v>0</v>
      </c>
      <c r="G14" s="729">
        <v>0</v>
      </c>
      <c r="H14" s="729">
        <v>125694491.41955431</v>
      </c>
      <c r="I14" s="729">
        <v>5216824.5595741346</v>
      </c>
      <c r="J14" s="729">
        <v>18694871.460633609</v>
      </c>
      <c r="K14" s="729">
        <v>0</v>
      </c>
      <c r="L14" s="729">
        <v>20444877.292811461</v>
      </c>
      <c r="M14" s="729">
        <v>113772.70544623747</v>
      </c>
      <c r="N14" s="729">
        <v>1643372.098176054</v>
      </c>
      <c r="O14" s="729">
        <v>16855408.087023348</v>
      </c>
      <c r="P14" s="729">
        <v>0</v>
      </c>
      <c r="Q14" s="729">
        <v>0</v>
      </c>
      <c r="R14" s="729">
        <v>0</v>
      </c>
      <c r="S14" s="729">
        <v>0</v>
      </c>
      <c r="T14" s="729">
        <v>10432.280642149</v>
      </c>
      <c r="U14" s="729">
        <v>0</v>
      </c>
      <c r="V14" s="729">
        <v>0</v>
      </c>
      <c r="W14" s="729">
        <v>0</v>
      </c>
      <c r="X14" s="729">
        <v>0</v>
      </c>
      <c r="Y14" s="729">
        <v>0</v>
      </c>
      <c r="Z14" s="729">
        <v>0</v>
      </c>
      <c r="AA14" s="729">
        <v>0</v>
      </c>
    </row>
    <row r="15" spans="1:28">
      <c r="A15" s="458">
        <v>2</v>
      </c>
      <c r="B15" s="434" t="s">
        <v>538</v>
      </c>
      <c r="C15" s="735">
        <f>D15+H15+L15+T15</f>
        <v>68067109.349999994</v>
      </c>
      <c r="D15" s="736">
        <f>SUM(D16:D21)</f>
        <v>68067109.349999994</v>
      </c>
      <c r="E15" s="431"/>
      <c r="F15" s="431"/>
      <c r="G15" s="431"/>
      <c r="H15" s="431"/>
      <c r="I15" s="431"/>
      <c r="J15" s="431"/>
      <c r="K15" s="431"/>
      <c r="L15" s="431"/>
      <c r="M15" s="431"/>
      <c r="N15" s="431"/>
      <c r="O15" s="431"/>
      <c r="P15" s="431"/>
      <c r="Q15" s="431"/>
      <c r="R15" s="431"/>
      <c r="S15" s="431"/>
      <c r="T15" s="431"/>
      <c r="U15" s="431"/>
      <c r="V15" s="431"/>
      <c r="W15" s="431"/>
      <c r="X15" s="431"/>
      <c r="Y15" s="431"/>
      <c r="Z15" s="431"/>
      <c r="AA15" s="431"/>
    </row>
    <row r="16" spans="1:28">
      <c r="A16" s="431">
        <v>2.1</v>
      </c>
      <c r="B16" s="448" t="s">
        <v>532</v>
      </c>
      <c r="C16" s="735">
        <f t="shared" ref="C16:C17" si="3">D16+H16+L16+T16</f>
        <v>0</v>
      </c>
      <c r="D16" s="431"/>
      <c r="E16" s="431"/>
      <c r="F16" s="431"/>
      <c r="G16" s="431"/>
      <c r="H16" s="431"/>
      <c r="I16" s="431"/>
      <c r="J16" s="431"/>
      <c r="K16" s="431"/>
      <c r="L16" s="431"/>
      <c r="M16" s="431"/>
      <c r="N16" s="431"/>
      <c r="O16" s="431"/>
      <c r="P16" s="431"/>
      <c r="Q16" s="431"/>
      <c r="R16" s="431"/>
      <c r="S16" s="431"/>
      <c r="T16" s="431"/>
      <c r="U16" s="431"/>
      <c r="V16" s="431"/>
      <c r="W16" s="431"/>
      <c r="X16" s="431"/>
      <c r="Y16" s="431"/>
      <c r="Z16" s="431"/>
      <c r="AA16" s="431"/>
    </row>
    <row r="17" spans="1:27">
      <c r="A17" s="431">
        <v>2.2000000000000002</v>
      </c>
      <c r="B17" s="448" t="s">
        <v>533</v>
      </c>
      <c r="C17" s="735">
        <f t="shared" si="3"/>
        <v>68067109.349999994</v>
      </c>
      <c r="D17" s="729">
        <v>68067109.349999994</v>
      </c>
      <c r="E17" s="431"/>
      <c r="F17" s="431"/>
      <c r="G17" s="431"/>
      <c r="H17" s="431"/>
      <c r="I17" s="431"/>
      <c r="J17" s="431"/>
      <c r="K17" s="431"/>
      <c r="L17" s="431"/>
      <c r="M17" s="431"/>
      <c r="N17" s="431"/>
      <c r="O17" s="431"/>
      <c r="P17" s="431"/>
      <c r="Q17" s="431"/>
      <c r="R17" s="431"/>
      <c r="S17" s="431"/>
      <c r="T17" s="431"/>
      <c r="U17" s="431"/>
      <c r="V17" s="431"/>
      <c r="W17" s="431"/>
      <c r="X17" s="431"/>
      <c r="Y17" s="431"/>
      <c r="Z17" s="431"/>
      <c r="AA17" s="431"/>
    </row>
    <row r="18" spans="1:27">
      <c r="A18" s="431">
        <v>2.2999999999999998</v>
      </c>
      <c r="B18" s="448" t="s">
        <v>534</v>
      </c>
      <c r="C18" s="448"/>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row>
    <row r="19" spans="1:27">
      <c r="A19" s="431">
        <v>2.4</v>
      </c>
      <c r="B19" s="448" t="s">
        <v>535</v>
      </c>
      <c r="C19" s="448"/>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row>
    <row r="20" spans="1:27">
      <c r="A20" s="431">
        <v>2.5</v>
      </c>
      <c r="B20" s="448" t="s">
        <v>536</v>
      </c>
      <c r="C20" s="448"/>
      <c r="D20" s="431"/>
      <c r="E20" s="431"/>
      <c r="F20" s="431"/>
      <c r="G20" s="431"/>
      <c r="H20" s="431"/>
      <c r="I20" s="431"/>
      <c r="J20" s="431"/>
      <c r="K20" s="431"/>
      <c r="L20" s="431"/>
      <c r="M20" s="431"/>
      <c r="N20" s="431"/>
      <c r="O20" s="431"/>
      <c r="P20" s="431"/>
      <c r="Q20" s="431"/>
      <c r="R20" s="431"/>
      <c r="S20" s="431"/>
      <c r="T20" s="431"/>
      <c r="U20" s="431"/>
      <c r="V20" s="431"/>
      <c r="W20" s="431"/>
      <c r="X20" s="431"/>
      <c r="Y20" s="431"/>
      <c r="Z20" s="431"/>
      <c r="AA20" s="431"/>
    </row>
    <row r="21" spans="1:27">
      <c r="A21" s="431">
        <v>2.6</v>
      </c>
      <c r="B21" s="448" t="s">
        <v>537</v>
      </c>
      <c r="C21" s="448"/>
      <c r="D21" s="431"/>
      <c r="E21" s="431"/>
      <c r="F21" s="431"/>
      <c r="G21" s="431"/>
      <c r="H21" s="431"/>
      <c r="I21" s="431"/>
      <c r="J21" s="431"/>
      <c r="K21" s="431"/>
      <c r="L21" s="431"/>
      <c r="M21" s="431"/>
      <c r="N21" s="431"/>
      <c r="O21" s="431"/>
      <c r="P21" s="431"/>
      <c r="Q21" s="431"/>
      <c r="R21" s="431"/>
      <c r="S21" s="431"/>
      <c r="T21" s="431"/>
      <c r="U21" s="431"/>
      <c r="V21" s="431"/>
      <c r="W21" s="431"/>
      <c r="X21" s="431"/>
      <c r="Y21" s="431"/>
      <c r="Z21" s="431"/>
      <c r="AA21" s="431"/>
    </row>
    <row r="22" spans="1:27">
      <c r="A22" s="458">
        <v>3</v>
      </c>
      <c r="B22" s="434" t="s">
        <v>539</v>
      </c>
      <c r="C22" s="736">
        <f>C27+C28</f>
        <v>446934782</v>
      </c>
      <c r="D22" s="434"/>
      <c r="E22" s="457"/>
      <c r="F22" s="457"/>
      <c r="G22" s="457"/>
      <c r="H22" s="434"/>
      <c r="I22" s="457"/>
      <c r="J22" s="457"/>
      <c r="K22" s="457"/>
      <c r="L22" s="434"/>
      <c r="M22" s="457"/>
      <c r="N22" s="457"/>
      <c r="O22" s="457"/>
      <c r="P22" s="457"/>
      <c r="Q22" s="457"/>
      <c r="R22" s="457"/>
      <c r="S22" s="457"/>
      <c r="T22" s="434"/>
      <c r="U22" s="457"/>
      <c r="V22" s="457"/>
      <c r="W22" s="457"/>
      <c r="X22" s="457"/>
      <c r="Y22" s="457"/>
      <c r="Z22" s="457"/>
      <c r="AA22" s="457"/>
    </row>
    <row r="23" spans="1:27">
      <c r="A23" s="431">
        <v>3.1</v>
      </c>
      <c r="B23" s="448" t="s">
        <v>532</v>
      </c>
      <c r="C23" s="448"/>
      <c r="D23" s="434"/>
      <c r="E23" s="457"/>
      <c r="F23" s="457"/>
      <c r="G23" s="457"/>
      <c r="H23" s="434"/>
      <c r="I23" s="457"/>
      <c r="J23" s="457"/>
      <c r="K23" s="457"/>
      <c r="L23" s="434"/>
      <c r="M23" s="457"/>
      <c r="N23" s="457"/>
      <c r="O23" s="457"/>
      <c r="P23" s="457"/>
      <c r="Q23" s="457"/>
      <c r="R23" s="457"/>
      <c r="S23" s="457"/>
      <c r="T23" s="434"/>
      <c r="U23" s="457"/>
      <c r="V23" s="457"/>
      <c r="W23" s="457"/>
      <c r="X23" s="457"/>
      <c r="Y23" s="457"/>
      <c r="Z23" s="457"/>
      <c r="AA23" s="457"/>
    </row>
    <row r="24" spans="1:27">
      <c r="A24" s="431">
        <v>3.2</v>
      </c>
      <c r="B24" s="448" t="s">
        <v>533</v>
      </c>
      <c r="C24" s="448"/>
      <c r="D24" s="434"/>
      <c r="E24" s="457"/>
      <c r="F24" s="457"/>
      <c r="G24" s="457"/>
      <c r="H24" s="434"/>
      <c r="I24" s="457"/>
      <c r="J24" s="457"/>
      <c r="K24" s="457"/>
      <c r="L24" s="434"/>
      <c r="M24" s="457"/>
      <c r="N24" s="457"/>
      <c r="O24" s="457"/>
      <c r="P24" s="457"/>
      <c r="Q24" s="457"/>
      <c r="R24" s="457"/>
      <c r="S24" s="457"/>
      <c r="T24" s="434"/>
      <c r="U24" s="457"/>
      <c r="V24" s="457"/>
      <c r="W24" s="457"/>
      <c r="X24" s="457"/>
      <c r="Y24" s="457"/>
      <c r="Z24" s="457"/>
      <c r="AA24" s="457"/>
    </row>
    <row r="25" spans="1:27">
      <c r="A25" s="431">
        <v>3.3</v>
      </c>
      <c r="B25" s="448" t="s">
        <v>534</v>
      </c>
      <c r="C25" s="448"/>
      <c r="D25" s="434"/>
      <c r="E25" s="457"/>
      <c r="F25" s="457"/>
      <c r="G25" s="457"/>
      <c r="H25" s="434"/>
      <c r="I25" s="457"/>
      <c r="J25" s="457"/>
      <c r="K25" s="457"/>
      <c r="L25" s="434"/>
      <c r="M25" s="457"/>
      <c r="N25" s="457"/>
      <c r="O25" s="457"/>
      <c r="P25" s="457"/>
      <c r="Q25" s="457"/>
      <c r="R25" s="457"/>
      <c r="S25" s="457"/>
      <c r="T25" s="434"/>
      <c r="U25" s="457"/>
      <c r="V25" s="457"/>
      <c r="W25" s="457"/>
      <c r="X25" s="457"/>
      <c r="Y25" s="457"/>
      <c r="Z25" s="457"/>
      <c r="AA25" s="457"/>
    </row>
    <row r="26" spans="1:27">
      <c r="A26" s="431">
        <v>3.4</v>
      </c>
      <c r="B26" s="448" t="s">
        <v>535</v>
      </c>
      <c r="C26" s="448"/>
      <c r="D26" s="434"/>
      <c r="E26" s="457"/>
      <c r="F26" s="457"/>
      <c r="G26" s="457"/>
      <c r="H26" s="434"/>
      <c r="I26" s="457"/>
      <c r="J26" s="457"/>
      <c r="K26" s="457"/>
      <c r="L26" s="434"/>
      <c r="M26" s="457"/>
      <c r="N26" s="457"/>
      <c r="O26" s="457"/>
      <c r="P26" s="457"/>
      <c r="Q26" s="457"/>
      <c r="R26" s="457"/>
      <c r="S26" s="457"/>
      <c r="T26" s="434"/>
      <c r="U26" s="457"/>
      <c r="V26" s="457"/>
      <c r="W26" s="457"/>
      <c r="X26" s="457"/>
      <c r="Y26" s="457"/>
      <c r="Z26" s="457"/>
      <c r="AA26" s="457"/>
    </row>
    <row r="27" spans="1:27">
      <c r="A27" s="431">
        <v>3.5</v>
      </c>
      <c r="B27" s="448" t="s">
        <v>536</v>
      </c>
      <c r="C27" s="737">
        <v>20737856</v>
      </c>
      <c r="D27" s="730">
        <v>20737856</v>
      </c>
      <c r="E27" s="457"/>
      <c r="F27" s="457"/>
      <c r="G27" s="457"/>
      <c r="H27" s="434"/>
      <c r="I27" s="457"/>
      <c r="J27" s="457"/>
      <c r="K27" s="457"/>
      <c r="L27" s="434"/>
      <c r="M27" s="457"/>
      <c r="N27" s="457"/>
      <c r="O27" s="457"/>
      <c r="P27" s="457"/>
      <c r="Q27" s="457"/>
      <c r="R27" s="457"/>
      <c r="S27" s="457"/>
      <c r="T27" s="434"/>
      <c r="U27" s="457"/>
      <c r="V27" s="457"/>
      <c r="W27" s="457"/>
      <c r="X27" s="457"/>
      <c r="Y27" s="457"/>
      <c r="Z27" s="457"/>
      <c r="AA27" s="457"/>
    </row>
    <row r="28" spans="1:27">
      <c r="A28" s="431">
        <v>3.6</v>
      </c>
      <c r="B28" s="448" t="s">
        <v>537</v>
      </c>
      <c r="C28" s="737">
        <v>426196926</v>
      </c>
      <c r="D28" s="730"/>
      <c r="E28" s="457"/>
      <c r="F28" s="457"/>
      <c r="G28" s="457"/>
      <c r="H28" s="434"/>
      <c r="I28" s="457"/>
      <c r="J28" s="457"/>
      <c r="K28" s="457"/>
      <c r="L28" s="434"/>
      <c r="M28" s="457"/>
      <c r="N28" s="457"/>
      <c r="O28" s="457"/>
      <c r="P28" s="457"/>
      <c r="Q28" s="457"/>
      <c r="R28" s="457"/>
      <c r="S28" s="457"/>
      <c r="T28" s="434"/>
      <c r="U28" s="457"/>
      <c r="V28" s="457"/>
      <c r="W28" s="457"/>
      <c r="X28" s="457"/>
      <c r="Y28" s="457"/>
      <c r="Z28" s="457"/>
      <c r="AA28" s="457"/>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topLeftCell="I1" zoomScale="80" zoomScaleNormal="80" workbookViewId="0">
      <selection activeCell="T8" activeCellId="3" sqref="D8 H8 L8 T8"/>
    </sheetView>
  </sheetViews>
  <sheetFormatPr defaultColWidth="9.21875" defaultRowHeight="12"/>
  <cols>
    <col min="1" max="1" width="11.77734375" style="441" bestFit="1" customWidth="1"/>
    <col min="2" max="2" width="90.21875" style="441" bestFit="1" customWidth="1"/>
    <col min="3" max="3" width="20.21875" style="441" customWidth="1"/>
    <col min="4" max="4" width="22.21875" style="441" customWidth="1"/>
    <col min="5" max="7" width="17.109375" style="441" customWidth="1"/>
    <col min="8" max="8" width="22.21875" style="441" customWidth="1"/>
    <col min="9" max="10" width="17.109375" style="441" customWidth="1"/>
    <col min="11" max="27" width="22.21875" style="441" customWidth="1"/>
    <col min="28" max="16384" width="9.21875" style="441"/>
  </cols>
  <sheetData>
    <row r="1" spans="1:27" ht="13.8">
      <c r="A1" s="319" t="s">
        <v>97</v>
      </c>
      <c r="B1" s="248" t="str">
        <f>Info!C2</f>
        <v>სს "კრედო ბანკი"</v>
      </c>
    </row>
    <row r="2" spans="1:27">
      <c r="A2" s="319" t="s">
        <v>98</v>
      </c>
      <c r="B2" s="322">
        <f>'1. key ratios'!B2</f>
        <v>46022</v>
      </c>
    </row>
    <row r="3" spans="1:27">
      <c r="A3" s="321" t="s">
        <v>540</v>
      </c>
      <c r="C3" s="443"/>
    </row>
    <row r="4" spans="1:27" ht="12.6" thickBot="1">
      <c r="A4" s="321"/>
      <c r="B4" s="443"/>
      <c r="C4" s="443"/>
    </row>
    <row r="5" spans="1:27" ht="13.5" customHeight="1">
      <c r="A5" s="875" t="s">
        <v>869</v>
      </c>
      <c r="B5" s="876"/>
      <c r="C5" s="872" t="s">
        <v>541</v>
      </c>
      <c r="D5" s="873"/>
      <c r="E5" s="873"/>
      <c r="F5" s="873"/>
      <c r="G5" s="873"/>
      <c r="H5" s="873"/>
      <c r="I5" s="873"/>
      <c r="J5" s="873"/>
      <c r="K5" s="873"/>
      <c r="L5" s="873"/>
      <c r="M5" s="873"/>
      <c r="N5" s="873"/>
      <c r="O5" s="873"/>
      <c r="P5" s="873"/>
      <c r="Q5" s="873"/>
      <c r="R5" s="873"/>
      <c r="S5" s="873"/>
      <c r="T5" s="873"/>
      <c r="U5" s="873"/>
      <c r="V5" s="873"/>
      <c r="W5" s="873"/>
      <c r="X5" s="873"/>
      <c r="Y5" s="873"/>
      <c r="Z5" s="873"/>
      <c r="AA5" s="874"/>
    </row>
    <row r="6" spans="1:27" ht="12" customHeight="1">
      <c r="A6" s="877"/>
      <c r="B6" s="878"/>
      <c r="C6" s="881" t="s">
        <v>66</v>
      </c>
      <c r="D6" s="846" t="s">
        <v>860</v>
      </c>
      <c r="E6" s="846"/>
      <c r="F6" s="846"/>
      <c r="G6" s="846"/>
      <c r="H6" s="867" t="s">
        <v>859</v>
      </c>
      <c r="I6" s="868"/>
      <c r="J6" s="868"/>
      <c r="K6" s="868"/>
      <c r="L6" s="465"/>
      <c r="M6" s="850" t="s">
        <v>858</v>
      </c>
      <c r="N6" s="850"/>
      <c r="O6" s="850"/>
      <c r="P6" s="850"/>
      <c r="Q6" s="850"/>
      <c r="R6" s="850"/>
      <c r="S6" s="848"/>
      <c r="T6" s="465"/>
      <c r="U6" s="850" t="s">
        <v>857</v>
      </c>
      <c r="V6" s="850"/>
      <c r="W6" s="850"/>
      <c r="X6" s="850"/>
      <c r="Y6" s="850"/>
      <c r="Z6" s="850"/>
      <c r="AA6" s="871"/>
    </row>
    <row r="7" spans="1:27" ht="36">
      <c r="A7" s="879"/>
      <c r="B7" s="880"/>
      <c r="C7" s="882"/>
      <c r="D7" s="463"/>
      <c r="E7" s="438" t="s">
        <v>530</v>
      </c>
      <c r="F7" s="438" t="s">
        <v>855</v>
      </c>
      <c r="G7" s="438" t="s">
        <v>856</v>
      </c>
      <c r="H7" s="442"/>
      <c r="I7" s="438" t="s">
        <v>530</v>
      </c>
      <c r="J7" s="438" t="s">
        <v>855</v>
      </c>
      <c r="K7" s="438" t="s">
        <v>856</v>
      </c>
      <c r="L7" s="460"/>
      <c r="M7" s="438" t="s">
        <v>530</v>
      </c>
      <c r="N7" s="438" t="s">
        <v>868</v>
      </c>
      <c r="O7" s="438" t="s">
        <v>867</v>
      </c>
      <c r="P7" s="438" t="s">
        <v>866</v>
      </c>
      <c r="Q7" s="438" t="s">
        <v>865</v>
      </c>
      <c r="R7" s="438" t="s">
        <v>864</v>
      </c>
      <c r="S7" s="438" t="s">
        <v>850</v>
      </c>
      <c r="T7" s="460"/>
      <c r="U7" s="438" t="s">
        <v>530</v>
      </c>
      <c r="V7" s="438" t="s">
        <v>868</v>
      </c>
      <c r="W7" s="438" t="s">
        <v>867</v>
      </c>
      <c r="X7" s="438" t="s">
        <v>866</v>
      </c>
      <c r="Y7" s="438" t="s">
        <v>865</v>
      </c>
      <c r="Z7" s="438" t="s">
        <v>864</v>
      </c>
      <c r="AA7" s="438" t="s">
        <v>850</v>
      </c>
    </row>
    <row r="8" spans="1:27">
      <c r="A8" s="486">
        <v>1</v>
      </c>
      <c r="B8" s="485" t="s">
        <v>531</v>
      </c>
      <c r="C8" s="748">
        <f>D8+H8+L8+T8</f>
        <v>3138763963.3034592</v>
      </c>
      <c r="D8" s="729">
        <v>2984976952.3697338</v>
      </c>
      <c r="E8" s="729">
        <v>12329950.294318853</v>
      </c>
      <c r="F8" s="729">
        <v>0</v>
      </c>
      <c r="G8" s="729">
        <v>0</v>
      </c>
      <c r="H8" s="729">
        <v>130333817.39772102</v>
      </c>
      <c r="I8" s="729">
        <v>5216824.5595741365</v>
      </c>
      <c r="J8" s="729">
        <v>18731714.920633543</v>
      </c>
      <c r="K8" s="729">
        <v>0</v>
      </c>
      <c r="L8" s="729">
        <v>23442761.255362593</v>
      </c>
      <c r="M8" s="729">
        <v>113772.70544623745</v>
      </c>
      <c r="N8" s="729">
        <v>1643372.0981760549</v>
      </c>
      <c r="O8" s="729">
        <v>19853292.049574427</v>
      </c>
      <c r="P8" s="729">
        <v>0</v>
      </c>
      <c r="Q8" s="729">
        <v>0</v>
      </c>
      <c r="R8" s="729">
        <v>0</v>
      </c>
      <c r="S8" s="729">
        <v>0</v>
      </c>
      <c r="T8" s="729">
        <v>10432.280642149</v>
      </c>
      <c r="U8" s="729"/>
      <c r="V8" s="729"/>
      <c r="W8" s="729"/>
      <c r="X8" s="729"/>
      <c r="Y8" s="729"/>
      <c r="Z8" s="729"/>
      <c r="AA8" s="749"/>
    </row>
    <row r="9" spans="1:27">
      <c r="A9" s="478">
        <v>1.1000000000000001</v>
      </c>
      <c r="B9" s="484" t="s">
        <v>542</v>
      </c>
      <c r="C9" s="750">
        <f>D9+H9+L9+T9</f>
        <v>1293982198.8451679</v>
      </c>
      <c r="D9" s="729">
        <v>1267118968.8821483</v>
      </c>
      <c r="E9" s="729">
        <v>2139458.6956753344</v>
      </c>
      <c r="F9" s="729">
        <v>0</v>
      </c>
      <c r="G9" s="729">
        <v>0</v>
      </c>
      <c r="H9" s="729">
        <v>20765033.190453563</v>
      </c>
      <c r="I9" s="729">
        <v>248187.59081723297</v>
      </c>
      <c r="J9" s="729">
        <v>3032949.7850456834</v>
      </c>
      <c r="K9" s="729">
        <v>0</v>
      </c>
      <c r="L9" s="729">
        <v>6098196.772566177</v>
      </c>
      <c r="M9" s="729">
        <v>1446.8027426629301</v>
      </c>
      <c r="N9" s="729">
        <v>281228.15104452369</v>
      </c>
      <c r="O9" s="729">
        <v>5291232.9950559987</v>
      </c>
      <c r="P9" s="729">
        <v>0</v>
      </c>
      <c r="Q9" s="729">
        <v>0</v>
      </c>
      <c r="R9" s="729">
        <v>0</v>
      </c>
      <c r="S9" s="729">
        <v>0</v>
      </c>
      <c r="T9" s="729"/>
      <c r="U9" s="729"/>
      <c r="V9" s="729"/>
      <c r="W9" s="729"/>
      <c r="X9" s="729"/>
      <c r="Y9" s="729"/>
      <c r="Z9" s="729"/>
      <c r="AA9" s="749"/>
    </row>
    <row r="10" spans="1:27">
      <c r="A10" s="482" t="s">
        <v>146</v>
      </c>
      <c r="B10" s="483" t="s">
        <v>543</v>
      </c>
      <c r="C10" s="751">
        <f>SUM(C11:C14)</f>
        <v>1160316504.1755385</v>
      </c>
      <c r="D10" s="751">
        <f t="shared" ref="D10:AA10" si="0">SUM(D11:D14)</f>
        <v>1137816662.2093079</v>
      </c>
      <c r="E10" s="751">
        <f t="shared" si="0"/>
        <v>1282675.376068155</v>
      </c>
      <c r="F10" s="751">
        <f t="shared" si="0"/>
        <v>0</v>
      </c>
      <c r="G10" s="751">
        <f t="shared" si="0"/>
        <v>0</v>
      </c>
      <c r="H10" s="751">
        <f t="shared" si="0"/>
        <v>18478433.322233137</v>
      </c>
      <c r="I10" s="751">
        <f t="shared" si="0"/>
        <v>172856.77995713925</v>
      </c>
      <c r="J10" s="751">
        <f t="shared" si="0"/>
        <v>2062123.0473958054</v>
      </c>
      <c r="K10" s="751">
        <f t="shared" si="0"/>
        <v>526096.04907474306</v>
      </c>
      <c r="L10" s="751">
        <f t="shared" si="0"/>
        <v>4021408.6439976785</v>
      </c>
      <c r="M10" s="751">
        <f t="shared" si="0"/>
        <v>0</v>
      </c>
      <c r="N10" s="751">
        <f t="shared" si="0"/>
        <v>133394.69500542938</v>
      </c>
      <c r="O10" s="751">
        <f t="shared" si="0"/>
        <v>3705647.791602876</v>
      </c>
      <c r="P10" s="751">
        <f t="shared" si="0"/>
        <v>0</v>
      </c>
      <c r="Q10" s="751">
        <f t="shared" si="0"/>
        <v>0</v>
      </c>
      <c r="R10" s="751">
        <f t="shared" si="0"/>
        <v>0</v>
      </c>
      <c r="S10" s="751">
        <f t="shared" si="0"/>
        <v>0</v>
      </c>
      <c r="T10" s="751">
        <f t="shared" si="0"/>
        <v>0</v>
      </c>
      <c r="U10" s="751">
        <f t="shared" si="0"/>
        <v>0</v>
      </c>
      <c r="V10" s="751">
        <f t="shared" si="0"/>
        <v>0</v>
      </c>
      <c r="W10" s="751">
        <f t="shared" si="0"/>
        <v>0</v>
      </c>
      <c r="X10" s="751">
        <f t="shared" si="0"/>
        <v>0</v>
      </c>
      <c r="Y10" s="751">
        <f t="shared" si="0"/>
        <v>0</v>
      </c>
      <c r="Z10" s="751">
        <f t="shared" si="0"/>
        <v>0</v>
      </c>
      <c r="AA10" s="751">
        <f t="shared" si="0"/>
        <v>0</v>
      </c>
    </row>
    <row r="11" spans="1:27">
      <c r="A11" s="480" t="s">
        <v>544</v>
      </c>
      <c r="B11" s="481" t="s">
        <v>545</v>
      </c>
      <c r="C11" s="750">
        <f>D11+H11+L11+T11</f>
        <v>656241446.83401632</v>
      </c>
      <c r="D11" s="729">
        <v>646131900.94007492</v>
      </c>
      <c r="E11" s="729">
        <v>1094167.3919053315</v>
      </c>
      <c r="F11" s="729">
        <v>0</v>
      </c>
      <c r="G11" s="729">
        <v>0</v>
      </c>
      <c r="H11" s="729">
        <v>9335219.6547681838</v>
      </c>
      <c r="I11" s="729">
        <v>125270.23489323295</v>
      </c>
      <c r="J11" s="729">
        <v>876397.93643613986</v>
      </c>
      <c r="K11" s="729">
        <v>0</v>
      </c>
      <c r="L11" s="729">
        <v>774326.2391731625</v>
      </c>
      <c r="M11" s="729">
        <v>0</v>
      </c>
      <c r="N11" s="729">
        <v>110630.84863022179</v>
      </c>
      <c r="O11" s="729">
        <v>481329.23315356765</v>
      </c>
      <c r="P11" s="729"/>
      <c r="Q11" s="729"/>
      <c r="R11" s="729"/>
      <c r="S11" s="729"/>
      <c r="T11" s="729"/>
      <c r="U11" s="729"/>
      <c r="V11" s="729"/>
      <c r="W11" s="729"/>
      <c r="X11" s="729"/>
      <c r="Y11" s="729"/>
      <c r="Z11" s="729"/>
      <c r="AA11" s="749"/>
    </row>
    <row r="12" spans="1:27">
      <c r="A12" s="480" t="s">
        <v>546</v>
      </c>
      <c r="B12" s="481" t="s">
        <v>547</v>
      </c>
      <c r="C12" s="750">
        <f t="shared" ref="C12:C15" si="1">D12+H12+L12+T12</f>
        <v>272640543.17787808</v>
      </c>
      <c r="D12" s="729">
        <v>268906142.6723029</v>
      </c>
      <c r="E12" s="729">
        <v>100075.654317404</v>
      </c>
      <c r="F12" s="729">
        <v>0</v>
      </c>
      <c r="G12" s="729">
        <v>0</v>
      </c>
      <c r="H12" s="729">
        <v>2316752.755415088</v>
      </c>
      <c r="I12" s="729">
        <v>0</v>
      </c>
      <c r="J12" s="729">
        <v>184580.5183059854</v>
      </c>
      <c r="K12" s="729">
        <v>0</v>
      </c>
      <c r="L12" s="729">
        <v>1417647.7501601144</v>
      </c>
      <c r="M12" s="729">
        <v>0</v>
      </c>
      <c r="N12" s="729">
        <v>22763.846375207599</v>
      </c>
      <c r="O12" s="729">
        <v>1394883.9037849067</v>
      </c>
      <c r="P12" s="729"/>
      <c r="Q12" s="729"/>
      <c r="R12" s="729"/>
      <c r="S12" s="729"/>
      <c r="T12" s="729"/>
      <c r="U12" s="729"/>
      <c r="V12" s="729"/>
      <c r="W12" s="729"/>
      <c r="X12" s="729"/>
      <c r="Y12" s="729"/>
      <c r="Z12" s="729"/>
      <c r="AA12" s="749"/>
    </row>
    <row r="13" spans="1:27">
      <c r="A13" s="480" t="s">
        <v>548</v>
      </c>
      <c r="B13" s="481" t="s">
        <v>549</v>
      </c>
      <c r="C13" s="750">
        <f t="shared" si="1"/>
        <v>107641311.39269069</v>
      </c>
      <c r="D13" s="729">
        <v>106132801.86864111</v>
      </c>
      <c r="E13" s="729">
        <v>88432.32984541959</v>
      </c>
      <c r="F13" s="729">
        <v>0</v>
      </c>
      <c r="G13" s="729">
        <v>0</v>
      </c>
      <c r="H13" s="729">
        <v>1364857.0505188603</v>
      </c>
      <c r="I13" s="729">
        <v>47586.545063906298</v>
      </c>
      <c r="J13" s="729">
        <v>475048.54357893707</v>
      </c>
      <c r="K13" s="729">
        <v>0</v>
      </c>
      <c r="L13" s="729">
        <v>143652.47353071999</v>
      </c>
      <c r="M13" s="729">
        <v>0</v>
      </c>
      <c r="N13" s="729">
        <v>0</v>
      </c>
      <c r="O13" s="729">
        <v>143652.47353071999</v>
      </c>
      <c r="P13" s="729"/>
      <c r="Q13" s="729"/>
      <c r="R13" s="729"/>
      <c r="S13" s="729"/>
      <c r="T13" s="729"/>
      <c r="U13" s="729"/>
      <c r="V13" s="729"/>
      <c r="W13" s="729"/>
      <c r="X13" s="729"/>
      <c r="Y13" s="729"/>
      <c r="Z13" s="729"/>
      <c r="AA13" s="749"/>
    </row>
    <row r="14" spans="1:27">
      <c r="A14" s="480" t="s">
        <v>550</v>
      </c>
      <c r="B14" s="481" t="s">
        <v>551</v>
      </c>
      <c r="C14" s="750">
        <f t="shared" si="1"/>
        <v>123793202.77095348</v>
      </c>
      <c r="D14" s="729">
        <v>116645816.72828878</v>
      </c>
      <c r="E14" s="729">
        <v>0</v>
      </c>
      <c r="F14" s="729">
        <v>0</v>
      </c>
      <c r="G14" s="729">
        <v>0</v>
      </c>
      <c r="H14" s="729">
        <v>5461603.8615310043</v>
      </c>
      <c r="I14" s="729">
        <v>0</v>
      </c>
      <c r="J14" s="729">
        <v>526096.04907474306</v>
      </c>
      <c r="K14" s="729">
        <v>526096.04907474306</v>
      </c>
      <c r="L14" s="729">
        <v>1685782.1811336819</v>
      </c>
      <c r="M14" s="729">
        <v>0</v>
      </c>
      <c r="N14" s="729">
        <v>0</v>
      </c>
      <c r="O14" s="729">
        <v>1685782.1811336819</v>
      </c>
      <c r="P14" s="729"/>
      <c r="Q14" s="729"/>
      <c r="R14" s="729"/>
      <c r="S14" s="729"/>
      <c r="T14" s="729"/>
      <c r="U14" s="729"/>
      <c r="V14" s="729"/>
      <c r="W14" s="729"/>
      <c r="X14" s="729"/>
      <c r="Y14" s="729"/>
      <c r="Z14" s="729"/>
      <c r="AA14" s="749"/>
    </row>
    <row r="15" spans="1:27">
      <c r="A15" s="479">
        <v>1.2</v>
      </c>
      <c r="B15" s="477" t="s">
        <v>863</v>
      </c>
      <c r="C15" s="750">
        <f t="shared" si="1"/>
        <v>11327899.18103548</v>
      </c>
      <c r="D15" s="729">
        <v>4636483.3131335154</v>
      </c>
      <c r="E15" s="729">
        <v>323282.45026158507</v>
      </c>
      <c r="F15" s="729">
        <v>0</v>
      </c>
      <c r="G15" s="729">
        <v>0</v>
      </c>
      <c r="H15" s="729">
        <v>3111682.3939661062</v>
      </c>
      <c r="I15" s="729">
        <v>45832.70858794266</v>
      </c>
      <c r="J15" s="729">
        <v>1007457.3411017442</v>
      </c>
      <c r="K15" s="729">
        <v>0</v>
      </c>
      <c r="L15" s="729">
        <v>3579733.4739358569</v>
      </c>
      <c r="M15" s="729">
        <v>1167.0117577424751</v>
      </c>
      <c r="N15" s="729">
        <v>184741.88509500647</v>
      </c>
      <c r="O15" s="729">
        <v>3065477.2927895039</v>
      </c>
      <c r="P15" s="729"/>
      <c r="Q15" s="729"/>
      <c r="R15" s="729"/>
      <c r="S15" s="729"/>
      <c r="T15" s="729"/>
      <c r="U15" s="729"/>
      <c r="V15" s="729"/>
      <c r="W15" s="729"/>
      <c r="X15" s="729"/>
      <c r="Y15" s="729"/>
      <c r="Z15" s="729"/>
      <c r="AA15" s="749"/>
    </row>
    <row r="16" spans="1:27">
      <c r="A16" s="478">
        <v>1.3</v>
      </c>
      <c r="B16" s="477" t="s">
        <v>552</v>
      </c>
      <c r="C16" s="752"/>
      <c r="D16" s="753"/>
      <c r="E16" s="753"/>
      <c r="F16" s="753"/>
      <c r="G16" s="753"/>
      <c r="H16" s="753"/>
      <c r="I16" s="753"/>
      <c r="J16" s="753"/>
      <c r="K16" s="753"/>
      <c r="L16" s="753"/>
      <c r="M16" s="753"/>
      <c r="N16" s="753"/>
      <c r="O16" s="753"/>
      <c r="P16" s="753"/>
      <c r="Q16" s="753"/>
      <c r="R16" s="753"/>
      <c r="S16" s="753"/>
      <c r="T16" s="753"/>
      <c r="U16" s="753"/>
      <c r="V16" s="753"/>
      <c r="W16" s="753"/>
      <c r="X16" s="753"/>
      <c r="Y16" s="753"/>
      <c r="Z16" s="753"/>
      <c r="AA16" s="754"/>
    </row>
    <row r="17" spans="1:27" ht="24">
      <c r="A17" s="474" t="s">
        <v>553</v>
      </c>
      <c r="B17" s="476" t="s">
        <v>554</v>
      </c>
      <c r="C17" s="748">
        <f>D17+H17+L17+T17</f>
        <v>1267076066.8534634</v>
      </c>
      <c r="D17" s="729">
        <v>1241364054.361526</v>
      </c>
      <c r="E17" s="729">
        <v>2136136.5998612167</v>
      </c>
      <c r="F17" s="729">
        <v>0</v>
      </c>
      <c r="G17" s="729">
        <v>0</v>
      </c>
      <c r="H17" s="729">
        <v>20013066.537965421</v>
      </c>
      <c r="I17" s="729">
        <v>248187.59081723297</v>
      </c>
      <c r="J17" s="729">
        <v>2856193.6758229234</v>
      </c>
      <c r="K17" s="729">
        <v>0</v>
      </c>
      <c r="L17" s="729">
        <v>5698945.9539719364</v>
      </c>
      <c r="M17" s="729">
        <v>1446.8027426629301</v>
      </c>
      <c r="N17" s="729">
        <v>279500.36084617174</v>
      </c>
      <c r="O17" s="729">
        <v>4893709.9666601093</v>
      </c>
      <c r="P17" s="729">
        <v>0</v>
      </c>
      <c r="Q17" s="729">
        <v>0</v>
      </c>
      <c r="R17" s="729">
        <v>0</v>
      </c>
      <c r="S17" s="729">
        <v>0</v>
      </c>
      <c r="T17" s="729">
        <v>0</v>
      </c>
      <c r="U17" s="729">
        <v>0</v>
      </c>
      <c r="V17" s="729"/>
      <c r="W17" s="729"/>
      <c r="X17" s="729"/>
      <c r="Y17" s="729"/>
      <c r="Z17" s="729"/>
      <c r="AA17" s="749"/>
    </row>
    <row r="18" spans="1:27" ht="24">
      <c r="A18" s="472" t="s">
        <v>555</v>
      </c>
      <c r="B18" s="473" t="s">
        <v>556</v>
      </c>
      <c r="C18" s="748">
        <f t="shared" ref="C18:C22" si="2">D18+H18+L18+T18</f>
        <v>1127155305.5130999</v>
      </c>
      <c r="D18" s="729">
        <v>1106075266.9473236</v>
      </c>
      <c r="E18" s="729">
        <v>1282675.376068155</v>
      </c>
      <c r="F18" s="729">
        <v>0</v>
      </c>
      <c r="G18" s="729">
        <v>0</v>
      </c>
      <c r="H18" s="729">
        <v>17558820.737271357</v>
      </c>
      <c r="I18" s="729">
        <v>172856.77995713925</v>
      </c>
      <c r="J18" s="729">
        <v>1904986.1883210631</v>
      </c>
      <c r="K18" s="729">
        <v>0</v>
      </c>
      <c r="L18" s="729">
        <v>3521217.8285050485</v>
      </c>
      <c r="M18" s="729">
        <v>0</v>
      </c>
      <c r="N18" s="729">
        <v>133394.69500542941</v>
      </c>
      <c r="O18" s="729">
        <v>3205456.9761102456</v>
      </c>
      <c r="P18" s="729">
        <v>0</v>
      </c>
      <c r="Q18" s="729">
        <v>0</v>
      </c>
      <c r="R18" s="729">
        <v>0</v>
      </c>
      <c r="S18" s="729">
        <v>0</v>
      </c>
      <c r="T18" s="729">
        <v>0</v>
      </c>
      <c r="U18" s="729">
        <v>0</v>
      </c>
      <c r="V18" s="729"/>
      <c r="W18" s="729"/>
      <c r="X18" s="729"/>
      <c r="Y18" s="729"/>
      <c r="Z18" s="729"/>
      <c r="AA18" s="749"/>
    </row>
    <row r="19" spans="1:27">
      <c r="A19" s="474" t="s">
        <v>557</v>
      </c>
      <c r="B19" s="475" t="s">
        <v>558</v>
      </c>
      <c r="C19" s="748">
        <f t="shared" si="2"/>
        <v>1629827973.1032667</v>
      </c>
      <c r="D19" s="729">
        <v>1610630787.8730567</v>
      </c>
      <c r="E19" s="729">
        <v>3098741.3692383487</v>
      </c>
      <c r="F19" s="729">
        <v>0</v>
      </c>
      <c r="G19" s="729">
        <v>0</v>
      </c>
      <c r="H19" s="729">
        <v>15499075.472435769</v>
      </c>
      <c r="I19" s="729">
        <v>206669.14747188933</v>
      </c>
      <c r="J19" s="729">
        <v>1973169.4440654381</v>
      </c>
      <c r="K19" s="729">
        <v>0</v>
      </c>
      <c r="L19" s="729">
        <v>3698109.757774326</v>
      </c>
      <c r="M19" s="729">
        <v>34953.197257337</v>
      </c>
      <c r="N19" s="729">
        <v>212844.08748600644</v>
      </c>
      <c r="O19" s="729">
        <v>2633201.6440355494</v>
      </c>
      <c r="P19" s="729">
        <v>0</v>
      </c>
      <c r="Q19" s="729">
        <v>0</v>
      </c>
      <c r="R19" s="729">
        <v>0</v>
      </c>
      <c r="S19" s="729">
        <v>0</v>
      </c>
      <c r="T19" s="729">
        <v>0</v>
      </c>
      <c r="U19" s="729">
        <v>0</v>
      </c>
      <c r="V19" s="729"/>
      <c r="W19" s="729"/>
      <c r="X19" s="729"/>
      <c r="Y19" s="729"/>
      <c r="Z19" s="729"/>
      <c r="AA19" s="749"/>
    </row>
    <row r="20" spans="1:27">
      <c r="A20" s="472" t="s">
        <v>559</v>
      </c>
      <c r="B20" s="473" t="s">
        <v>560</v>
      </c>
      <c r="C20" s="748">
        <f t="shared" si="2"/>
        <v>1475255222.778789</v>
      </c>
      <c r="D20" s="729">
        <v>1458972530.582418</v>
      </c>
      <c r="E20" s="729">
        <v>2436839.4749314105</v>
      </c>
      <c r="F20" s="729">
        <v>0</v>
      </c>
      <c r="G20" s="729">
        <v>0</v>
      </c>
      <c r="H20" s="729">
        <v>13840378.065529829</v>
      </c>
      <c r="I20" s="729">
        <v>170239.9583319831</v>
      </c>
      <c r="J20" s="729">
        <v>1575628.9315673006</v>
      </c>
      <c r="K20" s="729">
        <v>0</v>
      </c>
      <c r="L20" s="729">
        <v>2442314.1308412198</v>
      </c>
      <c r="M20" s="729">
        <v>0</v>
      </c>
      <c r="N20" s="729">
        <v>118739.75332674869</v>
      </c>
      <c r="O20" s="729">
        <v>1699860.8821854177</v>
      </c>
      <c r="P20" s="729">
        <v>0</v>
      </c>
      <c r="Q20" s="729">
        <v>0</v>
      </c>
      <c r="R20" s="729">
        <v>0</v>
      </c>
      <c r="S20" s="729">
        <v>0</v>
      </c>
      <c r="T20" s="729">
        <v>0</v>
      </c>
      <c r="U20" s="729">
        <v>0</v>
      </c>
      <c r="V20" s="729"/>
      <c r="W20" s="729"/>
      <c r="X20" s="729"/>
      <c r="Y20" s="729"/>
      <c r="Z20" s="729"/>
      <c r="AA20" s="749"/>
    </row>
    <row r="21" spans="1:27">
      <c r="A21" s="471">
        <v>1.4</v>
      </c>
      <c r="B21" s="470" t="s">
        <v>649</v>
      </c>
      <c r="C21" s="748">
        <f t="shared" si="2"/>
        <v>36871.54844534181</v>
      </c>
      <c r="D21" s="729">
        <v>36871.54844534181</v>
      </c>
      <c r="E21" s="729">
        <v>0</v>
      </c>
      <c r="F21" s="729">
        <v>0</v>
      </c>
      <c r="G21" s="729">
        <v>0</v>
      </c>
      <c r="H21" s="729">
        <v>0</v>
      </c>
      <c r="I21" s="729">
        <v>0</v>
      </c>
      <c r="J21" s="729">
        <v>0</v>
      </c>
      <c r="K21" s="729">
        <v>0</v>
      </c>
      <c r="L21" s="729">
        <v>0</v>
      </c>
      <c r="M21" s="729">
        <v>0</v>
      </c>
      <c r="N21" s="729">
        <v>0</v>
      </c>
      <c r="O21" s="729">
        <v>0</v>
      </c>
      <c r="P21" s="729">
        <v>0</v>
      </c>
      <c r="Q21" s="729">
        <v>0</v>
      </c>
      <c r="R21" s="729">
        <v>0</v>
      </c>
      <c r="S21" s="729">
        <v>0</v>
      </c>
      <c r="T21" s="729">
        <v>0</v>
      </c>
      <c r="U21" s="729">
        <v>0</v>
      </c>
      <c r="V21" s="729"/>
      <c r="W21" s="729"/>
      <c r="X21" s="729"/>
      <c r="Y21" s="729"/>
      <c r="Z21" s="729"/>
      <c r="AA21" s="749"/>
    </row>
    <row r="22" spans="1:27" ht="12.6" thickBot="1">
      <c r="A22" s="469">
        <v>1.5</v>
      </c>
      <c r="B22" s="468" t="s">
        <v>650</v>
      </c>
      <c r="C22" s="748">
        <f t="shared" si="2"/>
        <v>0</v>
      </c>
      <c r="D22" s="755"/>
      <c r="E22" s="755"/>
      <c r="F22" s="755"/>
      <c r="G22" s="755"/>
      <c r="H22" s="755"/>
      <c r="I22" s="755"/>
      <c r="J22" s="755"/>
      <c r="K22" s="755"/>
      <c r="L22" s="755"/>
      <c r="M22" s="755"/>
      <c r="N22" s="755"/>
      <c r="O22" s="755"/>
      <c r="P22" s="755"/>
      <c r="Q22" s="755"/>
      <c r="R22" s="755"/>
      <c r="S22" s="755"/>
      <c r="T22" s="755"/>
      <c r="U22" s="755"/>
      <c r="V22" s="755"/>
      <c r="W22" s="755"/>
      <c r="X22" s="755"/>
      <c r="Y22" s="755"/>
      <c r="Z22" s="755"/>
      <c r="AA22" s="756"/>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H72"/>
  <sheetViews>
    <sheetView topLeftCell="A51" zoomScale="90" zoomScaleNormal="90" workbookViewId="0">
      <selection activeCell="F55" sqref="F55:G69"/>
    </sheetView>
  </sheetViews>
  <sheetFormatPr defaultRowHeight="14.4"/>
  <cols>
    <col min="1" max="1" width="8.77734375" style="393"/>
    <col min="2" max="2" width="69.21875" style="367" customWidth="1"/>
    <col min="3" max="3" width="17.88671875" bestFit="1" customWidth="1"/>
    <col min="4" max="5" width="15" bestFit="1" customWidth="1"/>
    <col min="6" max="6" width="16.6640625" bestFit="1" customWidth="1"/>
    <col min="7" max="7" width="13.21875" customWidth="1"/>
    <col min="8" max="8" width="15" bestFit="1" customWidth="1"/>
  </cols>
  <sheetData>
    <row r="1" spans="1:8">
      <c r="A1" s="13" t="s">
        <v>97</v>
      </c>
      <c r="B1" s="248" t="str">
        <f>Info!C2</f>
        <v>სს "კრედო ბანკი"</v>
      </c>
      <c r="C1" s="12"/>
      <c r="D1" s="1"/>
      <c r="E1" s="1"/>
      <c r="F1" s="1"/>
      <c r="G1" s="1"/>
    </row>
    <row r="2" spans="1:8">
      <c r="A2" s="13" t="s">
        <v>98</v>
      </c>
      <c r="B2" s="276">
        <f>'1. key ratios'!B2</f>
        <v>46022</v>
      </c>
      <c r="C2" s="12"/>
      <c r="D2" s="1"/>
      <c r="E2" s="1"/>
      <c r="F2" s="1"/>
      <c r="G2" s="1"/>
    </row>
    <row r="3" spans="1:8">
      <c r="A3" s="13"/>
      <c r="B3" s="12"/>
      <c r="C3" s="12"/>
      <c r="D3" s="1"/>
      <c r="E3" s="1"/>
      <c r="F3" s="1"/>
      <c r="G3" s="1"/>
    </row>
    <row r="4" spans="1:8" ht="21" customHeight="1">
      <c r="A4" s="781" t="s">
        <v>25</v>
      </c>
      <c r="B4" s="782" t="s">
        <v>697</v>
      </c>
      <c r="C4" s="784" t="s">
        <v>103</v>
      </c>
      <c r="D4" s="784"/>
      <c r="E4" s="784"/>
      <c r="F4" s="784" t="s">
        <v>104</v>
      </c>
      <c r="G4" s="784"/>
      <c r="H4" s="785"/>
    </row>
    <row r="5" spans="1:8" ht="21" customHeight="1">
      <c r="A5" s="781"/>
      <c r="B5" s="783"/>
      <c r="C5" s="339" t="s">
        <v>26</v>
      </c>
      <c r="D5" s="339" t="s">
        <v>77</v>
      </c>
      <c r="E5" s="339" t="s">
        <v>66</v>
      </c>
      <c r="F5" s="339" t="s">
        <v>26</v>
      </c>
      <c r="G5" s="339" t="s">
        <v>77</v>
      </c>
      <c r="H5" s="339" t="s">
        <v>66</v>
      </c>
    </row>
    <row r="6" spans="1:8" ht="26.55" customHeight="1">
      <c r="A6" s="781"/>
      <c r="B6" s="340" t="s">
        <v>84</v>
      </c>
      <c r="C6" s="775"/>
      <c r="D6" s="776"/>
      <c r="E6" s="776"/>
      <c r="F6" s="776"/>
      <c r="G6" s="776"/>
      <c r="H6" s="777"/>
    </row>
    <row r="7" spans="1:8" ht="22.95" customHeight="1">
      <c r="A7" s="382">
        <v>1</v>
      </c>
      <c r="B7" s="341" t="s">
        <v>811</v>
      </c>
      <c r="C7" s="659">
        <f>SUM(C8:C10)</f>
        <v>336281205.34999996</v>
      </c>
      <c r="D7" s="659">
        <f>SUM(D8:D10)</f>
        <v>267496923.38146052</v>
      </c>
      <c r="E7" s="660">
        <f>C7+D7</f>
        <v>603778128.73146045</v>
      </c>
      <c r="F7" s="659">
        <f>SUM(F8:F10)</f>
        <v>193809112.13999999</v>
      </c>
      <c r="G7" s="659">
        <f>SUM(G8:G10)</f>
        <v>193960662.11640656</v>
      </c>
      <c r="H7" s="660">
        <f>F7+G7</f>
        <v>387769774.25640655</v>
      </c>
    </row>
    <row r="8" spans="1:8">
      <c r="A8" s="382">
        <v>1.1000000000000001</v>
      </c>
      <c r="B8" s="343" t="s">
        <v>85</v>
      </c>
      <c r="C8" s="663">
        <v>57944487.269999996</v>
      </c>
      <c r="D8" s="663">
        <v>40527390.599999994</v>
      </c>
      <c r="E8" s="660">
        <f t="shared" ref="E8:E36" si="0">C8+D8</f>
        <v>98471877.86999999</v>
      </c>
      <c r="F8" s="657">
        <v>58820315.449999996</v>
      </c>
      <c r="G8" s="657">
        <v>50104169.080000006</v>
      </c>
      <c r="H8" s="660">
        <f t="shared" ref="H8:H36" si="1">F8+G8</f>
        <v>108924484.53</v>
      </c>
    </row>
    <row r="9" spans="1:8">
      <c r="A9" s="382">
        <v>1.2</v>
      </c>
      <c r="B9" s="343" t="s">
        <v>86</v>
      </c>
      <c r="C9" s="663">
        <v>257629621.32999998</v>
      </c>
      <c r="D9" s="663">
        <v>65541236.640000045</v>
      </c>
      <c r="E9" s="660">
        <f t="shared" si="0"/>
        <v>323170857.97000003</v>
      </c>
      <c r="F9" s="657">
        <v>129987638.28</v>
      </c>
      <c r="G9" s="657">
        <v>54120387.800000012</v>
      </c>
      <c r="H9" s="660">
        <f t="shared" si="1"/>
        <v>184108026.08000001</v>
      </c>
    </row>
    <row r="10" spans="1:8">
      <c r="A10" s="382">
        <v>1.3</v>
      </c>
      <c r="B10" s="343" t="s">
        <v>87</v>
      </c>
      <c r="C10" s="663">
        <v>20707096.75</v>
      </c>
      <c r="D10" s="663">
        <v>161428296.14146048</v>
      </c>
      <c r="E10" s="660">
        <f t="shared" si="0"/>
        <v>182135392.89146048</v>
      </c>
      <c r="F10" s="657">
        <v>5001158.41</v>
      </c>
      <c r="G10" s="657">
        <v>89736105.236406535</v>
      </c>
      <c r="H10" s="660">
        <f t="shared" si="1"/>
        <v>94737263.646406531</v>
      </c>
    </row>
    <row r="11" spans="1:8">
      <c r="A11" s="382">
        <v>2</v>
      </c>
      <c r="B11" s="344" t="s">
        <v>698</v>
      </c>
      <c r="C11" s="663">
        <v>584722.38</v>
      </c>
      <c r="D11" s="663"/>
      <c r="E11" s="660">
        <f t="shared" si="0"/>
        <v>584722.38</v>
      </c>
      <c r="F11" s="657">
        <v>566676.57999999996</v>
      </c>
      <c r="G11" s="588"/>
      <c r="H11" s="660">
        <f t="shared" si="1"/>
        <v>566676.57999999996</v>
      </c>
    </row>
    <row r="12" spans="1:8">
      <c r="A12" s="382">
        <v>2.1</v>
      </c>
      <c r="B12" s="345" t="s">
        <v>699</v>
      </c>
      <c r="C12" s="663">
        <v>584722.38</v>
      </c>
      <c r="D12" s="663"/>
      <c r="E12" s="660">
        <f t="shared" si="0"/>
        <v>584722.38</v>
      </c>
      <c r="F12" s="657">
        <v>566676.57999999996</v>
      </c>
      <c r="G12" s="588"/>
      <c r="H12" s="660">
        <f t="shared" si="1"/>
        <v>566676.57999999996</v>
      </c>
    </row>
    <row r="13" spans="1:8" ht="26.55" customHeight="1">
      <c r="A13" s="382">
        <v>3</v>
      </c>
      <c r="B13" s="346" t="s">
        <v>700</v>
      </c>
      <c r="C13" s="663"/>
      <c r="D13" s="663"/>
      <c r="E13" s="660">
        <f t="shared" si="0"/>
        <v>0</v>
      </c>
      <c r="F13" s="342"/>
      <c r="G13" s="342"/>
      <c r="H13" s="660">
        <f t="shared" si="1"/>
        <v>0</v>
      </c>
    </row>
    <row r="14" spans="1:8" ht="26.55" customHeight="1">
      <c r="A14" s="382">
        <v>4</v>
      </c>
      <c r="B14" s="347" t="s">
        <v>701</v>
      </c>
      <c r="C14" s="663"/>
      <c r="D14" s="663"/>
      <c r="E14" s="660">
        <f t="shared" si="0"/>
        <v>0</v>
      </c>
      <c r="F14" s="342"/>
      <c r="G14" s="342"/>
      <c r="H14" s="660">
        <f t="shared" si="1"/>
        <v>0</v>
      </c>
    </row>
    <row r="15" spans="1:8" ht="24.45" customHeight="1">
      <c r="A15" s="382">
        <v>5</v>
      </c>
      <c r="B15" s="347" t="s">
        <v>702</v>
      </c>
      <c r="C15" s="667">
        <f>SUM(C16:C18)</f>
        <v>0</v>
      </c>
      <c r="D15" s="667">
        <f>SUM(D16:D18)</f>
        <v>0</v>
      </c>
      <c r="E15" s="661">
        <f t="shared" si="0"/>
        <v>0</v>
      </c>
      <c r="F15" s="667">
        <f>SUM(F16:F18)</f>
        <v>0</v>
      </c>
      <c r="G15" s="667">
        <f>SUM(G16:G18)</f>
        <v>0</v>
      </c>
      <c r="H15" s="661">
        <f t="shared" si="1"/>
        <v>0</v>
      </c>
    </row>
    <row r="16" spans="1:8">
      <c r="A16" s="382">
        <v>5.0999999999999996</v>
      </c>
      <c r="B16" s="348" t="s">
        <v>703</v>
      </c>
      <c r="C16" s="663"/>
      <c r="D16" s="663"/>
      <c r="E16" s="660">
        <f t="shared" si="0"/>
        <v>0</v>
      </c>
      <c r="F16" s="342"/>
      <c r="G16" s="342"/>
      <c r="H16" s="660">
        <f t="shared" si="1"/>
        <v>0</v>
      </c>
    </row>
    <row r="17" spans="1:8">
      <c r="A17" s="382">
        <v>5.2</v>
      </c>
      <c r="B17" s="348" t="s">
        <v>538</v>
      </c>
      <c r="C17" s="663"/>
      <c r="D17" s="663"/>
      <c r="E17" s="660">
        <f t="shared" si="0"/>
        <v>0</v>
      </c>
      <c r="F17" s="342"/>
      <c r="G17" s="342"/>
      <c r="H17" s="660">
        <f t="shared" si="1"/>
        <v>0</v>
      </c>
    </row>
    <row r="18" spans="1:8">
      <c r="A18" s="382">
        <v>5.3</v>
      </c>
      <c r="B18" s="348" t="s">
        <v>704</v>
      </c>
      <c r="C18" s="663"/>
      <c r="D18" s="663"/>
      <c r="E18" s="660">
        <f t="shared" si="0"/>
        <v>0</v>
      </c>
      <c r="F18" s="342"/>
      <c r="G18" s="342"/>
      <c r="H18" s="660">
        <f t="shared" si="1"/>
        <v>0</v>
      </c>
    </row>
    <row r="19" spans="1:8">
      <c r="A19" s="382">
        <v>6</v>
      </c>
      <c r="B19" s="346" t="s">
        <v>705</v>
      </c>
      <c r="C19" s="659">
        <f>SUM(C20:C21)</f>
        <v>2810134939.6412334</v>
      </c>
      <c r="D19" s="659">
        <f>SUM(D20:D21)</f>
        <v>328552411.05328798</v>
      </c>
      <c r="E19" s="660">
        <f t="shared" si="0"/>
        <v>3138687350.6945214</v>
      </c>
      <c r="F19" s="659">
        <f>SUM(F20:F21)</f>
        <v>2284809885.2873859</v>
      </c>
      <c r="G19" s="659">
        <f>SUM(G20:G21)</f>
        <v>262596262.50021744</v>
      </c>
      <c r="H19" s="660">
        <f t="shared" si="1"/>
        <v>2547406147.7876034</v>
      </c>
    </row>
    <row r="20" spans="1:8">
      <c r="A20" s="382">
        <v>6.1</v>
      </c>
      <c r="B20" s="348" t="s">
        <v>538</v>
      </c>
      <c r="C20" s="663">
        <v>68067109.349999994</v>
      </c>
      <c r="D20" s="663"/>
      <c r="E20" s="660">
        <f t="shared" si="0"/>
        <v>68067109.349999994</v>
      </c>
      <c r="F20" s="657">
        <v>57522454.370000005</v>
      </c>
      <c r="G20" s="657"/>
      <c r="H20" s="660">
        <f t="shared" si="1"/>
        <v>57522454.370000005</v>
      </c>
    </row>
    <row r="21" spans="1:8">
      <c r="A21" s="382">
        <v>6.2</v>
      </c>
      <c r="B21" s="348" t="s">
        <v>704</v>
      </c>
      <c r="C21" s="663">
        <v>2742067830.2912335</v>
      </c>
      <c r="D21" s="663">
        <v>328552411.05328798</v>
      </c>
      <c r="E21" s="660">
        <f t="shared" si="0"/>
        <v>3070620241.3445215</v>
      </c>
      <c r="F21" s="657">
        <v>2227287430.9173861</v>
      </c>
      <c r="G21" s="657">
        <v>262596262.50021744</v>
      </c>
      <c r="H21" s="660">
        <f t="shared" si="1"/>
        <v>2489883693.4176035</v>
      </c>
    </row>
    <row r="22" spans="1:8">
      <c r="A22" s="382">
        <v>7</v>
      </c>
      <c r="B22" s="349" t="s">
        <v>706</v>
      </c>
      <c r="C22" s="663">
        <v>3721085.11</v>
      </c>
      <c r="D22" s="663"/>
      <c r="E22" s="660">
        <f t="shared" si="0"/>
        <v>3721085.11</v>
      </c>
      <c r="F22" s="657">
        <v>2463673.85</v>
      </c>
      <c r="G22" s="657"/>
      <c r="H22" s="660">
        <f t="shared" si="1"/>
        <v>2463673.85</v>
      </c>
    </row>
    <row r="23" spans="1:8">
      <c r="A23" s="382">
        <v>8</v>
      </c>
      <c r="B23" s="350" t="s">
        <v>707</v>
      </c>
      <c r="C23" s="663"/>
      <c r="D23" s="663"/>
      <c r="E23" s="660">
        <f t="shared" si="0"/>
        <v>0</v>
      </c>
      <c r="F23" s="342"/>
      <c r="G23" s="342"/>
      <c r="H23" s="660">
        <f t="shared" si="1"/>
        <v>0</v>
      </c>
    </row>
    <row r="24" spans="1:8">
      <c r="A24" s="382">
        <v>9</v>
      </c>
      <c r="B24" s="347" t="s">
        <v>708</v>
      </c>
      <c r="C24" s="658">
        <f>SUM(C25:C26)</f>
        <v>55533762.390000008</v>
      </c>
      <c r="D24" s="658">
        <f>SUM(D25:D26)</f>
        <v>0</v>
      </c>
      <c r="E24" s="660">
        <f t="shared" si="0"/>
        <v>55533762.390000008</v>
      </c>
      <c r="F24" s="659">
        <f>SUM(F25:F26)</f>
        <v>50821188.330000006</v>
      </c>
      <c r="G24" s="659">
        <f>SUM(G25:G26)</f>
        <v>0</v>
      </c>
      <c r="H24" s="660">
        <f t="shared" si="1"/>
        <v>50821188.330000006</v>
      </c>
    </row>
    <row r="25" spans="1:8">
      <c r="A25" s="382">
        <v>9.1</v>
      </c>
      <c r="B25" s="351" t="s">
        <v>709</v>
      </c>
      <c r="C25" s="663">
        <v>55533762.390000008</v>
      </c>
      <c r="D25" s="663"/>
      <c r="E25" s="660">
        <f t="shared" si="0"/>
        <v>55533762.390000008</v>
      </c>
      <c r="F25" s="657">
        <v>50821188.330000006</v>
      </c>
      <c r="G25" s="342"/>
      <c r="H25" s="660">
        <f t="shared" si="1"/>
        <v>50821188.330000006</v>
      </c>
    </row>
    <row r="26" spans="1:8">
      <c r="A26" s="382">
        <v>9.1999999999999993</v>
      </c>
      <c r="B26" s="351" t="s">
        <v>710</v>
      </c>
      <c r="C26" s="663"/>
      <c r="D26" s="663"/>
      <c r="E26" s="660">
        <f t="shared" si="0"/>
        <v>0</v>
      </c>
      <c r="F26" s="342"/>
      <c r="G26" s="342"/>
      <c r="H26" s="660">
        <f t="shared" si="1"/>
        <v>0</v>
      </c>
    </row>
    <row r="27" spans="1:8">
      <c r="A27" s="382">
        <v>10</v>
      </c>
      <c r="B27" s="347" t="s">
        <v>36</v>
      </c>
      <c r="C27" s="659">
        <f>SUM(C28:C29)</f>
        <v>40661044.859999985</v>
      </c>
      <c r="D27" s="659">
        <f>SUM(D28:D29)</f>
        <v>0</v>
      </c>
      <c r="E27" s="660">
        <f t="shared" si="0"/>
        <v>40661044.859999985</v>
      </c>
      <c r="F27" s="659">
        <f>SUM(F28:F29)</f>
        <v>29954496.870000001</v>
      </c>
      <c r="G27" s="659">
        <f>SUM(G28:G29)</f>
        <v>0</v>
      </c>
      <c r="H27" s="660">
        <f t="shared" si="1"/>
        <v>29954496.870000001</v>
      </c>
    </row>
    <row r="28" spans="1:8">
      <c r="A28" s="382">
        <v>10.1</v>
      </c>
      <c r="B28" s="351" t="s">
        <v>711</v>
      </c>
      <c r="C28" s="663"/>
      <c r="D28" s="663"/>
      <c r="E28" s="660">
        <f t="shared" si="0"/>
        <v>0</v>
      </c>
      <c r="F28" s="342"/>
      <c r="G28" s="342"/>
      <c r="H28" s="660">
        <f t="shared" si="1"/>
        <v>0</v>
      </c>
    </row>
    <row r="29" spans="1:8">
      <c r="A29" s="382">
        <v>10.199999999999999</v>
      </c>
      <c r="B29" s="351" t="s">
        <v>712</v>
      </c>
      <c r="C29" s="663">
        <v>40661044.859999985</v>
      </c>
      <c r="D29" s="663"/>
      <c r="E29" s="660">
        <f t="shared" si="0"/>
        <v>40661044.859999985</v>
      </c>
      <c r="F29" s="663">
        <v>29954496.870000001</v>
      </c>
      <c r="G29" s="342"/>
      <c r="H29" s="660">
        <f t="shared" si="1"/>
        <v>29954496.870000001</v>
      </c>
    </row>
    <row r="30" spans="1:8">
      <c r="A30" s="382">
        <v>11</v>
      </c>
      <c r="B30" s="347" t="s">
        <v>713</v>
      </c>
      <c r="C30" s="659">
        <f>SUM(C31:C32)</f>
        <v>0</v>
      </c>
      <c r="D30" s="659">
        <f>SUM(D31:D32)</f>
        <v>0</v>
      </c>
      <c r="E30" s="660">
        <f t="shared" si="0"/>
        <v>0</v>
      </c>
      <c r="F30" s="663">
        <f>SUM(F31:F32)</f>
        <v>0</v>
      </c>
      <c r="G30" s="663">
        <f>SUM(G31:G32)</f>
        <v>0</v>
      </c>
      <c r="H30" s="660">
        <f t="shared" si="1"/>
        <v>0</v>
      </c>
    </row>
    <row r="31" spans="1:8">
      <c r="A31" s="382">
        <v>11.1</v>
      </c>
      <c r="B31" s="351" t="s">
        <v>714</v>
      </c>
      <c r="C31" s="663"/>
      <c r="D31" s="663"/>
      <c r="E31" s="660">
        <f t="shared" si="0"/>
        <v>0</v>
      </c>
      <c r="F31" s="342"/>
      <c r="G31" s="342"/>
      <c r="H31" s="660">
        <f t="shared" si="1"/>
        <v>0</v>
      </c>
    </row>
    <row r="32" spans="1:8">
      <c r="A32" s="382">
        <v>11.2</v>
      </c>
      <c r="B32" s="351" t="s">
        <v>715</v>
      </c>
      <c r="C32" s="663"/>
      <c r="D32" s="663"/>
      <c r="E32" s="660">
        <f t="shared" si="0"/>
        <v>0</v>
      </c>
      <c r="F32" s="342"/>
      <c r="G32" s="342"/>
      <c r="H32" s="660">
        <f t="shared" si="1"/>
        <v>0</v>
      </c>
    </row>
    <row r="33" spans="1:8">
      <c r="A33" s="382">
        <v>13</v>
      </c>
      <c r="B33" s="347" t="s">
        <v>88</v>
      </c>
      <c r="C33" s="659">
        <v>55281632.029999994</v>
      </c>
      <c r="D33" s="659">
        <v>4387125.1000000089</v>
      </c>
      <c r="E33" s="660">
        <f t="shared" si="0"/>
        <v>59668757.130000003</v>
      </c>
      <c r="F33" s="659">
        <v>46699236.040000007</v>
      </c>
      <c r="G33" s="659">
        <v>3292567.84</v>
      </c>
      <c r="H33" s="660">
        <f t="shared" si="1"/>
        <v>49991803.88000001</v>
      </c>
    </row>
    <row r="34" spans="1:8">
      <c r="A34" s="382">
        <v>13.1</v>
      </c>
      <c r="B34" s="352" t="s">
        <v>716</v>
      </c>
      <c r="C34" s="663">
        <v>32854683.049999997</v>
      </c>
      <c r="D34" s="663"/>
      <c r="E34" s="660">
        <f t="shared" si="0"/>
        <v>32854683.049999997</v>
      </c>
      <c r="F34" s="663">
        <v>19110000.98</v>
      </c>
      <c r="G34" s="663"/>
      <c r="H34" s="660">
        <f t="shared" si="1"/>
        <v>19110000.98</v>
      </c>
    </row>
    <row r="35" spans="1:8">
      <c r="A35" s="382">
        <v>13.2</v>
      </c>
      <c r="B35" s="352" t="s">
        <v>717</v>
      </c>
      <c r="C35" s="663"/>
      <c r="D35" s="663"/>
      <c r="E35" s="660">
        <f t="shared" si="0"/>
        <v>0</v>
      </c>
      <c r="F35" s="342"/>
      <c r="G35" s="342"/>
      <c r="H35" s="660">
        <f t="shared" si="1"/>
        <v>0</v>
      </c>
    </row>
    <row r="36" spans="1:8">
      <c r="A36" s="382">
        <v>14</v>
      </c>
      <c r="B36" s="353" t="s">
        <v>718</v>
      </c>
      <c r="C36" s="659">
        <f>SUM(C7,C11,C13,C14,C15,C19,C22,C23,C24,C27,C30,C33)</f>
        <v>3302198391.7612338</v>
      </c>
      <c r="D36" s="659">
        <f>SUM(D7,D11,D13,D14,D15,D19,D22,D23,D24,D27,D30,D33)</f>
        <v>600436459.53474855</v>
      </c>
      <c r="E36" s="660">
        <f t="shared" si="0"/>
        <v>3902634851.2959824</v>
      </c>
      <c r="F36" s="659">
        <f>SUM(F7,F11,F13,F14,F15,F19,F22,F23,F24,F27,F30,F33)</f>
        <v>2609124269.0973854</v>
      </c>
      <c r="G36" s="659">
        <f>SUM(G7,G11,G13,G14,G15,G19,G22,G23,G24,G27,G30,G33)</f>
        <v>459849492.45662397</v>
      </c>
      <c r="H36" s="660">
        <f t="shared" si="1"/>
        <v>3068973761.5540094</v>
      </c>
    </row>
    <row r="37" spans="1:8" ht="22.5" customHeight="1">
      <c r="A37" s="382"/>
      <c r="B37" s="354" t="s">
        <v>93</v>
      </c>
      <c r="C37" s="775"/>
      <c r="D37" s="776"/>
      <c r="E37" s="776"/>
      <c r="F37" s="776"/>
      <c r="G37" s="776"/>
      <c r="H37" s="777"/>
    </row>
    <row r="38" spans="1:8">
      <c r="A38" s="382">
        <v>15</v>
      </c>
      <c r="B38" s="355" t="s">
        <v>719</v>
      </c>
      <c r="C38" s="664">
        <v>710699.44</v>
      </c>
      <c r="D38" s="356"/>
      <c r="E38" s="662">
        <f>C38+D38</f>
        <v>710699.44</v>
      </c>
      <c r="F38" s="664">
        <v>1571658.95</v>
      </c>
      <c r="G38" s="356"/>
      <c r="H38" s="662">
        <f>F38+G38</f>
        <v>1571658.95</v>
      </c>
    </row>
    <row r="39" spans="1:8">
      <c r="A39" s="382">
        <v>15.1</v>
      </c>
      <c r="B39" s="357" t="s">
        <v>699</v>
      </c>
      <c r="C39" s="664">
        <v>710699.44</v>
      </c>
      <c r="D39" s="356"/>
      <c r="E39" s="662">
        <f t="shared" ref="E39:E53" si="2">C39+D39</f>
        <v>710699.44</v>
      </c>
      <c r="F39" s="664">
        <v>1571658.95</v>
      </c>
      <c r="G39" s="356"/>
      <c r="H39" s="662">
        <f t="shared" ref="H39:H53" si="3">F39+G39</f>
        <v>1571658.95</v>
      </c>
    </row>
    <row r="40" spans="1:8" ht="24" customHeight="1">
      <c r="A40" s="382">
        <v>16</v>
      </c>
      <c r="B40" s="349" t="s">
        <v>720</v>
      </c>
      <c r="C40" s="356"/>
      <c r="D40" s="356"/>
      <c r="E40" s="662">
        <f t="shared" si="2"/>
        <v>0</v>
      </c>
      <c r="F40" s="356"/>
      <c r="G40" s="356"/>
      <c r="H40" s="662">
        <f t="shared" si="3"/>
        <v>0</v>
      </c>
    </row>
    <row r="41" spans="1:8">
      <c r="A41" s="382">
        <v>17</v>
      </c>
      <c r="B41" s="349" t="s">
        <v>721</v>
      </c>
      <c r="C41" s="666">
        <f>SUM(C42:C45)</f>
        <v>2305522914.1199999</v>
      </c>
      <c r="D41" s="666">
        <f>SUM(D42:D45)</f>
        <v>829865765.04000008</v>
      </c>
      <c r="E41" s="662">
        <f t="shared" si="2"/>
        <v>3135388679.1599998</v>
      </c>
      <c r="F41" s="665">
        <f>SUM(F42:F45)</f>
        <v>1846516107.6300149</v>
      </c>
      <c r="G41" s="665">
        <f>SUM(G42:G45)</f>
        <v>630990732.37190127</v>
      </c>
      <c r="H41" s="662">
        <f t="shared" si="3"/>
        <v>2477506840.0019159</v>
      </c>
    </row>
    <row r="42" spans="1:8">
      <c r="A42" s="382">
        <v>17.100000000000001</v>
      </c>
      <c r="B42" s="358" t="s">
        <v>722</v>
      </c>
      <c r="C42" s="664">
        <v>1252399882</v>
      </c>
      <c r="D42" s="664">
        <v>511069515</v>
      </c>
      <c r="E42" s="662">
        <f t="shared" si="2"/>
        <v>1763469397</v>
      </c>
      <c r="F42" s="657">
        <v>858108084.43001485</v>
      </c>
      <c r="G42" s="657">
        <v>395637166.81190133</v>
      </c>
      <c r="H42" s="662">
        <f t="shared" si="3"/>
        <v>1253745251.2419162</v>
      </c>
    </row>
    <row r="43" spans="1:8">
      <c r="A43" s="382">
        <v>17.2</v>
      </c>
      <c r="B43" s="359" t="s">
        <v>89</v>
      </c>
      <c r="C43" s="664">
        <v>1030953987.73</v>
      </c>
      <c r="D43" s="664">
        <v>315242574.62000012</v>
      </c>
      <c r="E43" s="662">
        <f t="shared" si="2"/>
        <v>1346196562.3500001</v>
      </c>
      <c r="F43" s="657">
        <v>970843752.55999994</v>
      </c>
      <c r="G43" s="657">
        <v>229576034</v>
      </c>
      <c r="H43" s="662">
        <f t="shared" si="3"/>
        <v>1200419786.5599999</v>
      </c>
    </row>
    <row r="44" spans="1:8">
      <c r="A44" s="382">
        <v>17.3</v>
      </c>
      <c r="B44" s="358" t="s">
        <v>723</v>
      </c>
      <c r="C44" s="664"/>
      <c r="D44" s="664"/>
      <c r="E44" s="662">
        <f t="shared" si="2"/>
        <v>0</v>
      </c>
      <c r="F44" s="657"/>
      <c r="G44" s="657"/>
      <c r="H44" s="662">
        <f t="shared" si="3"/>
        <v>0</v>
      </c>
    </row>
    <row r="45" spans="1:8">
      <c r="A45" s="382">
        <v>17.399999999999999</v>
      </c>
      <c r="B45" s="358" t="s">
        <v>724</v>
      </c>
      <c r="C45" s="664">
        <v>22169044.390000001</v>
      </c>
      <c r="D45" s="664">
        <v>3553675.42</v>
      </c>
      <c r="E45" s="662">
        <f t="shared" si="2"/>
        <v>25722719.810000002</v>
      </c>
      <c r="F45" s="657">
        <v>17564270.640000001</v>
      </c>
      <c r="G45" s="657">
        <v>5777531.5599999996</v>
      </c>
      <c r="H45" s="662">
        <f t="shared" si="3"/>
        <v>23341802.199999999</v>
      </c>
    </row>
    <row r="46" spans="1:8">
      <c r="A46" s="382">
        <v>18</v>
      </c>
      <c r="B46" s="347" t="s">
        <v>725</v>
      </c>
      <c r="C46" s="664">
        <v>2085965.88</v>
      </c>
      <c r="D46" s="664"/>
      <c r="E46" s="662">
        <f t="shared" si="2"/>
        <v>2085965.88</v>
      </c>
      <c r="F46" s="664">
        <v>777588.58</v>
      </c>
      <c r="G46" s="356"/>
      <c r="H46" s="662">
        <f t="shared" si="3"/>
        <v>777588.58</v>
      </c>
    </row>
    <row r="47" spans="1:8">
      <c r="A47" s="382">
        <v>19</v>
      </c>
      <c r="B47" s="347" t="s">
        <v>726</v>
      </c>
      <c r="C47" s="666">
        <f>SUM(C48:C49)</f>
        <v>9364477.3900000043</v>
      </c>
      <c r="D47" s="666">
        <f>SUM(D48:D49)</f>
        <v>0</v>
      </c>
      <c r="E47" s="662">
        <f t="shared" si="2"/>
        <v>9364477.3900000043</v>
      </c>
      <c r="F47" s="665">
        <f>SUM(F48:F49)</f>
        <v>11994737.749999989</v>
      </c>
      <c r="G47" s="356">
        <f>SUM(G48:G49)</f>
        <v>0</v>
      </c>
      <c r="H47" s="662">
        <f t="shared" si="3"/>
        <v>11994737.749999989</v>
      </c>
    </row>
    <row r="48" spans="1:8">
      <c r="A48" s="382">
        <v>19.100000000000001</v>
      </c>
      <c r="B48" s="360" t="s">
        <v>727</v>
      </c>
      <c r="C48" s="664">
        <v>3000107.9400000051</v>
      </c>
      <c r="D48" s="664"/>
      <c r="E48" s="662">
        <f t="shared" si="2"/>
        <v>3000107.9400000051</v>
      </c>
      <c r="F48" s="657">
        <v>6428919.5399999898</v>
      </c>
      <c r="G48" s="356"/>
      <c r="H48" s="662">
        <f t="shared" si="3"/>
        <v>6428919.5399999898</v>
      </c>
    </row>
    <row r="49" spans="1:8">
      <c r="A49" s="382">
        <v>19.2</v>
      </c>
      <c r="B49" s="361" t="s">
        <v>728</v>
      </c>
      <c r="C49" s="664">
        <v>6364369.4500000002</v>
      </c>
      <c r="D49" s="664"/>
      <c r="E49" s="662">
        <f t="shared" si="2"/>
        <v>6364369.4500000002</v>
      </c>
      <c r="F49" s="657">
        <v>5565818.21</v>
      </c>
      <c r="G49" s="356"/>
      <c r="H49" s="662">
        <f t="shared" si="3"/>
        <v>5565818.21</v>
      </c>
    </row>
    <row r="50" spans="1:8">
      <c r="A50" s="382">
        <v>20</v>
      </c>
      <c r="B50" s="362" t="s">
        <v>90</v>
      </c>
      <c r="C50" s="664">
        <v>49281095.369999997</v>
      </c>
      <c r="D50" s="664">
        <v>177308335.13999999</v>
      </c>
      <c r="E50" s="662">
        <f t="shared" si="2"/>
        <v>226589430.50999999</v>
      </c>
      <c r="F50" s="657">
        <v>61073662.649999999</v>
      </c>
      <c r="G50" s="657">
        <v>91522491.519999981</v>
      </c>
      <c r="H50" s="662">
        <f t="shared" si="3"/>
        <v>152596154.16999999</v>
      </c>
    </row>
    <row r="51" spans="1:8">
      <c r="A51" s="382">
        <v>21</v>
      </c>
      <c r="B51" s="363" t="s">
        <v>78</v>
      </c>
      <c r="C51" s="664">
        <v>51917535.049999982</v>
      </c>
      <c r="D51" s="664">
        <v>3668342.1099999994</v>
      </c>
      <c r="E51" s="662">
        <f t="shared" si="2"/>
        <v>55585877.159999982</v>
      </c>
      <c r="F51" s="657">
        <v>42459959.030000009</v>
      </c>
      <c r="G51" s="657">
        <v>4463908.1399999997</v>
      </c>
      <c r="H51" s="662">
        <f t="shared" si="3"/>
        <v>46923867.170000009</v>
      </c>
    </row>
    <row r="52" spans="1:8">
      <c r="A52" s="382">
        <v>21.1</v>
      </c>
      <c r="B52" s="359" t="s">
        <v>729</v>
      </c>
      <c r="C52" s="664"/>
      <c r="D52" s="664"/>
      <c r="E52" s="662">
        <f t="shared" si="2"/>
        <v>0</v>
      </c>
      <c r="F52" s="356"/>
      <c r="G52" s="356"/>
      <c r="H52" s="662">
        <f t="shared" si="3"/>
        <v>0</v>
      </c>
    </row>
    <row r="53" spans="1:8">
      <c r="A53" s="382">
        <v>22</v>
      </c>
      <c r="B53" s="362" t="s">
        <v>730</v>
      </c>
      <c r="C53" s="666">
        <f>SUM(C38,C40,C41,C46,C47,C50,C51)</f>
        <v>2418882687.25</v>
      </c>
      <c r="D53" s="666">
        <f>SUM(D38,D40,D41,D46,D47,D50,D51)</f>
        <v>1010842442.2900001</v>
      </c>
      <c r="E53" s="662">
        <f t="shared" si="2"/>
        <v>3429725129.54</v>
      </c>
      <c r="F53" s="666">
        <f>SUM(F38,F40,F41,F46,F47,F50,F51)</f>
        <v>1964393714.5900149</v>
      </c>
      <c r="G53" s="666">
        <f>SUM(G38,G40,G41,G46,G47,G50,G51)</f>
        <v>726977132.03190124</v>
      </c>
      <c r="H53" s="662">
        <f t="shared" si="3"/>
        <v>2691370846.6219163</v>
      </c>
    </row>
    <row r="54" spans="1:8" ht="24" customHeight="1">
      <c r="A54" s="382"/>
      <c r="B54" s="364" t="s">
        <v>731</v>
      </c>
      <c r="C54" s="778"/>
      <c r="D54" s="779"/>
      <c r="E54" s="779"/>
      <c r="F54" s="779"/>
      <c r="G54" s="779"/>
      <c r="H54" s="780"/>
    </row>
    <row r="55" spans="1:8">
      <c r="A55" s="382">
        <v>23</v>
      </c>
      <c r="B55" s="587" t="s">
        <v>959</v>
      </c>
      <c r="C55" s="664">
        <v>5270620</v>
      </c>
      <c r="D55" s="664"/>
      <c r="E55" s="662">
        <f>C55+D55</f>
        <v>5270620</v>
      </c>
      <c r="F55" s="664">
        <v>5239960</v>
      </c>
      <c r="G55" s="356"/>
      <c r="H55" s="662">
        <f>F55+G55</f>
        <v>5239960</v>
      </c>
    </row>
    <row r="56" spans="1:8">
      <c r="A56" s="382">
        <v>24</v>
      </c>
      <c r="B56" s="362" t="s">
        <v>732</v>
      </c>
      <c r="C56" s="664"/>
      <c r="D56" s="664"/>
      <c r="E56" s="662">
        <f t="shared" ref="E56:E69" si="4">C56+D56</f>
        <v>0</v>
      </c>
      <c r="F56" s="664"/>
      <c r="G56" s="356"/>
      <c r="H56" s="662">
        <f t="shared" ref="H56:H69" si="5">F56+G56</f>
        <v>0</v>
      </c>
    </row>
    <row r="57" spans="1:8">
      <c r="A57" s="382">
        <v>25</v>
      </c>
      <c r="B57" s="362" t="s">
        <v>91</v>
      </c>
      <c r="C57" s="664">
        <v>41797125.479999997</v>
      </c>
      <c r="D57" s="664"/>
      <c r="E57" s="662">
        <f t="shared" si="4"/>
        <v>41797125.479999997</v>
      </c>
      <c r="F57" s="664">
        <v>39150769.530000001</v>
      </c>
      <c r="G57" s="356"/>
      <c r="H57" s="662">
        <f t="shared" si="5"/>
        <v>39150769.530000001</v>
      </c>
    </row>
    <row r="58" spans="1:8">
      <c r="A58" s="382">
        <v>26</v>
      </c>
      <c r="B58" s="347" t="s">
        <v>733</v>
      </c>
      <c r="C58" s="664"/>
      <c r="D58" s="664"/>
      <c r="E58" s="662">
        <f t="shared" si="4"/>
        <v>0</v>
      </c>
      <c r="F58" s="356"/>
      <c r="G58" s="356"/>
      <c r="H58" s="662">
        <f t="shared" si="5"/>
        <v>0</v>
      </c>
    </row>
    <row r="59" spans="1:8">
      <c r="A59" s="382">
        <v>27</v>
      </c>
      <c r="B59" s="347" t="s">
        <v>734</v>
      </c>
      <c r="C59" s="664">
        <f>SUM(C60:C61)</f>
        <v>0</v>
      </c>
      <c r="D59" s="664">
        <f>SUM(D60:D61)</f>
        <v>0</v>
      </c>
      <c r="E59" s="662">
        <f t="shared" si="4"/>
        <v>0</v>
      </c>
      <c r="F59" s="356"/>
      <c r="G59" s="356"/>
      <c r="H59" s="662">
        <f t="shared" si="5"/>
        <v>0</v>
      </c>
    </row>
    <row r="60" spans="1:8">
      <c r="A60" s="382">
        <v>27.1</v>
      </c>
      <c r="B60" s="360" t="s">
        <v>735</v>
      </c>
      <c r="C60" s="664"/>
      <c r="D60" s="664"/>
      <c r="E60" s="662">
        <f t="shared" si="4"/>
        <v>0</v>
      </c>
      <c r="F60" s="356"/>
      <c r="G60" s="356"/>
      <c r="H60" s="662">
        <f t="shared" si="5"/>
        <v>0</v>
      </c>
    </row>
    <row r="61" spans="1:8">
      <c r="A61" s="382">
        <v>27.2</v>
      </c>
      <c r="B61" s="358" t="s">
        <v>736</v>
      </c>
      <c r="C61" s="664"/>
      <c r="D61" s="664"/>
      <c r="E61" s="662">
        <f t="shared" si="4"/>
        <v>0</v>
      </c>
      <c r="F61" s="356"/>
      <c r="G61" s="356"/>
      <c r="H61" s="662">
        <f t="shared" si="5"/>
        <v>0</v>
      </c>
    </row>
    <row r="62" spans="1:8">
      <c r="A62" s="382">
        <v>28</v>
      </c>
      <c r="B62" s="363" t="s">
        <v>737</v>
      </c>
      <c r="C62" s="664"/>
      <c r="D62" s="664"/>
      <c r="E62" s="662">
        <f t="shared" si="4"/>
        <v>0</v>
      </c>
      <c r="F62" s="356"/>
      <c r="G62" s="356"/>
      <c r="H62" s="662">
        <f t="shared" si="5"/>
        <v>0</v>
      </c>
    </row>
    <row r="63" spans="1:8">
      <c r="A63" s="382">
        <v>29</v>
      </c>
      <c r="B63" s="347" t="s">
        <v>738</v>
      </c>
      <c r="C63" s="664">
        <f>SUM(C64:C66)</f>
        <v>0</v>
      </c>
      <c r="D63" s="664">
        <f>SUM(D64:D66)</f>
        <v>0</v>
      </c>
      <c r="E63" s="662">
        <f t="shared" si="4"/>
        <v>0</v>
      </c>
      <c r="F63" s="356"/>
      <c r="G63" s="356"/>
      <c r="H63" s="662">
        <f t="shared" si="5"/>
        <v>0</v>
      </c>
    </row>
    <row r="64" spans="1:8">
      <c r="A64" s="382">
        <v>29.1</v>
      </c>
      <c r="B64" s="348" t="s">
        <v>739</v>
      </c>
      <c r="C64" s="664"/>
      <c r="D64" s="664"/>
      <c r="E64" s="662">
        <f t="shared" si="4"/>
        <v>0</v>
      </c>
      <c r="F64" s="356"/>
      <c r="G64" s="356"/>
      <c r="H64" s="662">
        <f t="shared" si="5"/>
        <v>0</v>
      </c>
    </row>
    <row r="65" spans="1:8" ht="25.05" customHeight="1">
      <c r="A65" s="382">
        <v>29.2</v>
      </c>
      <c r="B65" s="360" t="s">
        <v>740</v>
      </c>
      <c r="C65" s="664"/>
      <c r="D65" s="664"/>
      <c r="E65" s="662">
        <f t="shared" si="4"/>
        <v>0</v>
      </c>
      <c r="F65" s="356"/>
      <c r="G65" s="356"/>
      <c r="H65" s="662">
        <f t="shared" si="5"/>
        <v>0</v>
      </c>
    </row>
    <row r="66" spans="1:8" ht="22.5" customHeight="1">
      <c r="A66" s="382">
        <v>29.3</v>
      </c>
      <c r="B66" s="351" t="s">
        <v>741</v>
      </c>
      <c r="C66" s="664"/>
      <c r="D66" s="664"/>
      <c r="E66" s="662">
        <f t="shared" si="4"/>
        <v>0</v>
      </c>
      <c r="F66" s="356"/>
      <c r="G66" s="356"/>
      <c r="H66" s="662">
        <f t="shared" si="5"/>
        <v>0</v>
      </c>
    </row>
    <row r="67" spans="1:8">
      <c r="A67" s="382">
        <v>30</v>
      </c>
      <c r="B67" s="347" t="s">
        <v>92</v>
      </c>
      <c r="C67" s="664">
        <v>425841976.40464997</v>
      </c>
      <c r="D67" s="664"/>
      <c r="E67" s="662">
        <f t="shared" si="4"/>
        <v>425841976.40464997</v>
      </c>
      <c r="F67" s="657">
        <v>333212185.71641445</v>
      </c>
      <c r="G67" s="356"/>
      <c r="H67" s="662">
        <f t="shared" si="5"/>
        <v>333212185.71641445</v>
      </c>
    </row>
    <row r="68" spans="1:8">
      <c r="A68" s="382">
        <v>31</v>
      </c>
      <c r="B68" s="365" t="s">
        <v>999</v>
      </c>
      <c r="C68" s="666">
        <f>SUM(C55,C56,C57,C58,C59,C62,C63,C67)</f>
        <v>472909721.88464999</v>
      </c>
      <c r="D68" s="666">
        <f>SUM(D55,D56,D57,D58,D59,D62,D63,D67)</f>
        <v>0</v>
      </c>
      <c r="E68" s="662">
        <f t="shared" si="4"/>
        <v>472909721.88464999</v>
      </c>
      <c r="F68" s="665">
        <f>SUM(F55,F56,F57,F58,F59,F62,F63,F67)</f>
        <v>377602915.24641442</v>
      </c>
      <c r="G68" s="356">
        <f>SUM(G55,G56,G57,G58,G59,G62,G63,G67)</f>
        <v>0</v>
      </c>
      <c r="H68" s="662">
        <f t="shared" si="5"/>
        <v>377602915.24641442</v>
      </c>
    </row>
    <row r="69" spans="1:8">
      <c r="A69" s="382">
        <v>32</v>
      </c>
      <c r="B69" s="366" t="s">
        <v>743</v>
      </c>
      <c r="C69" s="666">
        <f>SUM(C53,C68)</f>
        <v>2891792409.1346502</v>
      </c>
      <c r="D69" s="666">
        <f>SUM(D53,D68)</f>
        <v>1010842442.2900001</v>
      </c>
      <c r="E69" s="662">
        <f t="shared" si="4"/>
        <v>3902634851.4246502</v>
      </c>
      <c r="F69" s="665">
        <f>SUM(F53,F68)</f>
        <v>2341996629.8364296</v>
      </c>
      <c r="G69" s="665">
        <f>SUM(G53,G68)</f>
        <v>726977132.03190124</v>
      </c>
      <c r="H69" s="662">
        <f t="shared" si="5"/>
        <v>3068973761.868331</v>
      </c>
    </row>
    <row r="72" spans="1:8" ht="25.05" customHeight="1">
      <c r="B72" s="639" t="s">
        <v>1000</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35"/>
  <sheetViews>
    <sheetView showGridLines="0" topLeftCell="A3" zoomScale="80" zoomScaleNormal="80" workbookViewId="0">
      <selection activeCell="I7" sqref="I7:L32"/>
    </sheetView>
  </sheetViews>
  <sheetFormatPr defaultColWidth="9.21875" defaultRowHeight="12"/>
  <cols>
    <col min="1" max="1" width="11.77734375" style="441" bestFit="1" customWidth="1"/>
    <col min="2" max="2" width="63.109375" style="441" customWidth="1"/>
    <col min="3" max="3" width="14.6640625" style="441" customWidth="1"/>
    <col min="4" max="5" width="16.109375" style="441" customWidth="1"/>
    <col min="6" max="6" width="16.109375" style="459" customWidth="1"/>
    <col min="7" max="7" width="25.21875" style="459" customWidth="1"/>
    <col min="8" max="8" width="16.109375" style="441" customWidth="1"/>
    <col min="9" max="11" width="16.109375" style="459" customWidth="1"/>
    <col min="12" max="12" width="26.21875" style="459" customWidth="1"/>
    <col min="13" max="16384" width="9.21875" style="441"/>
  </cols>
  <sheetData>
    <row r="1" spans="1:12" ht="13.8">
      <c r="A1" s="319" t="s">
        <v>97</v>
      </c>
      <c r="B1" s="248" t="str">
        <f>Info!C2</f>
        <v>სს "კრედო ბანკი"</v>
      </c>
      <c r="F1" s="441"/>
      <c r="G1" s="441"/>
      <c r="I1" s="441"/>
      <c r="J1" s="441"/>
      <c r="K1" s="441"/>
      <c r="L1" s="441"/>
    </row>
    <row r="2" spans="1:12">
      <c r="A2" s="319" t="s">
        <v>98</v>
      </c>
      <c r="B2" s="322">
        <f>'1. key ratios'!B2</f>
        <v>46022</v>
      </c>
      <c r="F2" s="441"/>
      <c r="G2" s="441"/>
      <c r="I2" s="441"/>
      <c r="J2" s="441"/>
      <c r="K2" s="441"/>
      <c r="L2" s="441"/>
    </row>
    <row r="3" spans="1:12">
      <c r="A3" s="321" t="s">
        <v>563</v>
      </c>
      <c r="F3" s="441"/>
      <c r="G3" s="441"/>
      <c r="I3" s="441"/>
      <c r="J3" s="441"/>
      <c r="K3" s="441"/>
      <c r="L3" s="441"/>
    </row>
    <row r="4" spans="1:12">
      <c r="F4" s="441"/>
      <c r="G4" s="441"/>
      <c r="I4" s="441"/>
      <c r="J4" s="441"/>
      <c r="K4" s="441"/>
      <c r="L4" s="441"/>
    </row>
    <row r="5" spans="1:12" ht="37.5" customHeight="1">
      <c r="A5" s="834" t="s">
        <v>564</v>
      </c>
      <c r="B5" s="835"/>
      <c r="C5" s="883" t="s">
        <v>565</v>
      </c>
      <c r="D5" s="884"/>
      <c r="E5" s="884"/>
      <c r="F5" s="884"/>
      <c r="G5" s="884"/>
      <c r="H5" s="883" t="s">
        <v>875</v>
      </c>
      <c r="I5" s="885"/>
      <c r="J5" s="885"/>
      <c r="K5" s="885"/>
      <c r="L5" s="886"/>
    </row>
    <row r="6" spans="1:12" ht="39.450000000000003" customHeight="1">
      <c r="A6" s="838"/>
      <c r="B6" s="839"/>
      <c r="C6" s="326"/>
      <c r="D6" s="439" t="s">
        <v>860</v>
      </c>
      <c r="E6" s="439" t="s">
        <v>859</v>
      </c>
      <c r="F6" s="439" t="s">
        <v>858</v>
      </c>
      <c r="G6" s="439" t="s">
        <v>857</v>
      </c>
      <c r="H6" s="460"/>
      <c r="I6" s="439" t="s">
        <v>860</v>
      </c>
      <c r="J6" s="439" t="s">
        <v>859</v>
      </c>
      <c r="K6" s="439" t="s">
        <v>858</v>
      </c>
      <c r="L6" s="439" t="s">
        <v>857</v>
      </c>
    </row>
    <row r="7" spans="1:12">
      <c r="A7" s="431">
        <v>1</v>
      </c>
      <c r="B7" s="444" t="s">
        <v>487</v>
      </c>
      <c r="C7" s="740">
        <f>SUM(D7:G7)</f>
        <v>27012594.789999999</v>
      </c>
      <c r="D7" s="729">
        <v>26347155.039999999</v>
      </c>
      <c r="E7" s="729">
        <v>580845.81000000006</v>
      </c>
      <c r="F7" s="729">
        <v>84593.94</v>
      </c>
      <c r="G7" s="729">
        <v>0</v>
      </c>
      <c r="H7" s="736">
        <f>SUM(I7:L7)</f>
        <v>407794.65</v>
      </c>
      <c r="I7" s="729">
        <v>217956.96</v>
      </c>
      <c r="J7" s="729">
        <v>121290.55</v>
      </c>
      <c r="K7" s="729">
        <v>68547.14</v>
      </c>
      <c r="L7" s="729">
        <v>0</v>
      </c>
    </row>
    <row r="8" spans="1:12">
      <c r="A8" s="431">
        <v>2</v>
      </c>
      <c r="B8" s="444" t="s">
        <v>488</v>
      </c>
      <c r="C8" s="740">
        <f t="shared" ref="C8:C32" si="0">SUM(D8:G8)</f>
        <v>26447674.93</v>
      </c>
      <c r="D8" s="729">
        <v>26233133.059999999</v>
      </c>
      <c r="E8" s="729">
        <v>188964.55</v>
      </c>
      <c r="F8" s="738">
        <v>25577.32</v>
      </c>
      <c r="G8" s="738">
        <v>0</v>
      </c>
      <c r="H8" s="736">
        <f t="shared" ref="H8:H32" si="1">SUM(I8:L8)</f>
        <v>239283.38999999998</v>
      </c>
      <c r="I8" s="738">
        <v>175741</v>
      </c>
      <c r="J8" s="738">
        <v>42911.360000000001</v>
      </c>
      <c r="K8" s="738">
        <v>20631.03</v>
      </c>
      <c r="L8" s="738">
        <v>0</v>
      </c>
    </row>
    <row r="9" spans="1:12">
      <c r="A9" s="431">
        <v>3</v>
      </c>
      <c r="B9" s="444" t="s">
        <v>836</v>
      </c>
      <c r="C9" s="740">
        <f t="shared" si="0"/>
        <v>8185892.9699999997</v>
      </c>
      <c r="D9" s="729">
        <v>7685893.9100000001</v>
      </c>
      <c r="E9" s="729">
        <v>387551.89</v>
      </c>
      <c r="F9" s="739">
        <v>112447.17</v>
      </c>
      <c r="G9" s="739">
        <v>0</v>
      </c>
      <c r="H9" s="736">
        <f t="shared" si="1"/>
        <v>218582.41999999998</v>
      </c>
      <c r="I9" s="739">
        <v>57624.54</v>
      </c>
      <c r="J9" s="739">
        <v>81276.05</v>
      </c>
      <c r="K9" s="739">
        <v>79681.83</v>
      </c>
      <c r="L9" s="739">
        <v>0</v>
      </c>
    </row>
    <row r="10" spans="1:12">
      <c r="A10" s="431">
        <v>4</v>
      </c>
      <c r="B10" s="444" t="s">
        <v>489</v>
      </c>
      <c r="C10" s="740">
        <f t="shared" si="0"/>
        <v>63138556.259999998</v>
      </c>
      <c r="D10" s="729">
        <v>60868888.369999997</v>
      </c>
      <c r="E10" s="729">
        <v>2269667.89</v>
      </c>
      <c r="F10" s="739">
        <v>0</v>
      </c>
      <c r="G10" s="739">
        <v>0</v>
      </c>
      <c r="H10" s="736">
        <f t="shared" si="1"/>
        <v>288340.05000000005</v>
      </c>
      <c r="I10" s="739">
        <v>143272.13</v>
      </c>
      <c r="J10" s="739">
        <v>145067.92000000001</v>
      </c>
      <c r="K10" s="739">
        <v>0</v>
      </c>
      <c r="L10" s="739">
        <v>0</v>
      </c>
    </row>
    <row r="11" spans="1:12">
      <c r="A11" s="431">
        <v>5</v>
      </c>
      <c r="B11" s="444" t="s">
        <v>490</v>
      </c>
      <c r="C11" s="740">
        <f t="shared" si="0"/>
        <v>50507900.170000002</v>
      </c>
      <c r="D11" s="729">
        <v>49965193.75</v>
      </c>
      <c r="E11" s="729">
        <v>536921.31999999995</v>
      </c>
      <c r="F11" s="739">
        <v>5785.1</v>
      </c>
      <c r="G11" s="739">
        <v>0</v>
      </c>
      <c r="H11" s="736">
        <f t="shared" si="1"/>
        <v>211311.19</v>
      </c>
      <c r="I11" s="739">
        <v>153235.69</v>
      </c>
      <c r="J11" s="739">
        <v>53344.24</v>
      </c>
      <c r="K11" s="739">
        <v>4731.26</v>
      </c>
      <c r="L11" s="739">
        <v>0</v>
      </c>
    </row>
    <row r="12" spans="1:12">
      <c r="A12" s="431">
        <v>6</v>
      </c>
      <c r="B12" s="444" t="s">
        <v>491</v>
      </c>
      <c r="C12" s="740">
        <f t="shared" si="0"/>
        <v>15404632.26</v>
      </c>
      <c r="D12" s="729">
        <v>14655031.6</v>
      </c>
      <c r="E12" s="729">
        <v>611473.63</v>
      </c>
      <c r="F12" s="739">
        <v>138127.03</v>
      </c>
      <c r="G12" s="739">
        <v>0</v>
      </c>
      <c r="H12" s="736">
        <f t="shared" si="1"/>
        <v>306671.27</v>
      </c>
      <c r="I12" s="739">
        <v>85164.61</v>
      </c>
      <c r="J12" s="739">
        <v>118291.59</v>
      </c>
      <c r="K12" s="739">
        <v>103215.07</v>
      </c>
      <c r="L12" s="739">
        <v>0</v>
      </c>
    </row>
    <row r="13" spans="1:12">
      <c r="A13" s="431">
        <v>7</v>
      </c>
      <c r="B13" s="444" t="s">
        <v>492</v>
      </c>
      <c r="C13" s="740">
        <f t="shared" si="0"/>
        <v>6149374.7800000003</v>
      </c>
      <c r="D13" s="729">
        <v>5737397.8700000001</v>
      </c>
      <c r="E13" s="729">
        <v>362556.91</v>
      </c>
      <c r="F13" s="739">
        <v>49420</v>
      </c>
      <c r="G13" s="739">
        <v>0</v>
      </c>
      <c r="H13" s="736">
        <f t="shared" si="1"/>
        <v>154573.71000000002</v>
      </c>
      <c r="I13" s="739">
        <v>39388.93</v>
      </c>
      <c r="J13" s="739">
        <v>74573.58</v>
      </c>
      <c r="K13" s="739">
        <v>40611.199999999997</v>
      </c>
      <c r="L13" s="739">
        <v>0</v>
      </c>
    </row>
    <row r="14" spans="1:12">
      <c r="A14" s="431">
        <v>8</v>
      </c>
      <c r="B14" s="444" t="s">
        <v>493</v>
      </c>
      <c r="C14" s="740">
        <f t="shared" si="0"/>
        <v>218729136.96000004</v>
      </c>
      <c r="D14" s="729">
        <v>209027167.34</v>
      </c>
      <c r="E14" s="729">
        <v>8453757.8300000001</v>
      </c>
      <c r="F14" s="739">
        <v>1243438.33</v>
      </c>
      <c r="G14" s="739">
        <v>4773.46</v>
      </c>
      <c r="H14" s="736">
        <f t="shared" si="1"/>
        <v>3998078.2800000003</v>
      </c>
      <c r="I14" s="739">
        <v>1471134.11</v>
      </c>
      <c r="J14" s="739">
        <v>1554735.68</v>
      </c>
      <c r="K14" s="739">
        <v>972150.95</v>
      </c>
      <c r="L14" s="739">
        <v>57.54</v>
      </c>
    </row>
    <row r="15" spans="1:12">
      <c r="A15" s="431">
        <v>9</v>
      </c>
      <c r="B15" s="444" t="s">
        <v>494</v>
      </c>
      <c r="C15" s="740">
        <f t="shared" si="0"/>
        <v>38096296.210000001</v>
      </c>
      <c r="D15" s="729">
        <v>36299993.850000001</v>
      </c>
      <c r="E15" s="729">
        <v>1606266.74</v>
      </c>
      <c r="F15" s="739">
        <v>190035.62</v>
      </c>
      <c r="G15" s="739">
        <v>0</v>
      </c>
      <c r="H15" s="736">
        <f t="shared" si="1"/>
        <v>775970.73999999987</v>
      </c>
      <c r="I15" s="739">
        <v>278887.3</v>
      </c>
      <c r="J15" s="739">
        <v>341705.11</v>
      </c>
      <c r="K15" s="739">
        <v>155378.32999999999</v>
      </c>
      <c r="L15" s="739">
        <v>0</v>
      </c>
    </row>
    <row r="16" spans="1:12">
      <c r="A16" s="431">
        <v>10</v>
      </c>
      <c r="B16" s="444" t="s">
        <v>495</v>
      </c>
      <c r="C16" s="740">
        <f t="shared" si="0"/>
        <v>21191674.98</v>
      </c>
      <c r="D16" s="729">
        <v>17351772.09</v>
      </c>
      <c r="E16" s="729">
        <v>903550.3</v>
      </c>
      <c r="F16" s="739">
        <v>2936352.59</v>
      </c>
      <c r="G16" s="739">
        <v>0</v>
      </c>
      <c r="H16" s="736">
        <f t="shared" si="1"/>
        <v>1899825.29</v>
      </c>
      <c r="I16" s="739">
        <v>128941.2</v>
      </c>
      <c r="J16" s="739">
        <v>171553.88</v>
      </c>
      <c r="K16" s="739">
        <v>1599330.21</v>
      </c>
      <c r="L16" s="739">
        <v>0</v>
      </c>
    </row>
    <row r="17" spans="1:12">
      <c r="A17" s="431">
        <v>11</v>
      </c>
      <c r="B17" s="444" t="s">
        <v>496</v>
      </c>
      <c r="C17" s="740">
        <f t="shared" si="0"/>
        <v>8767563.7699999996</v>
      </c>
      <c r="D17" s="729">
        <v>8293200.2199999997</v>
      </c>
      <c r="E17" s="729">
        <v>395825.53</v>
      </c>
      <c r="F17" s="739">
        <v>76263.899999999994</v>
      </c>
      <c r="G17" s="739">
        <v>2274.12</v>
      </c>
      <c r="H17" s="736">
        <f t="shared" si="1"/>
        <v>233300.87000000002</v>
      </c>
      <c r="I17" s="739">
        <v>83476.41</v>
      </c>
      <c r="J17" s="739">
        <v>87393.23</v>
      </c>
      <c r="K17" s="739">
        <v>62403.82</v>
      </c>
      <c r="L17" s="739">
        <v>27.41</v>
      </c>
    </row>
    <row r="18" spans="1:12">
      <c r="A18" s="431">
        <v>12</v>
      </c>
      <c r="B18" s="444" t="s">
        <v>497</v>
      </c>
      <c r="C18" s="740">
        <f t="shared" si="0"/>
        <v>163268416.66</v>
      </c>
      <c r="D18" s="729">
        <v>156544486.84</v>
      </c>
      <c r="E18" s="729">
        <v>6131873.2199999997</v>
      </c>
      <c r="F18" s="739">
        <v>592056.6</v>
      </c>
      <c r="G18" s="739">
        <v>0</v>
      </c>
      <c r="H18" s="736">
        <f t="shared" si="1"/>
        <v>2785213.4000000004</v>
      </c>
      <c r="I18" s="739">
        <v>1072661.6100000001</v>
      </c>
      <c r="J18" s="739">
        <v>1230623.21</v>
      </c>
      <c r="K18" s="739">
        <v>481928.58</v>
      </c>
      <c r="L18" s="739">
        <v>0</v>
      </c>
    </row>
    <row r="19" spans="1:12">
      <c r="A19" s="431">
        <v>13</v>
      </c>
      <c r="B19" s="444" t="s">
        <v>498</v>
      </c>
      <c r="C19" s="740">
        <f t="shared" si="0"/>
        <v>28997928.009999998</v>
      </c>
      <c r="D19" s="729">
        <v>27259364.199999999</v>
      </c>
      <c r="E19" s="729">
        <v>1405128.49</v>
      </c>
      <c r="F19" s="739">
        <v>333435.32</v>
      </c>
      <c r="G19" s="739">
        <v>0</v>
      </c>
      <c r="H19" s="736">
        <f t="shared" si="1"/>
        <v>739448.63</v>
      </c>
      <c r="I19" s="739">
        <v>212651.86</v>
      </c>
      <c r="J19" s="739">
        <v>321043.39</v>
      </c>
      <c r="K19" s="739">
        <v>205753.38</v>
      </c>
      <c r="L19" s="739">
        <v>0</v>
      </c>
    </row>
    <row r="20" spans="1:12">
      <c r="A20" s="431">
        <v>14</v>
      </c>
      <c r="B20" s="444" t="s">
        <v>499</v>
      </c>
      <c r="C20" s="740">
        <f t="shared" si="0"/>
        <v>94462102.75</v>
      </c>
      <c r="D20" s="729">
        <v>90206291.25</v>
      </c>
      <c r="E20" s="729">
        <v>4093014.06</v>
      </c>
      <c r="F20" s="739">
        <v>162797.44</v>
      </c>
      <c r="G20" s="739">
        <v>0</v>
      </c>
      <c r="H20" s="736">
        <f t="shared" si="1"/>
        <v>1020678.9099999999</v>
      </c>
      <c r="I20" s="739">
        <v>337953.05</v>
      </c>
      <c r="J20" s="739">
        <v>572859.89</v>
      </c>
      <c r="K20" s="739">
        <v>109865.97</v>
      </c>
      <c r="L20" s="739">
        <v>0</v>
      </c>
    </row>
    <row r="21" spans="1:12">
      <c r="A21" s="431">
        <v>15</v>
      </c>
      <c r="B21" s="444" t="s">
        <v>500</v>
      </c>
      <c r="C21" s="740">
        <f t="shared" si="0"/>
        <v>62303509.440000005</v>
      </c>
      <c r="D21" s="729">
        <v>59159390.130000003</v>
      </c>
      <c r="E21" s="729">
        <v>2788567.96</v>
      </c>
      <c r="F21" s="739">
        <v>355551.35</v>
      </c>
      <c r="G21" s="739">
        <v>0</v>
      </c>
      <c r="H21" s="736">
        <f t="shared" si="1"/>
        <v>1243556.47</v>
      </c>
      <c r="I21" s="739">
        <v>462180.18</v>
      </c>
      <c r="J21" s="739">
        <v>520609.12</v>
      </c>
      <c r="K21" s="739">
        <v>260767.17</v>
      </c>
      <c r="L21" s="739">
        <v>0</v>
      </c>
    </row>
    <row r="22" spans="1:12">
      <c r="A22" s="431">
        <v>16</v>
      </c>
      <c r="B22" s="444" t="s">
        <v>501</v>
      </c>
      <c r="C22" s="740">
        <f t="shared" si="0"/>
        <v>15511141.98</v>
      </c>
      <c r="D22" s="729">
        <v>13955307.720000001</v>
      </c>
      <c r="E22" s="729">
        <v>1421148.4</v>
      </c>
      <c r="F22" s="739">
        <v>134685.85999999999</v>
      </c>
      <c r="G22" s="739">
        <v>0</v>
      </c>
      <c r="H22" s="736">
        <f t="shared" si="1"/>
        <v>416944.92</v>
      </c>
      <c r="I22" s="739">
        <v>95804.75</v>
      </c>
      <c r="J22" s="739">
        <v>228905.46</v>
      </c>
      <c r="K22" s="739">
        <v>92234.71</v>
      </c>
      <c r="L22" s="739">
        <v>0</v>
      </c>
    </row>
    <row r="23" spans="1:12">
      <c r="A23" s="431">
        <v>17</v>
      </c>
      <c r="B23" s="444" t="s">
        <v>502</v>
      </c>
      <c r="C23" s="740">
        <f t="shared" si="0"/>
        <v>983248.26</v>
      </c>
      <c r="D23" s="729">
        <v>953143.24</v>
      </c>
      <c r="E23" s="729">
        <v>20784.62</v>
      </c>
      <c r="F23" s="739">
        <v>9320.4</v>
      </c>
      <c r="G23" s="739">
        <v>0</v>
      </c>
      <c r="H23" s="736">
        <f t="shared" si="1"/>
        <v>21379.149999999998</v>
      </c>
      <c r="I23" s="739">
        <v>9246.39</v>
      </c>
      <c r="J23" s="739">
        <v>4608.78</v>
      </c>
      <c r="K23" s="739">
        <v>7523.98</v>
      </c>
      <c r="L23" s="739">
        <v>0</v>
      </c>
    </row>
    <row r="24" spans="1:12">
      <c r="A24" s="431">
        <v>18</v>
      </c>
      <c r="B24" s="444" t="s">
        <v>503</v>
      </c>
      <c r="C24" s="740">
        <f t="shared" si="0"/>
        <v>4474752.5500000007</v>
      </c>
      <c r="D24" s="729">
        <v>4363602.82</v>
      </c>
      <c r="E24" s="729">
        <v>100455.75</v>
      </c>
      <c r="F24" s="739">
        <v>10693.98</v>
      </c>
      <c r="G24" s="739">
        <v>0</v>
      </c>
      <c r="H24" s="736">
        <f t="shared" si="1"/>
        <v>70581.87</v>
      </c>
      <c r="I24" s="739">
        <v>42613.97</v>
      </c>
      <c r="J24" s="739">
        <v>19259.150000000001</v>
      </c>
      <c r="K24" s="739">
        <v>8708.75</v>
      </c>
      <c r="L24" s="739">
        <v>0</v>
      </c>
    </row>
    <row r="25" spans="1:12">
      <c r="A25" s="431">
        <v>19</v>
      </c>
      <c r="B25" s="444" t="s">
        <v>504</v>
      </c>
      <c r="C25" s="740">
        <f t="shared" si="0"/>
        <v>8673950.8200000003</v>
      </c>
      <c r="D25" s="729">
        <v>8314570.6600000001</v>
      </c>
      <c r="E25" s="729">
        <v>303540.40999999997</v>
      </c>
      <c r="F25" s="739">
        <v>55839.75</v>
      </c>
      <c r="G25" s="739">
        <v>0</v>
      </c>
      <c r="H25" s="736">
        <f t="shared" si="1"/>
        <v>158235.06</v>
      </c>
      <c r="I25" s="739">
        <v>53902.95</v>
      </c>
      <c r="J25" s="739">
        <v>70923.990000000005</v>
      </c>
      <c r="K25" s="739">
        <v>33408.120000000003</v>
      </c>
      <c r="L25" s="739">
        <v>0</v>
      </c>
    </row>
    <row r="26" spans="1:12">
      <c r="A26" s="431">
        <v>20</v>
      </c>
      <c r="B26" s="444" t="s">
        <v>505</v>
      </c>
      <c r="C26" s="740">
        <f t="shared" si="0"/>
        <v>23715748.819999997</v>
      </c>
      <c r="D26" s="729">
        <v>23180074.629999999</v>
      </c>
      <c r="E26" s="729">
        <v>523990.74</v>
      </c>
      <c r="F26" s="739">
        <v>11683.45</v>
      </c>
      <c r="G26" s="739">
        <v>0</v>
      </c>
      <c r="H26" s="736">
        <f t="shared" si="1"/>
        <v>223510.59</v>
      </c>
      <c r="I26" s="739">
        <v>146582.66</v>
      </c>
      <c r="J26" s="739">
        <v>67266.720000000001</v>
      </c>
      <c r="K26" s="739">
        <v>9661.2099999999991</v>
      </c>
      <c r="L26" s="739">
        <v>0</v>
      </c>
    </row>
    <row r="27" spans="1:12">
      <c r="A27" s="431">
        <v>21</v>
      </c>
      <c r="B27" s="444" t="s">
        <v>506</v>
      </c>
      <c r="C27" s="740">
        <f t="shared" si="0"/>
        <v>3038733.54</v>
      </c>
      <c r="D27" s="729">
        <v>3011927.29</v>
      </c>
      <c r="E27" s="729">
        <v>11310.17</v>
      </c>
      <c r="F27" s="739">
        <v>15496.08</v>
      </c>
      <c r="G27" s="739">
        <v>0</v>
      </c>
      <c r="H27" s="736">
        <f t="shared" si="1"/>
        <v>35124.629999999997</v>
      </c>
      <c r="I27" s="739">
        <v>24561.22</v>
      </c>
      <c r="J27" s="739">
        <v>2176.92</v>
      </c>
      <c r="K27" s="739">
        <v>8386.49</v>
      </c>
      <c r="L27" s="739">
        <v>0</v>
      </c>
    </row>
    <row r="28" spans="1:12">
      <c r="A28" s="431">
        <v>22</v>
      </c>
      <c r="B28" s="444" t="s">
        <v>507</v>
      </c>
      <c r="C28" s="740">
        <f t="shared" si="0"/>
        <v>1511589.36</v>
      </c>
      <c r="D28" s="729">
        <v>1493195.8</v>
      </c>
      <c r="E28" s="729">
        <v>18273.22</v>
      </c>
      <c r="F28" s="739">
        <v>120.34</v>
      </c>
      <c r="G28" s="739">
        <v>0</v>
      </c>
      <c r="H28" s="736">
        <f t="shared" si="1"/>
        <v>14114.46</v>
      </c>
      <c r="I28" s="739">
        <v>10025.74</v>
      </c>
      <c r="J28" s="739">
        <v>3991.65</v>
      </c>
      <c r="K28" s="739">
        <v>97.07</v>
      </c>
      <c r="L28" s="739">
        <v>0</v>
      </c>
    </row>
    <row r="29" spans="1:12">
      <c r="A29" s="431">
        <v>23</v>
      </c>
      <c r="B29" s="444" t="s">
        <v>508</v>
      </c>
      <c r="C29" s="740">
        <f t="shared" si="0"/>
        <v>719614640.25999999</v>
      </c>
      <c r="D29" s="729">
        <v>680128883.55999994</v>
      </c>
      <c r="E29" s="729">
        <v>33628371</v>
      </c>
      <c r="F29" s="739">
        <v>5857385.7000000002</v>
      </c>
      <c r="G29" s="739">
        <v>0</v>
      </c>
      <c r="H29" s="736">
        <f t="shared" si="1"/>
        <v>17755825.82</v>
      </c>
      <c r="I29" s="739">
        <v>5785667.4000000004</v>
      </c>
      <c r="J29" s="739">
        <v>7431751.0800000001</v>
      </c>
      <c r="K29" s="739">
        <v>4538407.34</v>
      </c>
      <c r="L29" s="739">
        <v>0</v>
      </c>
    </row>
    <row r="30" spans="1:12">
      <c r="A30" s="431">
        <v>24</v>
      </c>
      <c r="B30" s="444" t="s">
        <v>509</v>
      </c>
      <c r="C30" s="740">
        <f t="shared" si="0"/>
        <v>1093413994.9199998</v>
      </c>
      <c r="D30" s="729">
        <v>1035615694.66</v>
      </c>
      <c r="E30" s="729">
        <v>50059458.950000003</v>
      </c>
      <c r="F30" s="739">
        <v>7738841.3099999996</v>
      </c>
      <c r="G30" s="739">
        <v>0</v>
      </c>
      <c r="H30" s="736">
        <f t="shared" si="1"/>
        <v>25756706.09</v>
      </c>
      <c r="I30" s="739">
        <v>8965805.9900000002</v>
      </c>
      <c r="J30" s="739">
        <v>10614008.65</v>
      </c>
      <c r="K30" s="739">
        <v>6176891.4500000002</v>
      </c>
      <c r="L30" s="739">
        <v>0</v>
      </c>
    </row>
    <row r="31" spans="1:12">
      <c r="A31" s="431">
        <v>25</v>
      </c>
      <c r="B31" s="444" t="s">
        <v>510</v>
      </c>
      <c r="C31" s="740">
        <f t="shared" si="0"/>
        <v>337263624.74000001</v>
      </c>
      <c r="D31" s="729">
        <v>325442512.97000003</v>
      </c>
      <c r="E31" s="729">
        <v>9473159.1099999994</v>
      </c>
      <c r="F31" s="739">
        <v>2344567.9500000002</v>
      </c>
      <c r="G31" s="739">
        <v>3384.71</v>
      </c>
      <c r="H31" s="736">
        <f t="shared" si="1"/>
        <v>6585583.3600000003</v>
      </c>
      <c r="I31" s="739">
        <v>2518956.4500000002</v>
      </c>
      <c r="J31" s="739">
        <v>2199318.4300000002</v>
      </c>
      <c r="K31" s="739">
        <v>1867267.68</v>
      </c>
      <c r="L31" s="739">
        <v>40.799999999999997</v>
      </c>
    </row>
    <row r="32" spans="1:12">
      <c r="A32" s="431">
        <v>26</v>
      </c>
      <c r="B32" s="444" t="s">
        <v>566</v>
      </c>
      <c r="C32" s="740">
        <f t="shared" si="0"/>
        <v>97899283.120000005</v>
      </c>
      <c r="D32" s="729">
        <v>92883679.510000005</v>
      </c>
      <c r="E32" s="729">
        <v>4057358.87</v>
      </c>
      <c r="F32" s="739">
        <v>958244.74</v>
      </c>
      <c r="G32" s="739">
        <v>0</v>
      </c>
      <c r="H32" s="736">
        <f t="shared" si="1"/>
        <v>2583086.8000000003</v>
      </c>
      <c r="I32" s="739">
        <v>914503.67</v>
      </c>
      <c r="J32" s="739">
        <v>888186.45</v>
      </c>
      <c r="K32" s="739">
        <v>780396.68</v>
      </c>
      <c r="L32" s="739">
        <v>0</v>
      </c>
    </row>
    <row r="33" spans="1:12">
      <c r="A33" s="431">
        <v>27</v>
      </c>
      <c r="B33" s="488" t="s">
        <v>66</v>
      </c>
      <c r="C33" s="740">
        <f>SUM(C7:C32)</f>
        <v>3138763963.3099995</v>
      </c>
      <c r="D33" s="740">
        <f t="shared" ref="D33:G33" si="2">SUM(D7:D32)</f>
        <v>2984976952.3800001</v>
      </c>
      <c r="E33" s="740">
        <f t="shared" si="2"/>
        <v>130333817.37</v>
      </c>
      <c r="F33" s="740">
        <f t="shared" si="2"/>
        <v>23442761.27</v>
      </c>
      <c r="G33" s="740">
        <f t="shared" si="2"/>
        <v>10432.290000000001</v>
      </c>
      <c r="H33" s="736">
        <f>SUM(H7:H32)</f>
        <v>68143722.019999996</v>
      </c>
      <c r="I33" s="736">
        <f t="shared" ref="I33:L33" si="3">SUM(I7:I32)</f>
        <v>23487940.77</v>
      </c>
      <c r="J33" s="736">
        <f t="shared" si="3"/>
        <v>26967676.080000002</v>
      </c>
      <c r="K33" s="736">
        <f t="shared" si="3"/>
        <v>17687979.420000002</v>
      </c>
      <c r="L33" s="736">
        <f t="shared" si="3"/>
        <v>125.75</v>
      </c>
    </row>
    <row r="35" spans="1:12">
      <c r="B35" s="487"/>
      <c r="C35" s="487"/>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topLeftCell="B1" zoomScale="80" zoomScaleNormal="80" workbookViewId="0">
      <selection activeCell="C19" sqref="C19"/>
    </sheetView>
  </sheetViews>
  <sheetFormatPr defaultColWidth="8.77734375" defaultRowHeight="12"/>
  <cols>
    <col min="1" max="1" width="9.5546875" style="327" customWidth="1"/>
    <col min="2" max="2" width="78" style="327" customWidth="1"/>
    <col min="3" max="11" width="18.77734375" style="327" customWidth="1"/>
    <col min="12" max="16384" width="8.77734375" style="327"/>
  </cols>
  <sheetData>
    <row r="1" spans="1:11" s="320" customFormat="1" ht="13.8">
      <c r="A1" s="319" t="s">
        <v>97</v>
      </c>
      <c r="B1" s="248" t="str">
        <f>Info!C2</f>
        <v>სს "კრედო ბანკი"</v>
      </c>
      <c r="C1" s="441"/>
      <c r="D1" s="441"/>
      <c r="E1" s="441"/>
      <c r="F1" s="441"/>
      <c r="G1" s="441"/>
      <c r="H1" s="441"/>
      <c r="I1" s="441"/>
      <c r="J1" s="441"/>
      <c r="K1" s="441"/>
    </row>
    <row r="2" spans="1:11" s="320" customFormat="1">
      <c r="A2" s="319" t="s">
        <v>98</v>
      </c>
      <c r="B2" s="322">
        <f>'1. key ratios'!B2</f>
        <v>46022</v>
      </c>
      <c r="C2" s="441"/>
      <c r="D2" s="441"/>
      <c r="E2" s="441"/>
      <c r="F2" s="441"/>
      <c r="G2" s="441"/>
      <c r="H2" s="441"/>
      <c r="I2" s="441"/>
      <c r="J2" s="441"/>
      <c r="K2" s="441"/>
    </row>
    <row r="3" spans="1:11" s="320" customFormat="1">
      <c r="A3" s="321" t="s">
        <v>567</v>
      </c>
      <c r="B3" s="441"/>
      <c r="C3" s="441"/>
      <c r="D3" s="441"/>
      <c r="E3" s="441"/>
      <c r="F3" s="441"/>
      <c r="G3" s="441"/>
      <c r="H3" s="441"/>
      <c r="I3" s="441"/>
      <c r="J3" s="441"/>
      <c r="K3" s="441"/>
    </row>
    <row r="4" spans="1:11">
      <c r="A4" s="492"/>
      <c r="B4" s="492"/>
      <c r="C4" s="491" t="s">
        <v>471</v>
      </c>
      <c r="D4" s="491" t="s">
        <v>472</v>
      </c>
      <c r="E4" s="491" t="s">
        <v>473</v>
      </c>
      <c r="F4" s="491" t="s">
        <v>474</v>
      </c>
      <c r="G4" s="491" t="s">
        <v>475</v>
      </c>
      <c r="H4" s="491" t="s">
        <v>476</v>
      </c>
      <c r="I4" s="491" t="s">
        <v>477</v>
      </c>
      <c r="J4" s="491" t="s">
        <v>478</v>
      </c>
      <c r="K4" s="491" t="s">
        <v>479</v>
      </c>
    </row>
    <row r="5" spans="1:11" ht="103.95" customHeight="1">
      <c r="A5" s="887" t="s">
        <v>874</v>
      </c>
      <c r="B5" s="888"/>
      <c r="C5" s="490" t="s">
        <v>568</v>
      </c>
      <c r="D5" s="490" t="s">
        <v>561</v>
      </c>
      <c r="E5" s="490" t="s">
        <v>562</v>
      </c>
      <c r="F5" s="490" t="s">
        <v>873</v>
      </c>
      <c r="G5" s="490" t="s">
        <v>569</v>
      </c>
      <c r="H5" s="490" t="s">
        <v>570</v>
      </c>
      <c r="I5" s="490" t="s">
        <v>571</v>
      </c>
      <c r="J5" s="490" t="s">
        <v>572</v>
      </c>
      <c r="K5" s="490" t="s">
        <v>573</v>
      </c>
    </row>
    <row r="6" spans="1:11">
      <c r="A6" s="431">
        <v>1</v>
      </c>
      <c r="B6" s="431" t="s">
        <v>574</v>
      </c>
      <c r="C6" s="729">
        <v>7069192.4227012433</v>
      </c>
      <c r="D6" s="729">
        <v>36871.54844534181</v>
      </c>
      <c r="E6" s="729"/>
      <c r="F6" s="729"/>
      <c r="G6" s="729">
        <v>1127155305.5130968</v>
      </c>
      <c r="H6" s="729"/>
      <c r="I6" s="729">
        <v>132851568.9176625</v>
      </c>
      <c r="J6" s="729">
        <v>330271320.91704273</v>
      </c>
      <c r="K6" s="729">
        <v>1541379703.9845557</v>
      </c>
    </row>
    <row r="7" spans="1:11">
      <c r="A7" s="431">
        <v>2</v>
      </c>
      <c r="B7" s="431" t="s">
        <v>575</v>
      </c>
      <c r="C7" s="729"/>
      <c r="D7" s="729"/>
      <c r="E7" s="729"/>
      <c r="F7" s="729"/>
      <c r="G7" s="729"/>
      <c r="H7" s="729"/>
      <c r="I7" s="729"/>
      <c r="J7" s="729"/>
      <c r="K7" s="729"/>
    </row>
    <row r="8" spans="1:11">
      <c r="A8" s="431">
        <v>3</v>
      </c>
      <c r="B8" s="431" t="s">
        <v>539</v>
      </c>
      <c r="C8" s="729">
        <v>0</v>
      </c>
      <c r="D8" s="729">
        <v>0</v>
      </c>
      <c r="E8" s="729"/>
      <c r="F8" s="729"/>
      <c r="G8" s="729">
        <v>26202112.901160378</v>
      </c>
      <c r="H8" s="729"/>
      <c r="I8" s="729">
        <v>427886.41344948427</v>
      </c>
      <c r="J8" s="729">
        <v>11346690.203653265</v>
      </c>
      <c r="K8" s="729">
        <v>408958096.57173693</v>
      </c>
    </row>
    <row r="9" spans="1:11">
      <c r="A9" s="431">
        <v>4</v>
      </c>
      <c r="B9" s="448" t="s">
        <v>872</v>
      </c>
      <c r="C9" s="741">
        <v>963.49826687698203</v>
      </c>
      <c r="D9" s="741">
        <v>0</v>
      </c>
      <c r="E9" s="741"/>
      <c r="F9" s="741"/>
      <c r="G9" s="741">
        <v>3521217.8285050485</v>
      </c>
      <c r="H9" s="741"/>
      <c r="I9" s="741">
        <v>2176764.6272000112</v>
      </c>
      <c r="J9" s="741">
        <v>2217173.9650604944</v>
      </c>
      <c r="K9" s="741">
        <v>15537073.616972312</v>
      </c>
    </row>
    <row r="10" spans="1:11">
      <c r="A10" s="431">
        <v>5</v>
      </c>
      <c r="B10" s="448" t="s">
        <v>871</v>
      </c>
      <c r="C10" s="741"/>
      <c r="D10" s="741"/>
      <c r="E10" s="741"/>
      <c r="F10" s="741"/>
      <c r="G10" s="741"/>
      <c r="H10" s="741"/>
      <c r="I10" s="741"/>
      <c r="J10" s="741"/>
      <c r="K10" s="741"/>
    </row>
    <row r="11" spans="1:11">
      <c r="A11" s="431">
        <v>6</v>
      </c>
      <c r="B11" s="448" t="s">
        <v>870</v>
      </c>
      <c r="C11" s="741"/>
      <c r="D11" s="741"/>
      <c r="E11" s="741"/>
      <c r="F11" s="741"/>
      <c r="G11" s="741"/>
      <c r="H11" s="741"/>
      <c r="I11" s="741"/>
      <c r="J11" s="741"/>
      <c r="K11" s="741"/>
    </row>
    <row r="13" spans="1:11" ht="13.8">
      <c r="B13" s="489"/>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V21"/>
  <sheetViews>
    <sheetView showGridLines="0" zoomScale="80" zoomScaleNormal="80" workbookViewId="0">
      <selection activeCell="T11" sqref="T11"/>
    </sheetView>
  </sheetViews>
  <sheetFormatPr defaultColWidth="8.77734375" defaultRowHeight="14.4"/>
  <cols>
    <col min="1" max="1" width="10" style="493" bestFit="1" customWidth="1"/>
    <col min="2" max="2" width="71.77734375" style="493" customWidth="1"/>
    <col min="3" max="3" width="13.88671875" style="493" bestFit="1" customWidth="1"/>
    <col min="4" max="5" width="15.33203125" style="493" bestFit="1" customWidth="1"/>
    <col min="6" max="6" width="20.109375" style="493" bestFit="1" customWidth="1"/>
    <col min="7" max="7" width="37.77734375" style="493" bestFit="1" customWidth="1"/>
    <col min="8" max="8" width="11.6640625" style="493" bestFit="1" customWidth="1"/>
    <col min="9" max="10" width="15.33203125" style="493" bestFit="1" customWidth="1"/>
    <col min="11" max="11" width="20.109375" style="493" bestFit="1" customWidth="1"/>
    <col min="12" max="12" width="37.77734375" style="493" bestFit="1" customWidth="1"/>
    <col min="13" max="13" width="10.77734375" style="493" bestFit="1" customWidth="1"/>
    <col min="14" max="15" width="15.33203125" style="493" bestFit="1" customWidth="1"/>
    <col min="16" max="16" width="20.109375" style="493" bestFit="1" customWidth="1"/>
    <col min="17" max="17" width="37.77734375" style="493" bestFit="1" customWidth="1"/>
    <col min="18" max="18" width="18" style="493" bestFit="1" customWidth="1"/>
    <col min="19" max="19" width="48" style="493" bestFit="1" customWidth="1"/>
    <col min="20" max="20" width="45.77734375" style="493" bestFit="1" customWidth="1"/>
    <col min="21" max="21" width="48" style="493" bestFit="1" customWidth="1"/>
    <col min="22" max="22" width="44.33203125" style="493" bestFit="1" customWidth="1"/>
    <col min="23" max="16384" width="8.77734375" style="493"/>
  </cols>
  <sheetData>
    <row r="1" spans="1:22">
      <c r="A1" s="319" t="s">
        <v>97</v>
      </c>
      <c r="B1" s="248" t="str">
        <f>Info!C2</f>
        <v>სს "კრედო ბანკი"</v>
      </c>
    </row>
    <row r="2" spans="1:22">
      <c r="A2" s="319" t="s">
        <v>98</v>
      </c>
      <c r="B2" s="322">
        <f>'1. key ratios'!B2</f>
        <v>46022</v>
      </c>
    </row>
    <row r="3" spans="1:22">
      <c r="A3" s="321" t="s">
        <v>657</v>
      </c>
      <c r="B3" s="441"/>
    </row>
    <row r="4" spans="1:22">
      <c r="A4" s="321"/>
      <c r="B4" s="441"/>
    </row>
    <row r="5" spans="1:22" ht="24" customHeight="1">
      <c r="A5" s="889" t="s">
        <v>684</v>
      </c>
      <c r="B5" s="889"/>
      <c r="C5" s="891" t="s">
        <v>876</v>
      </c>
      <c r="D5" s="891"/>
      <c r="E5" s="891"/>
      <c r="F5" s="891"/>
      <c r="G5" s="891"/>
      <c r="H5" s="891" t="s">
        <v>565</v>
      </c>
      <c r="I5" s="891"/>
      <c r="J5" s="891"/>
      <c r="K5" s="891"/>
      <c r="L5" s="891"/>
      <c r="M5" s="891" t="s">
        <v>875</v>
      </c>
      <c r="N5" s="891"/>
      <c r="O5" s="891"/>
      <c r="P5" s="891"/>
      <c r="Q5" s="891"/>
      <c r="R5" s="890" t="s">
        <v>683</v>
      </c>
      <c r="S5" s="890" t="s">
        <v>687</v>
      </c>
      <c r="T5" s="890" t="s">
        <v>686</v>
      </c>
      <c r="U5" s="890" t="s">
        <v>914</v>
      </c>
      <c r="V5" s="890" t="s">
        <v>915</v>
      </c>
    </row>
    <row r="6" spans="1:22" ht="36" customHeight="1">
      <c r="A6" s="889"/>
      <c r="B6" s="889"/>
      <c r="C6" s="502"/>
      <c r="D6" s="439" t="s">
        <v>860</v>
      </c>
      <c r="E6" s="439" t="s">
        <v>859</v>
      </c>
      <c r="F6" s="439" t="s">
        <v>858</v>
      </c>
      <c r="G6" s="439" t="s">
        <v>857</v>
      </c>
      <c r="H6" s="502"/>
      <c r="I6" s="439" t="s">
        <v>860</v>
      </c>
      <c r="J6" s="439" t="s">
        <v>859</v>
      </c>
      <c r="K6" s="439" t="s">
        <v>858</v>
      </c>
      <c r="L6" s="439" t="s">
        <v>857</v>
      </c>
      <c r="M6" s="502"/>
      <c r="N6" s="439" t="s">
        <v>860</v>
      </c>
      <c r="O6" s="439" t="s">
        <v>859</v>
      </c>
      <c r="P6" s="439" t="s">
        <v>858</v>
      </c>
      <c r="Q6" s="439" t="s">
        <v>857</v>
      </c>
      <c r="R6" s="890"/>
      <c r="S6" s="890"/>
      <c r="T6" s="890"/>
      <c r="U6" s="890"/>
      <c r="V6" s="890"/>
    </row>
    <row r="7" spans="1:22">
      <c r="A7" s="497">
        <v>1</v>
      </c>
      <c r="B7" s="501" t="s">
        <v>658</v>
      </c>
      <c r="C7" s="757">
        <f>SUM(D7:G7)</f>
        <v>26230178.425100043</v>
      </c>
      <c r="D7" s="741">
        <v>25002897.705100045</v>
      </c>
      <c r="E7" s="741">
        <v>521334.07</v>
      </c>
      <c r="F7" s="741">
        <v>705946.65000000014</v>
      </c>
      <c r="G7" s="741">
        <v>0</v>
      </c>
      <c r="H7" s="757">
        <f>SUM(I7:L7)</f>
        <v>26616767.027377311</v>
      </c>
      <c r="I7" s="741">
        <v>25229566.651809335</v>
      </c>
      <c r="J7" s="741">
        <v>547411.21268263122</v>
      </c>
      <c r="K7" s="741">
        <v>839789.16288534424</v>
      </c>
      <c r="L7" s="741">
        <v>0</v>
      </c>
      <c r="M7" s="757">
        <f>SUM(N7:Q7)</f>
        <v>1030438.9019972996</v>
      </c>
      <c r="N7" s="741">
        <v>292361.83677149954</v>
      </c>
      <c r="O7" s="741">
        <v>173759.49187509858</v>
      </c>
      <c r="P7" s="741">
        <v>564317.57335070148</v>
      </c>
      <c r="Q7" s="741">
        <v>0</v>
      </c>
      <c r="R7" s="741">
        <v>29419</v>
      </c>
      <c r="S7" s="762">
        <v>0.193</v>
      </c>
      <c r="T7" s="762">
        <v>0.30057</v>
      </c>
      <c r="U7" s="762">
        <v>0.22</v>
      </c>
      <c r="V7" s="758">
        <v>33.344999999999999</v>
      </c>
    </row>
    <row r="8" spans="1:22">
      <c r="A8" s="497">
        <v>2</v>
      </c>
      <c r="B8" s="500" t="s">
        <v>659</v>
      </c>
      <c r="C8" s="757">
        <f t="shared" ref="C8:C18" si="0">SUM(D8:G8)</f>
        <v>1217564124.6523848</v>
      </c>
      <c r="D8" s="741">
        <v>1123729055.1438849</v>
      </c>
      <c r="E8" s="741">
        <v>86155142.388500065</v>
      </c>
      <c r="F8" s="741">
        <v>7679927.1200000038</v>
      </c>
      <c r="G8" s="741">
        <v>0</v>
      </c>
      <c r="H8" s="757">
        <f t="shared" ref="H8:H18" si="1">SUM(I8:L8)</f>
        <v>1212298809.2199152</v>
      </c>
      <c r="I8" s="741">
        <v>1119950042.9531512</v>
      </c>
      <c r="J8" s="741">
        <v>83147601.224931598</v>
      </c>
      <c r="K8" s="741">
        <v>9201165.0418323018</v>
      </c>
      <c r="L8" s="741">
        <v>0</v>
      </c>
      <c r="M8" s="757">
        <f t="shared" ref="M8:M18" si="2">SUM(N8:Q8)</f>
        <v>34777853.438477606</v>
      </c>
      <c r="N8" s="741">
        <v>10646156.271659967</v>
      </c>
      <c r="O8" s="741">
        <v>16776902.564719025</v>
      </c>
      <c r="P8" s="741">
        <v>7354794.6020986168</v>
      </c>
      <c r="Q8" s="741">
        <v>0</v>
      </c>
      <c r="R8" s="741">
        <v>163360</v>
      </c>
      <c r="S8" s="762">
        <v>0.22339999999999999</v>
      </c>
      <c r="T8" s="762">
        <v>0.28945199999999999</v>
      </c>
      <c r="U8" s="762">
        <v>0.21</v>
      </c>
      <c r="V8" s="758">
        <v>42.577199999999998</v>
      </c>
    </row>
    <row r="9" spans="1:22">
      <c r="A9" s="497">
        <v>3</v>
      </c>
      <c r="B9" s="500" t="s">
        <v>660</v>
      </c>
      <c r="C9" s="757">
        <f t="shared" si="0"/>
        <v>0</v>
      </c>
      <c r="D9" s="741">
        <v>0</v>
      </c>
      <c r="E9" s="741">
        <v>0</v>
      </c>
      <c r="F9" s="741">
        <v>0</v>
      </c>
      <c r="G9" s="741">
        <v>0</v>
      </c>
      <c r="H9" s="757">
        <f t="shared" si="1"/>
        <v>0</v>
      </c>
      <c r="I9" s="741">
        <v>0</v>
      </c>
      <c r="J9" s="741">
        <v>0</v>
      </c>
      <c r="K9" s="741">
        <v>0</v>
      </c>
      <c r="L9" s="741">
        <v>0</v>
      </c>
      <c r="M9" s="757">
        <f t="shared" si="2"/>
        <v>0</v>
      </c>
      <c r="N9" s="741">
        <v>0</v>
      </c>
      <c r="O9" s="741">
        <v>0</v>
      </c>
      <c r="P9" s="741">
        <v>0</v>
      </c>
      <c r="Q9" s="741">
        <v>0</v>
      </c>
      <c r="R9" s="741">
        <v>0</v>
      </c>
      <c r="S9" s="762">
        <v>0</v>
      </c>
      <c r="T9" s="762">
        <v>0</v>
      </c>
      <c r="U9" s="762">
        <v>0</v>
      </c>
      <c r="V9" s="758">
        <v>0</v>
      </c>
    </row>
    <row r="10" spans="1:22">
      <c r="A10" s="497">
        <v>4</v>
      </c>
      <c r="B10" s="500" t="s">
        <v>661</v>
      </c>
      <c r="C10" s="757">
        <f t="shared" si="0"/>
        <v>304569613.28000677</v>
      </c>
      <c r="D10" s="741">
        <v>295180453.92000675</v>
      </c>
      <c r="E10" s="741">
        <v>6918164.2399999863</v>
      </c>
      <c r="F10" s="741">
        <v>2470995.1199999996</v>
      </c>
      <c r="G10" s="741">
        <v>0</v>
      </c>
      <c r="H10" s="757">
        <f t="shared" si="1"/>
        <v>329277942.73517919</v>
      </c>
      <c r="I10" s="741">
        <v>316907653.45713085</v>
      </c>
      <c r="J10" s="741">
        <v>8415168.1185787506</v>
      </c>
      <c r="K10" s="741">
        <v>3955121.1594696119</v>
      </c>
      <c r="L10" s="741">
        <v>0</v>
      </c>
      <c r="M10" s="757">
        <f t="shared" si="2"/>
        <v>9877917.1081208754</v>
      </c>
      <c r="N10" s="741">
        <v>4349336.3176042102</v>
      </c>
      <c r="O10" s="741">
        <v>2349982.964182592</v>
      </c>
      <c r="P10" s="741">
        <v>3178597.8263340737</v>
      </c>
      <c r="Q10" s="741">
        <v>0</v>
      </c>
      <c r="R10" s="741">
        <v>328689</v>
      </c>
      <c r="S10" s="762">
        <v>9.9400000000000002E-2</v>
      </c>
      <c r="T10" s="762">
        <v>0.201848</v>
      </c>
      <c r="U10" s="762">
        <v>0.15</v>
      </c>
      <c r="V10" s="758">
        <v>17.774899999999999</v>
      </c>
    </row>
    <row r="11" spans="1:22">
      <c r="A11" s="497">
        <v>5</v>
      </c>
      <c r="B11" s="500" t="s">
        <v>662</v>
      </c>
      <c r="C11" s="757">
        <f t="shared" si="0"/>
        <v>1908030.3206</v>
      </c>
      <c r="D11" s="741">
        <v>1908030.3206</v>
      </c>
      <c r="E11" s="741">
        <v>0</v>
      </c>
      <c r="F11" s="741">
        <v>0</v>
      </c>
      <c r="G11" s="741">
        <v>0</v>
      </c>
      <c r="H11" s="757">
        <f t="shared" si="1"/>
        <v>1969562.0240319665</v>
      </c>
      <c r="I11" s="741">
        <v>1969562.0240319665</v>
      </c>
      <c r="J11" s="741">
        <v>0</v>
      </c>
      <c r="K11" s="741">
        <v>0</v>
      </c>
      <c r="L11" s="741">
        <v>0</v>
      </c>
      <c r="M11" s="757">
        <f t="shared" si="2"/>
        <v>11401.92201788581</v>
      </c>
      <c r="N11" s="741">
        <v>11401.92201788581</v>
      </c>
      <c r="O11" s="741">
        <v>0</v>
      </c>
      <c r="P11" s="741">
        <v>0</v>
      </c>
      <c r="Q11" s="741">
        <v>0</v>
      </c>
      <c r="R11" s="741">
        <v>22</v>
      </c>
      <c r="S11" s="762">
        <v>0.1052</v>
      </c>
      <c r="T11" s="762">
        <v>0.12296600000000001</v>
      </c>
      <c r="U11" s="762">
        <v>0.12</v>
      </c>
      <c r="V11" s="758">
        <v>9.4189000000000007</v>
      </c>
    </row>
    <row r="12" spans="1:22">
      <c r="A12" s="497">
        <v>6</v>
      </c>
      <c r="B12" s="500" t="s">
        <v>663</v>
      </c>
      <c r="C12" s="757">
        <f t="shared" si="0"/>
        <v>87654535.499998555</v>
      </c>
      <c r="D12" s="741">
        <v>84043450.159998551</v>
      </c>
      <c r="E12" s="741">
        <v>2187559.7799999984</v>
      </c>
      <c r="F12" s="741">
        <v>1423525.5599999984</v>
      </c>
      <c r="G12" s="741">
        <v>0</v>
      </c>
      <c r="H12" s="757">
        <f t="shared" si="1"/>
        <v>87895239.947336435</v>
      </c>
      <c r="I12" s="741">
        <v>84272827.917575106</v>
      </c>
      <c r="J12" s="741">
        <v>2194728.1889877161</v>
      </c>
      <c r="K12" s="741">
        <v>1427683.8407736071</v>
      </c>
      <c r="L12" s="741">
        <v>0</v>
      </c>
      <c r="M12" s="757">
        <f t="shared" si="2"/>
        <v>3180266.0170406643</v>
      </c>
      <c r="N12" s="741">
        <v>1203278.1826987748</v>
      </c>
      <c r="O12" s="741">
        <v>825397.65594954637</v>
      </c>
      <c r="P12" s="741">
        <v>1151590.1783923435</v>
      </c>
      <c r="Q12" s="741">
        <v>0</v>
      </c>
      <c r="R12" s="741">
        <v>137593</v>
      </c>
      <c r="S12" s="762">
        <v>0.34010000000000001</v>
      </c>
      <c r="T12" s="762">
        <v>0.40605000000000002</v>
      </c>
      <c r="U12" s="762">
        <v>0.34</v>
      </c>
      <c r="V12" s="758">
        <v>321.01299999999998</v>
      </c>
    </row>
    <row r="13" spans="1:22">
      <c r="A13" s="497">
        <v>7</v>
      </c>
      <c r="B13" s="500" t="s">
        <v>664</v>
      </c>
      <c r="C13" s="757">
        <f t="shared" si="0"/>
        <v>358191030.44730079</v>
      </c>
      <c r="D13" s="757">
        <f>SUM(D14:D16)</f>
        <v>354829975.90730077</v>
      </c>
      <c r="E13" s="757">
        <f t="shared" ref="E13:G13" si="3">SUM(E14:E16)</f>
        <v>2916712.7999999989</v>
      </c>
      <c r="F13" s="757">
        <f t="shared" si="3"/>
        <v>439590.97</v>
      </c>
      <c r="G13" s="757">
        <f t="shared" si="3"/>
        <v>4750.7700000000004</v>
      </c>
      <c r="H13" s="757">
        <f t="shared" si="1"/>
        <v>362494780.75515431</v>
      </c>
      <c r="I13" s="757">
        <f>SUM(I14:I16)</f>
        <v>359063289.75215489</v>
      </c>
      <c r="J13" s="757">
        <f t="shared" ref="J13:L13" si="4">SUM(J14:J16)</f>
        <v>2933028.9163187752</v>
      </c>
      <c r="K13" s="757">
        <f t="shared" si="4"/>
        <v>493688.62888836017</v>
      </c>
      <c r="L13" s="757">
        <f t="shared" si="4"/>
        <v>4773.4577922882199</v>
      </c>
      <c r="M13" s="757">
        <f t="shared" si="2"/>
        <v>2227410.6498812386</v>
      </c>
      <c r="N13" s="757">
        <f>SUM(N14:N16)</f>
        <v>1238342.9338672715</v>
      </c>
      <c r="O13" s="757">
        <f t="shared" ref="O13:Q13" si="5">SUM(O14:O16)</f>
        <v>594860.13909142534</v>
      </c>
      <c r="P13" s="757">
        <f t="shared" si="5"/>
        <v>394150.03877706703</v>
      </c>
      <c r="Q13" s="757">
        <f t="shared" si="5"/>
        <v>57.538145474613003</v>
      </c>
      <c r="R13" s="757">
        <f>SUM(R14:R16)</f>
        <v>9938</v>
      </c>
      <c r="S13" s="762">
        <v>0.14119999999999999</v>
      </c>
      <c r="T13" s="762">
        <v>0.170455</v>
      </c>
      <c r="U13" s="762">
        <v>0.1444</v>
      </c>
      <c r="V13" s="758">
        <v>107.5211</v>
      </c>
    </row>
    <row r="14" spans="1:22">
      <c r="A14" s="495">
        <v>7.1</v>
      </c>
      <c r="B14" s="494" t="s">
        <v>665</v>
      </c>
      <c r="C14" s="757">
        <f t="shared" si="0"/>
        <v>278049950.92680085</v>
      </c>
      <c r="D14" s="741">
        <v>277724777.24680084</v>
      </c>
      <c r="E14" s="741">
        <v>302533.80999999994</v>
      </c>
      <c r="F14" s="741">
        <v>22639.87</v>
      </c>
      <c r="G14" s="741">
        <v>0</v>
      </c>
      <c r="H14" s="757">
        <f t="shared" si="1"/>
        <v>282355779.82321131</v>
      </c>
      <c r="I14" s="741">
        <v>282011854.13178468</v>
      </c>
      <c r="J14" s="741">
        <v>317204.00131870038</v>
      </c>
      <c r="K14" s="741">
        <v>26721.690107945</v>
      </c>
      <c r="L14" s="741">
        <v>0</v>
      </c>
      <c r="M14" s="757">
        <f t="shared" si="2"/>
        <v>782030.33865306887</v>
      </c>
      <c r="N14" s="741">
        <v>703257.74381558551</v>
      </c>
      <c r="O14" s="741">
        <v>64571.192383725946</v>
      </c>
      <c r="P14" s="741">
        <v>14201.402453757501</v>
      </c>
      <c r="Q14" s="741">
        <v>0</v>
      </c>
      <c r="R14" s="741">
        <v>2876</v>
      </c>
      <c r="S14" s="762">
        <v>0.1361</v>
      </c>
      <c r="T14" s="762">
        <v>0.162657</v>
      </c>
      <c r="U14" s="762">
        <v>0.13</v>
      </c>
      <c r="V14" s="758">
        <v>121.62990000000001</v>
      </c>
    </row>
    <row r="15" spans="1:22" ht="24">
      <c r="A15" s="495">
        <v>7.2</v>
      </c>
      <c r="B15" s="494" t="s">
        <v>666</v>
      </c>
      <c r="C15" s="757">
        <f t="shared" si="0"/>
        <v>4294661.417700001</v>
      </c>
      <c r="D15" s="741">
        <v>4220650.8977000015</v>
      </c>
      <c r="E15" s="741">
        <v>74010.52</v>
      </c>
      <c r="F15" s="741">
        <v>0</v>
      </c>
      <c r="G15" s="741">
        <v>0</v>
      </c>
      <c r="H15" s="757">
        <f t="shared" si="1"/>
        <v>4325405.2126845261</v>
      </c>
      <c r="I15" s="741">
        <v>4254700.9215397276</v>
      </c>
      <c r="J15" s="741">
        <v>70704.291144798524</v>
      </c>
      <c r="K15" s="741">
        <v>0</v>
      </c>
      <c r="L15" s="741">
        <v>0</v>
      </c>
      <c r="M15" s="757">
        <f t="shared" si="2"/>
        <v>26044.605338584312</v>
      </c>
      <c r="N15" s="741">
        <v>9947.3863039278149</v>
      </c>
      <c r="O15" s="741">
        <v>16097.219034656495</v>
      </c>
      <c r="P15" s="741">
        <v>0</v>
      </c>
      <c r="Q15" s="741">
        <v>0</v>
      </c>
      <c r="R15" s="741">
        <v>57</v>
      </c>
      <c r="S15" s="762">
        <v>0.13039999999999999</v>
      </c>
      <c r="T15" s="762">
        <v>0.15382499999999999</v>
      </c>
      <c r="U15" s="762">
        <v>0.12</v>
      </c>
      <c r="V15" s="758">
        <v>95.316500000000005</v>
      </c>
    </row>
    <row r="16" spans="1:22">
      <c r="A16" s="495">
        <v>7.3</v>
      </c>
      <c r="B16" s="494" t="s">
        <v>667</v>
      </c>
      <c r="C16" s="757">
        <f t="shared" si="0"/>
        <v>75846418.102799907</v>
      </c>
      <c r="D16" s="741">
        <v>72884547.762799919</v>
      </c>
      <c r="E16" s="741">
        <v>2540168.4699999988</v>
      </c>
      <c r="F16" s="741">
        <v>416951.1</v>
      </c>
      <c r="G16" s="741">
        <v>4750.7700000000004</v>
      </c>
      <c r="H16" s="757">
        <f t="shared" si="1"/>
        <v>75813595.719258457</v>
      </c>
      <c r="I16" s="741">
        <v>72796734.698830485</v>
      </c>
      <c r="J16" s="741">
        <v>2545120.623855276</v>
      </c>
      <c r="K16" s="741">
        <v>466966.93878041516</v>
      </c>
      <c r="L16" s="741">
        <v>4773.4577922882199</v>
      </c>
      <c r="M16" s="757">
        <f t="shared" si="2"/>
        <v>1419335.705889585</v>
      </c>
      <c r="N16" s="741">
        <v>525137.80374775804</v>
      </c>
      <c r="O16" s="741">
        <v>514191.72767304286</v>
      </c>
      <c r="P16" s="741">
        <v>379948.63632330956</v>
      </c>
      <c r="Q16" s="741">
        <v>57.538145474613003</v>
      </c>
      <c r="R16" s="741">
        <v>7005</v>
      </c>
      <c r="S16" s="762">
        <v>0.1789</v>
      </c>
      <c r="T16" s="762">
        <v>0.22788800000000001</v>
      </c>
      <c r="U16" s="762">
        <v>0.18</v>
      </c>
      <c r="V16" s="758">
        <v>56.49</v>
      </c>
    </row>
    <row r="17" spans="1:22">
      <c r="A17" s="497">
        <v>8</v>
      </c>
      <c r="B17" s="500" t="s">
        <v>668</v>
      </c>
      <c r="C17" s="757">
        <f t="shared" si="0"/>
        <v>0</v>
      </c>
      <c r="D17" s="741">
        <v>0</v>
      </c>
      <c r="E17" s="741">
        <v>0</v>
      </c>
      <c r="F17" s="741">
        <v>0</v>
      </c>
      <c r="G17" s="741">
        <v>0</v>
      </c>
      <c r="H17" s="757">
        <f t="shared" si="1"/>
        <v>0</v>
      </c>
      <c r="I17" s="741">
        <v>0</v>
      </c>
      <c r="J17" s="741">
        <v>0</v>
      </c>
      <c r="K17" s="741">
        <v>0</v>
      </c>
      <c r="L17" s="741">
        <v>0</v>
      </c>
      <c r="M17" s="757">
        <f t="shared" si="2"/>
        <v>0</v>
      </c>
      <c r="N17" s="741">
        <v>0</v>
      </c>
      <c r="O17" s="741">
        <v>0</v>
      </c>
      <c r="P17" s="741">
        <v>0</v>
      </c>
      <c r="Q17" s="741">
        <v>0</v>
      </c>
      <c r="R17" s="741">
        <v>0</v>
      </c>
      <c r="S17" s="762">
        <v>0</v>
      </c>
      <c r="T17" s="762">
        <v>0</v>
      </c>
      <c r="U17" s="762">
        <v>0</v>
      </c>
      <c r="V17" s="758">
        <v>0</v>
      </c>
    </row>
    <row r="18" spans="1:22">
      <c r="A18" s="499">
        <v>9</v>
      </c>
      <c r="B18" s="498" t="s">
        <v>669</v>
      </c>
      <c r="C18" s="757">
        <f t="shared" si="0"/>
        <v>7549140.5162999937</v>
      </c>
      <c r="D18" s="760">
        <v>7475881.1562999943</v>
      </c>
      <c r="E18" s="760">
        <v>65926.590000000011</v>
      </c>
      <c r="F18" s="760">
        <v>7332.7699999999995</v>
      </c>
      <c r="G18" s="760">
        <v>0</v>
      </c>
      <c r="H18" s="757">
        <f t="shared" si="1"/>
        <v>8180595.7482470032</v>
      </c>
      <c r="I18" s="760">
        <v>8097391.6375157693</v>
      </c>
      <c r="J18" s="760">
        <v>74236.254895840451</v>
      </c>
      <c r="K18" s="760">
        <v>8967.8558353931494</v>
      </c>
      <c r="L18" s="760">
        <v>0</v>
      </c>
      <c r="M18" s="757">
        <f t="shared" si="2"/>
        <v>132054.51050543183</v>
      </c>
      <c r="N18" s="760">
        <v>101831.17801051884</v>
      </c>
      <c r="O18" s="760">
        <v>22989.731885074016</v>
      </c>
      <c r="P18" s="760">
        <v>7233.600609838968</v>
      </c>
      <c r="Q18" s="760">
        <v>0</v>
      </c>
      <c r="R18" s="760">
        <v>2474</v>
      </c>
      <c r="S18" s="762">
        <v>9.3399999999999997E-2</v>
      </c>
      <c r="T18" s="762">
        <v>0.120266</v>
      </c>
      <c r="U18" s="762">
        <v>0.04</v>
      </c>
      <c r="V18" s="759">
        <v>42.637099999999997</v>
      </c>
    </row>
    <row r="19" spans="1:22">
      <c r="A19" s="497">
        <v>10</v>
      </c>
      <c r="B19" s="496" t="s">
        <v>685</v>
      </c>
      <c r="C19" s="757">
        <f>SUM(C7:C13)+C17+C18</f>
        <v>2003666653.141691</v>
      </c>
      <c r="D19" s="757">
        <f t="shared" ref="D19:G19" si="6">SUM(D7:D13)+D17+D18</f>
        <v>1892169744.3131912</v>
      </c>
      <c r="E19" s="757">
        <f t="shared" si="6"/>
        <v>98764839.868500039</v>
      </c>
      <c r="F19" s="757">
        <f t="shared" si="6"/>
        <v>12727318.190000003</v>
      </c>
      <c r="G19" s="757">
        <f t="shared" si="6"/>
        <v>4750.7700000000004</v>
      </c>
      <c r="H19" s="757">
        <f>SUM(H7:H13)+H17+H18</f>
        <v>2028733697.4572413</v>
      </c>
      <c r="I19" s="757">
        <f t="shared" ref="I19:L19" si="7">SUM(I7:I13)+I17+I18</f>
        <v>1915490334.393369</v>
      </c>
      <c r="J19" s="757">
        <f t="shared" si="7"/>
        <v>97312173.916395307</v>
      </c>
      <c r="K19" s="757">
        <f t="shared" si="7"/>
        <v>15926415.689684616</v>
      </c>
      <c r="L19" s="757">
        <f t="shared" si="7"/>
        <v>4773.4577922882199</v>
      </c>
      <c r="M19" s="757">
        <f>SUM(M7:M13)+M17+M18</f>
        <v>51237342.548040994</v>
      </c>
      <c r="N19" s="757">
        <f t="shared" ref="N19:Q19" si="8">SUM(N7:N13)+N17+N18</f>
        <v>17842708.642630126</v>
      </c>
      <c r="O19" s="757">
        <f t="shared" si="8"/>
        <v>20743892.547702763</v>
      </c>
      <c r="P19" s="757">
        <f t="shared" si="8"/>
        <v>12650683.81956264</v>
      </c>
      <c r="Q19" s="757">
        <f t="shared" si="8"/>
        <v>57.538145474613003</v>
      </c>
      <c r="R19" s="757">
        <f t="shared" ref="R19" si="9">SUM(R7:R13)+R17+R18</f>
        <v>671495</v>
      </c>
      <c r="S19" s="762">
        <v>0.18</v>
      </c>
      <c r="T19" s="762">
        <v>0.25</v>
      </c>
      <c r="U19" s="762">
        <v>0.19520000000000001</v>
      </c>
      <c r="V19" s="758">
        <v>62.445500000000003</v>
      </c>
    </row>
    <row r="20" spans="1:22" ht="24">
      <c r="A20" s="495">
        <v>10.1</v>
      </c>
      <c r="B20" s="494" t="s">
        <v>688</v>
      </c>
      <c r="C20" s="757">
        <f>SUM(D20:G20)</f>
        <v>3943168.3329999992</v>
      </c>
      <c r="D20" s="741">
        <v>3712824.8529999992</v>
      </c>
      <c r="E20" s="741">
        <v>203846.47</v>
      </c>
      <c r="F20" s="741">
        <v>26497.010000000002</v>
      </c>
      <c r="G20" s="741">
        <v>0</v>
      </c>
      <c r="H20" s="757">
        <f>SUM(I20:L20)</f>
        <v>3984645.1175062289</v>
      </c>
      <c r="I20" s="741">
        <v>3745609.041447863</v>
      </c>
      <c r="J20" s="741">
        <v>199735.20775758807</v>
      </c>
      <c r="K20" s="741">
        <v>39300.86830077802</v>
      </c>
      <c r="L20" s="741">
        <v>0</v>
      </c>
      <c r="M20" s="757">
        <f>SUM(N20:Q20)</f>
        <v>122875.39623935302</v>
      </c>
      <c r="N20" s="741">
        <v>40727.378722501729</v>
      </c>
      <c r="O20" s="741">
        <v>49929.785049941238</v>
      </c>
      <c r="P20" s="741">
        <v>32218.232466910056</v>
      </c>
      <c r="Q20" s="741">
        <v>0</v>
      </c>
      <c r="R20" s="741">
        <v>1460</v>
      </c>
      <c r="S20" s="762">
        <v>0.17380000000000001</v>
      </c>
      <c r="T20" s="762">
        <v>0.234648</v>
      </c>
      <c r="U20" s="762">
        <v>0.2006</v>
      </c>
      <c r="V20" s="758">
        <v>38.856299999999997</v>
      </c>
    </row>
    <row r="21" spans="1:22">
      <c r="C21" s="761"/>
      <c r="D21" s="761"/>
      <c r="E21" s="761"/>
      <c r="F21" s="761"/>
      <c r="G21" s="761"/>
      <c r="H21" s="761"/>
      <c r="I21" s="761"/>
      <c r="J21" s="761"/>
      <c r="K21" s="761"/>
      <c r="L21" s="761"/>
      <c r="M21" s="761"/>
      <c r="N21" s="761"/>
      <c r="O21" s="761"/>
      <c r="P21" s="761"/>
      <c r="Q21" s="761"/>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ignoredErrors>
    <ignoredError sqref="R13"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60" zoomScale="110" zoomScaleNormal="110" workbookViewId="0">
      <selection activeCell="B62" sqref="B62:C62"/>
    </sheetView>
  </sheetViews>
  <sheetFormatPr defaultColWidth="43.5546875" defaultRowHeight="12"/>
  <cols>
    <col min="1" max="1" width="8" style="128" customWidth="1"/>
    <col min="2" max="2" width="66.21875" style="129" customWidth="1"/>
    <col min="3" max="3" width="131.44140625" style="130" customWidth="1"/>
    <col min="4" max="5" width="10.21875" style="121" customWidth="1"/>
    <col min="6" max="6" width="67.6640625" style="121" customWidth="1"/>
    <col min="7" max="16384" width="43.5546875" style="121"/>
  </cols>
  <sheetData>
    <row r="1" spans="1:3" ht="13.2" thickTop="1" thickBot="1">
      <c r="A1" s="943" t="s">
        <v>176</v>
      </c>
      <c r="B1" s="944"/>
      <c r="C1" s="945"/>
    </row>
    <row r="2" spans="1:3" ht="26.25" customHeight="1">
      <c r="A2" s="328"/>
      <c r="B2" s="946" t="s">
        <v>177</v>
      </c>
      <c r="C2" s="946"/>
    </row>
    <row r="3" spans="1:3" s="126" customFormat="1" ht="11.25" customHeight="1">
      <c r="A3" s="125"/>
      <c r="B3" s="946" t="s">
        <v>251</v>
      </c>
      <c r="C3" s="946"/>
    </row>
    <row r="4" spans="1:3" ht="12" customHeight="1" thickBot="1">
      <c r="A4" s="925" t="s">
        <v>255</v>
      </c>
      <c r="B4" s="926"/>
      <c r="C4" s="927"/>
    </row>
    <row r="5" spans="1:3" ht="12.6" thickTop="1">
      <c r="A5" s="122"/>
      <c r="B5" s="928" t="s">
        <v>178</v>
      </c>
      <c r="C5" s="929"/>
    </row>
    <row r="6" spans="1:3">
      <c r="A6" s="328"/>
      <c r="B6" s="907" t="s">
        <v>252</v>
      </c>
      <c r="C6" s="908"/>
    </row>
    <row r="7" spans="1:3">
      <c r="A7" s="328"/>
      <c r="B7" s="907" t="s">
        <v>179</v>
      </c>
      <c r="C7" s="908"/>
    </row>
    <row r="8" spans="1:3">
      <c r="A8" s="328"/>
      <c r="B8" s="907" t="s">
        <v>253</v>
      </c>
      <c r="C8" s="908"/>
    </row>
    <row r="9" spans="1:3">
      <c r="A9" s="328"/>
      <c r="B9" s="949" t="s">
        <v>254</v>
      </c>
      <c r="C9" s="950"/>
    </row>
    <row r="10" spans="1:3">
      <c r="A10" s="328"/>
      <c r="B10" s="941" t="s">
        <v>180</v>
      </c>
      <c r="C10" s="942" t="s">
        <v>180</v>
      </c>
    </row>
    <row r="11" spans="1:3">
      <c r="A11" s="328"/>
      <c r="B11" s="941" t="s">
        <v>181</v>
      </c>
      <c r="C11" s="942" t="s">
        <v>181</v>
      </c>
    </row>
    <row r="12" spans="1:3">
      <c r="A12" s="328"/>
      <c r="B12" s="941" t="s">
        <v>182</v>
      </c>
      <c r="C12" s="942" t="s">
        <v>182</v>
      </c>
    </row>
    <row r="13" spans="1:3">
      <c r="A13" s="328"/>
      <c r="B13" s="941" t="s">
        <v>183</v>
      </c>
      <c r="C13" s="942" t="s">
        <v>183</v>
      </c>
    </row>
    <row r="14" spans="1:3">
      <c r="A14" s="328"/>
      <c r="B14" s="941" t="s">
        <v>184</v>
      </c>
      <c r="C14" s="942" t="s">
        <v>184</v>
      </c>
    </row>
    <row r="15" spans="1:3" ht="21.75" customHeight="1">
      <c r="A15" s="328"/>
      <c r="B15" s="941" t="s">
        <v>185</v>
      </c>
      <c r="C15" s="942" t="s">
        <v>185</v>
      </c>
    </row>
    <row r="16" spans="1:3">
      <c r="A16" s="328"/>
      <c r="B16" s="941" t="s">
        <v>186</v>
      </c>
      <c r="C16" s="942" t="s">
        <v>187</v>
      </c>
    </row>
    <row r="17" spans="1:6">
      <c r="A17" s="328"/>
      <c r="B17" s="941" t="s">
        <v>188</v>
      </c>
      <c r="C17" s="942" t="s">
        <v>189</v>
      </c>
    </row>
    <row r="18" spans="1:6">
      <c r="A18" s="328"/>
      <c r="B18" s="941" t="s">
        <v>190</v>
      </c>
      <c r="C18" s="942" t="s">
        <v>191</v>
      </c>
    </row>
    <row r="19" spans="1:6">
      <c r="A19" s="583"/>
      <c r="B19" s="947" t="s">
        <v>192</v>
      </c>
      <c r="C19" s="948" t="s">
        <v>192</v>
      </c>
    </row>
    <row r="20" spans="1:6">
      <c r="A20" s="583"/>
      <c r="B20" s="947" t="s">
        <v>917</v>
      </c>
      <c r="C20" s="948" t="s">
        <v>193</v>
      </c>
    </row>
    <row r="21" spans="1:6">
      <c r="A21" s="328"/>
      <c r="B21" s="947" t="s">
        <v>960</v>
      </c>
      <c r="C21" s="948" t="s">
        <v>194</v>
      </c>
    </row>
    <row r="22" spans="1:6" ht="23.25" customHeight="1">
      <c r="A22" s="328"/>
      <c r="B22" s="941" t="s">
        <v>195</v>
      </c>
      <c r="C22" s="942" t="s">
        <v>196</v>
      </c>
      <c r="F22" s="547"/>
    </row>
    <row r="23" spans="1:6">
      <c r="A23" s="328"/>
      <c r="B23" s="941" t="s">
        <v>197</v>
      </c>
      <c r="C23" s="942" t="s">
        <v>197</v>
      </c>
    </row>
    <row r="24" spans="1:6">
      <c r="A24" s="328"/>
      <c r="B24" s="941" t="s">
        <v>198</v>
      </c>
      <c r="C24" s="942" t="s">
        <v>199</v>
      </c>
    </row>
    <row r="25" spans="1:6" ht="12.6" thickBot="1">
      <c r="A25" s="123"/>
      <c r="B25" s="935" t="s">
        <v>200</v>
      </c>
      <c r="C25" s="936"/>
    </row>
    <row r="26" spans="1:6" ht="13.2" thickTop="1" thickBot="1">
      <c r="A26" s="925" t="s">
        <v>812</v>
      </c>
      <c r="B26" s="926"/>
      <c r="C26" s="927"/>
    </row>
    <row r="27" spans="1:6" ht="13.2" thickTop="1" thickBot="1">
      <c r="A27" s="124"/>
      <c r="B27" s="937" t="s">
        <v>813</v>
      </c>
      <c r="C27" s="938"/>
    </row>
    <row r="28" spans="1:6" ht="13.2" thickTop="1" thickBot="1">
      <c r="A28" s="925" t="s">
        <v>256</v>
      </c>
      <c r="B28" s="926"/>
      <c r="C28" s="927"/>
    </row>
    <row r="29" spans="1:6" ht="12.6" thickTop="1">
      <c r="A29" s="122"/>
      <c r="B29" s="939" t="s">
        <v>816</v>
      </c>
      <c r="C29" s="940" t="s">
        <v>201</v>
      </c>
    </row>
    <row r="30" spans="1:6">
      <c r="A30" s="328"/>
      <c r="B30" s="916" t="s">
        <v>205</v>
      </c>
      <c r="C30" s="917" t="s">
        <v>202</v>
      </c>
    </row>
    <row r="31" spans="1:6">
      <c r="A31" s="328"/>
      <c r="B31" s="916" t="s">
        <v>814</v>
      </c>
      <c r="C31" s="917" t="s">
        <v>203</v>
      </c>
    </row>
    <row r="32" spans="1:6">
      <c r="A32" s="328"/>
      <c r="B32" s="916" t="s">
        <v>815</v>
      </c>
      <c r="C32" s="917" t="s">
        <v>204</v>
      </c>
    </row>
    <row r="33" spans="1:3">
      <c r="A33" s="328"/>
      <c r="B33" s="916" t="s">
        <v>208</v>
      </c>
      <c r="C33" s="917" t="s">
        <v>209</v>
      </c>
    </row>
    <row r="34" spans="1:3">
      <c r="A34" s="328"/>
      <c r="B34" s="916" t="s">
        <v>817</v>
      </c>
      <c r="C34" s="917" t="s">
        <v>206</v>
      </c>
    </row>
    <row r="35" spans="1:3">
      <c r="A35" s="328"/>
      <c r="B35" s="916" t="s">
        <v>818</v>
      </c>
      <c r="C35" s="917" t="s">
        <v>207</v>
      </c>
    </row>
    <row r="36" spans="1:3">
      <c r="A36" s="328"/>
      <c r="B36" s="932" t="s">
        <v>819</v>
      </c>
      <c r="C36" s="933"/>
    </row>
    <row r="37" spans="1:3" ht="24.75" customHeight="1">
      <c r="A37" s="328"/>
      <c r="B37" s="916" t="s">
        <v>820</v>
      </c>
      <c r="C37" s="917" t="s">
        <v>210</v>
      </c>
    </row>
    <row r="38" spans="1:3" ht="23.25" customHeight="1">
      <c r="A38" s="328"/>
      <c r="B38" s="916" t="s">
        <v>821</v>
      </c>
      <c r="C38" s="917" t="s">
        <v>211</v>
      </c>
    </row>
    <row r="39" spans="1:3" ht="23.25" customHeight="1">
      <c r="A39" s="395"/>
      <c r="B39" s="932" t="s">
        <v>822</v>
      </c>
      <c r="C39" s="934"/>
    </row>
    <row r="40" spans="1:3" ht="12" customHeight="1">
      <c r="A40" s="328"/>
      <c r="B40" s="916" t="s">
        <v>823</v>
      </c>
      <c r="C40" s="917"/>
    </row>
    <row r="41" spans="1:3" ht="12.6" thickBot="1">
      <c r="A41" s="925" t="s">
        <v>257</v>
      </c>
      <c r="B41" s="926"/>
      <c r="C41" s="927"/>
    </row>
    <row r="42" spans="1:3" ht="12.6" thickTop="1">
      <c r="A42" s="122"/>
      <c r="B42" s="928" t="s">
        <v>287</v>
      </c>
      <c r="C42" s="929" t="s">
        <v>212</v>
      </c>
    </row>
    <row r="43" spans="1:3">
      <c r="A43" s="328"/>
      <c r="B43" s="907" t="s">
        <v>286</v>
      </c>
      <c r="C43" s="908"/>
    </row>
    <row r="44" spans="1:3" ht="23.25" customHeight="1" thickBot="1">
      <c r="A44" s="123"/>
      <c r="B44" s="923" t="s">
        <v>213</v>
      </c>
      <c r="C44" s="924" t="s">
        <v>214</v>
      </c>
    </row>
    <row r="45" spans="1:3" ht="11.25" customHeight="1" thickTop="1" thickBot="1">
      <c r="A45" s="925" t="s">
        <v>258</v>
      </c>
      <c r="B45" s="926"/>
      <c r="C45" s="927"/>
    </row>
    <row r="46" spans="1:3" ht="26.25" customHeight="1" thickTop="1">
      <c r="A46" s="328"/>
      <c r="B46" s="907" t="s">
        <v>259</v>
      </c>
      <c r="C46" s="908"/>
    </row>
    <row r="47" spans="1:3" ht="12.6" thickBot="1">
      <c r="A47" s="925" t="s">
        <v>260</v>
      </c>
      <c r="B47" s="926"/>
      <c r="C47" s="927"/>
    </row>
    <row r="48" spans="1:3" ht="12.6" thickTop="1">
      <c r="A48" s="122"/>
      <c r="B48" s="928" t="s">
        <v>215</v>
      </c>
      <c r="C48" s="929" t="s">
        <v>215</v>
      </c>
    </row>
    <row r="49" spans="1:3" ht="11.25" customHeight="1">
      <c r="A49" s="328"/>
      <c r="B49" s="907" t="s">
        <v>216</v>
      </c>
      <c r="C49" s="908" t="s">
        <v>216</v>
      </c>
    </row>
    <row r="50" spans="1:3">
      <c r="A50" s="328"/>
      <c r="B50" s="907" t="s">
        <v>217</v>
      </c>
      <c r="C50" s="908" t="s">
        <v>217</v>
      </c>
    </row>
    <row r="51" spans="1:3" ht="11.25" customHeight="1">
      <c r="A51" s="328"/>
      <c r="B51" s="907" t="s">
        <v>825</v>
      </c>
      <c r="C51" s="908" t="s">
        <v>218</v>
      </c>
    </row>
    <row r="52" spans="1:3" ht="33.6" customHeight="1">
      <c r="A52" s="328"/>
      <c r="B52" s="907" t="s">
        <v>219</v>
      </c>
      <c r="C52" s="908" t="s">
        <v>219</v>
      </c>
    </row>
    <row r="53" spans="1:3" ht="11.25" customHeight="1">
      <c r="A53" s="328"/>
      <c r="B53" s="907" t="s">
        <v>307</v>
      </c>
      <c r="C53" s="908" t="s">
        <v>220</v>
      </c>
    </row>
    <row r="54" spans="1:3" ht="11.25" customHeight="1" thickBot="1">
      <c r="A54" s="925" t="s">
        <v>261</v>
      </c>
      <c r="B54" s="926"/>
      <c r="C54" s="927"/>
    </row>
    <row r="55" spans="1:3" ht="12.6" thickTop="1">
      <c r="A55" s="122"/>
      <c r="B55" s="928" t="s">
        <v>215</v>
      </c>
      <c r="C55" s="929" t="s">
        <v>215</v>
      </c>
    </row>
    <row r="56" spans="1:3">
      <c r="A56" s="328"/>
      <c r="B56" s="907" t="s">
        <v>221</v>
      </c>
      <c r="C56" s="908" t="s">
        <v>221</v>
      </c>
    </row>
    <row r="57" spans="1:3">
      <c r="A57" s="328"/>
      <c r="B57" s="907" t="s">
        <v>264</v>
      </c>
      <c r="C57" s="908" t="s">
        <v>222</v>
      </c>
    </row>
    <row r="58" spans="1:3">
      <c r="A58" s="328"/>
      <c r="B58" s="907" t="s">
        <v>223</v>
      </c>
      <c r="C58" s="908" t="s">
        <v>223</v>
      </c>
    </row>
    <row r="59" spans="1:3">
      <c r="A59" s="328"/>
      <c r="B59" s="907" t="s">
        <v>224</v>
      </c>
      <c r="C59" s="908" t="s">
        <v>224</v>
      </c>
    </row>
    <row r="60" spans="1:3">
      <c r="A60" s="328"/>
      <c r="B60" s="907" t="s">
        <v>225</v>
      </c>
      <c r="C60" s="908" t="s">
        <v>225</v>
      </c>
    </row>
    <row r="61" spans="1:3">
      <c r="A61" s="328"/>
      <c r="B61" s="907" t="s">
        <v>265</v>
      </c>
      <c r="C61" s="908" t="s">
        <v>226</v>
      </c>
    </row>
    <row r="62" spans="1:3" ht="12" customHeight="1">
      <c r="A62" s="328"/>
      <c r="B62" s="894" t="s">
        <v>997</v>
      </c>
      <c r="C62" s="895" t="s">
        <v>227</v>
      </c>
    </row>
    <row r="63" spans="1:3" ht="22.5" customHeight="1" thickBot="1">
      <c r="A63" s="123"/>
      <c r="B63" s="923" t="s">
        <v>228</v>
      </c>
      <c r="C63" s="924" t="s">
        <v>228</v>
      </c>
    </row>
    <row r="64" spans="1:3" ht="11.25" customHeight="1" thickTop="1">
      <c r="A64" s="913" t="s">
        <v>262</v>
      </c>
      <c r="B64" s="914"/>
      <c r="C64" s="915"/>
    </row>
    <row r="65" spans="1:3" ht="12.6" thickBot="1">
      <c r="A65" s="123"/>
      <c r="B65" s="923" t="s">
        <v>229</v>
      </c>
      <c r="C65" s="924" t="s">
        <v>229</v>
      </c>
    </row>
    <row r="66" spans="1:3" ht="11.25" customHeight="1" thickTop="1">
      <c r="A66" s="913" t="s">
        <v>950</v>
      </c>
      <c r="B66" s="914"/>
      <c r="C66" s="915"/>
    </row>
    <row r="67" spans="1:3" ht="12.6" thickBot="1">
      <c r="A67" s="123"/>
      <c r="B67" s="923" t="s">
        <v>949</v>
      </c>
      <c r="C67" s="924"/>
    </row>
    <row r="68" spans="1:3" ht="11.25" customHeight="1" thickTop="1" thickBot="1">
      <c r="A68" s="925" t="s">
        <v>263</v>
      </c>
      <c r="B68" s="926"/>
      <c r="C68" s="927"/>
    </row>
    <row r="69" spans="1:3" ht="12.6" thickTop="1">
      <c r="A69" s="122"/>
      <c r="B69" s="928" t="s">
        <v>230</v>
      </c>
      <c r="C69" s="929" t="s">
        <v>230</v>
      </c>
    </row>
    <row r="70" spans="1:3">
      <c r="A70" s="328"/>
      <c r="B70" s="907" t="s">
        <v>827</v>
      </c>
      <c r="C70" s="908" t="s">
        <v>231</v>
      </c>
    </row>
    <row r="71" spans="1:3">
      <c r="A71" s="328"/>
      <c r="B71" s="907" t="s">
        <v>232</v>
      </c>
      <c r="C71" s="908" t="s">
        <v>232</v>
      </c>
    </row>
    <row r="72" spans="1:3" ht="55.05" customHeight="1">
      <c r="A72" s="328"/>
      <c r="B72" s="930" t="s">
        <v>961</v>
      </c>
      <c r="C72" s="931" t="s">
        <v>233</v>
      </c>
    </row>
    <row r="73" spans="1:3" ht="33.75" customHeight="1">
      <c r="A73" s="328"/>
      <c r="B73" s="921" t="s">
        <v>266</v>
      </c>
      <c r="C73" s="922" t="s">
        <v>234</v>
      </c>
    </row>
    <row r="74" spans="1:3" ht="15.75" customHeight="1">
      <c r="A74" s="328"/>
      <c r="B74" s="921" t="s">
        <v>828</v>
      </c>
      <c r="C74" s="922" t="s">
        <v>235</v>
      </c>
    </row>
    <row r="75" spans="1:3">
      <c r="A75" s="328"/>
      <c r="B75" s="907" t="s">
        <v>236</v>
      </c>
      <c r="C75" s="908" t="s">
        <v>236</v>
      </c>
    </row>
    <row r="76" spans="1:3" ht="12.6" thickBot="1">
      <c r="A76" s="123"/>
      <c r="B76" s="923" t="s">
        <v>237</v>
      </c>
      <c r="C76" s="924" t="s">
        <v>237</v>
      </c>
    </row>
    <row r="77" spans="1:3" ht="12.6" thickTop="1">
      <c r="A77" s="913" t="s">
        <v>290</v>
      </c>
      <c r="B77" s="914"/>
      <c r="C77" s="915"/>
    </row>
    <row r="78" spans="1:3">
      <c r="A78" s="328"/>
      <c r="B78" s="907" t="s">
        <v>229</v>
      </c>
      <c r="C78" s="908"/>
    </row>
    <row r="79" spans="1:3">
      <c r="A79" s="328"/>
      <c r="B79" s="907" t="s">
        <v>288</v>
      </c>
      <c r="C79" s="908"/>
    </row>
    <row r="80" spans="1:3">
      <c r="A80" s="328"/>
      <c r="B80" s="907" t="s">
        <v>289</v>
      </c>
      <c r="C80" s="908"/>
    </row>
    <row r="81" spans="1:3">
      <c r="A81" s="913" t="s">
        <v>291</v>
      </c>
      <c r="B81" s="914"/>
      <c r="C81" s="915"/>
    </row>
    <row r="82" spans="1:3">
      <c r="A82" s="328"/>
      <c r="B82" s="907" t="s">
        <v>229</v>
      </c>
      <c r="C82" s="908"/>
    </row>
    <row r="83" spans="1:3">
      <c r="A83" s="328"/>
      <c r="B83" s="907" t="s">
        <v>292</v>
      </c>
      <c r="C83" s="908"/>
    </row>
    <row r="84" spans="1:3" ht="79.5" customHeight="1">
      <c r="A84" s="328"/>
      <c r="B84" s="907" t="s">
        <v>306</v>
      </c>
      <c r="C84" s="908"/>
    </row>
    <row r="85" spans="1:3" ht="53.25" customHeight="1">
      <c r="A85" s="328"/>
      <c r="B85" s="907" t="s">
        <v>305</v>
      </c>
      <c r="C85" s="908"/>
    </row>
    <row r="86" spans="1:3">
      <c r="A86" s="328"/>
      <c r="B86" s="907" t="s">
        <v>293</v>
      </c>
      <c r="C86" s="908"/>
    </row>
    <row r="87" spans="1:3">
      <c r="A87" s="328"/>
      <c r="B87" s="907" t="s">
        <v>294</v>
      </c>
      <c r="C87" s="908"/>
    </row>
    <row r="88" spans="1:3">
      <c r="A88" s="328"/>
      <c r="B88" s="907" t="s">
        <v>295</v>
      </c>
      <c r="C88" s="908"/>
    </row>
    <row r="89" spans="1:3">
      <c r="A89" s="913" t="s">
        <v>296</v>
      </c>
      <c r="B89" s="914"/>
      <c r="C89" s="915"/>
    </row>
    <row r="90" spans="1:3">
      <c r="A90" s="328"/>
      <c r="B90" s="907" t="s">
        <v>229</v>
      </c>
      <c r="C90" s="908"/>
    </row>
    <row r="91" spans="1:3">
      <c r="A91" s="328"/>
      <c r="B91" s="907" t="s">
        <v>298</v>
      </c>
      <c r="C91" s="908"/>
    </row>
    <row r="92" spans="1:3" ht="12" customHeight="1">
      <c r="A92" s="328"/>
      <c r="B92" s="907" t="s">
        <v>299</v>
      </c>
      <c r="C92" s="908"/>
    </row>
    <row r="93" spans="1:3">
      <c r="A93" s="328"/>
      <c r="B93" s="907" t="s">
        <v>300</v>
      </c>
      <c r="C93" s="908"/>
    </row>
    <row r="94" spans="1:3" ht="24.75" customHeight="1">
      <c r="A94" s="328"/>
      <c r="B94" s="916" t="s">
        <v>336</v>
      </c>
      <c r="C94" s="917"/>
    </row>
    <row r="95" spans="1:3" ht="24" customHeight="1">
      <c r="A95" s="328"/>
      <c r="B95" s="916" t="s">
        <v>337</v>
      </c>
      <c r="C95" s="917"/>
    </row>
    <row r="96" spans="1:3" ht="13.5" customHeight="1">
      <c r="A96" s="328"/>
      <c r="B96" s="916" t="s">
        <v>301</v>
      </c>
      <c r="C96" s="917"/>
    </row>
    <row r="97" spans="1:3" ht="11.25" customHeight="1" thickBot="1">
      <c r="A97" s="918" t="s">
        <v>332</v>
      </c>
      <c r="B97" s="919"/>
      <c r="C97" s="920"/>
    </row>
    <row r="98" spans="1:3" ht="13.2" thickTop="1" thickBot="1">
      <c r="A98" s="912" t="s">
        <v>238</v>
      </c>
      <c r="B98" s="912"/>
      <c r="C98" s="912"/>
    </row>
    <row r="99" spans="1:3">
      <c r="A99" s="196">
        <v>2</v>
      </c>
      <c r="B99" s="316" t="s">
        <v>312</v>
      </c>
      <c r="C99" s="316" t="s">
        <v>333</v>
      </c>
    </row>
    <row r="100" spans="1:3">
      <c r="A100" s="127">
        <v>3</v>
      </c>
      <c r="B100" s="317" t="s">
        <v>313</v>
      </c>
      <c r="C100" s="318" t="s">
        <v>334</v>
      </c>
    </row>
    <row r="101" spans="1:3">
      <c r="A101" s="127">
        <v>4</v>
      </c>
      <c r="B101" s="317" t="s">
        <v>314</v>
      </c>
      <c r="C101" s="318" t="s">
        <v>338</v>
      </c>
    </row>
    <row r="102" spans="1:3" ht="11.25" customHeight="1">
      <c r="A102" s="127">
        <v>5</v>
      </c>
      <c r="B102" s="317" t="s">
        <v>315</v>
      </c>
      <c r="C102" s="318" t="s">
        <v>335</v>
      </c>
    </row>
    <row r="103" spans="1:3" ht="12" customHeight="1">
      <c r="A103" s="127">
        <v>6</v>
      </c>
      <c r="B103" s="317" t="s">
        <v>330</v>
      </c>
      <c r="C103" s="318" t="s">
        <v>316</v>
      </c>
    </row>
    <row r="104" spans="1:3" ht="12" customHeight="1">
      <c r="A104" s="127">
        <v>7</v>
      </c>
      <c r="B104" s="317" t="s">
        <v>317</v>
      </c>
      <c r="C104" s="318" t="s">
        <v>331</v>
      </c>
    </row>
    <row r="105" spans="1:3">
      <c r="A105" s="127">
        <v>8</v>
      </c>
      <c r="B105" s="317" t="s">
        <v>322</v>
      </c>
      <c r="C105" s="318" t="s">
        <v>342</v>
      </c>
    </row>
    <row r="106" spans="1:3" ht="11.25" customHeight="1">
      <c r="A106" s="913" t="s">
        <v>302</v>
      </c>
      <c r="B106" s="914"/>
      <c r="C106" s="915"/>
    </row>
    <row r="107" spans="1:3" ht="12" customHeight="1">
      <c r="A107" s="328"/>
      <c r="B107" s="894" t="s">
        <v>998</v>
      </c>
      <c r="C107" s="895"/>
    </row>
    <row r="108" spans="1:3">
      <c r="A108" s="913" t="s">
        <v>458</v>
      </c>
      <c r="B108" s="914"/>
      <c r="C108" s="915"/>
    </row>
    <row r="109" spans="1:3" ht="12" customHeight="1">
      <c r="A109" s="328"/>
      <c r="B109" s="907" t="s">
        <v>460</v>
      </c>
      <c r="C109" s="908"/>
    </row>
    <row r="110" spans="1:3">
      <c r="A110" s="328"/>
      <c r="B110" s="907" t="s">
        <v>461</v>
      </c>
      <c r="C110" s="908"/>
    </row>
    <row r="111" spans="1:3">
      <c r="A111" s="328"/>
      <c r="B111" s="907" t="s">
        <v>459</v>
      </c>
      <c r="C111" s="908"/>
    </row>
    <row r="112" spans="1:3">
      <c r="A112" s="905" t="s">
        <v>692</v>
      </c>
      <c r="B112" s="905"/>
      <c r="C112" s="905"/>
    </row>
    <row r="113" spans="1:3">
      <c r="A113" s="909" t="s">
        <v>176</v>
      </c>
      <c r="B113" s="909"/>
      <c r="C113" s="909"/>
    </row>
    <row r="114" spans="1:3">
      <c r="A114" s="530">
        <v>1</v>
      </c>
      <c r="B114" s="896" t="s">
        <v>576</v>
      </c>
      <c r="C114" s="897"/>
    </row>
    <row r="115" spans="1:3">
      <c r="A115" s="530">
        <v>2</v>
      </c>
      <c r="B115" s="910" t="s">
        <v>577</v>
      </c>
      <c r="C115" s="911"/>
    </row>
    <row r="116" spans="1:3">
      <c r="A116" s="530">
        <v>3</v>
      </c>
      <c r="B116" s="896" t="s">
        <v>902</v>
      </c>
      <c r="C116" s="897"/>
    </row>
    <row r="117" spans="1:3">
      <c r="A117" s="530">
        <v>4</v>
      </c>
      <c r="B117" s="896" t="s">
        <v>901</v>
      </c>
      <c r="C117" s="897"/>
    </row>
    <row r="118" spans="1:3">
      <c r="A118" s="530">
        <v>5</v>
      </c>
      <c r="B118" s="534" t="s">
        <v>900</v>
      </c>
      <c r="C118" s="533"/>
    </row>
    <row r="119" spans="1:3">
      <c r="A119" s="530">
        <v>6</v>
      </c>
      <c r="B119" s="898" t="s">
        <v>967</v>
      </c>
      <c r="C119" s="899"/>
    </row>
    <row r="120" spans="1:3" ht="48.45" customHeight="1">
      <c r="A120" s="530">
        <v>7</v>
      </c>
      <c r="B120" s="898" t="s">
        <v>968</v>
      </c>
      <c r="C120" s="899"/>
    </row>
    <row r="121" spans="1:3">
      <c r="A121" s="508">
        <v>8</v>
      </c>
      <c r="B121" s="503" t="s">
        <v>603</v>
      </c>
      <c r="C121" s="527" t="s">
        <v>899</v>
      </c>
    </row>
    <row r="122" spans="1:3" ht="24">
      <c r="A122" s="530">
        <v>9.01</v>
      </c>
      <c r="B122" s="503" t="s">
        <v>487</v>
      </c>
      <c r="C122" s="504" t="s">
        <v>652</v>
      </c>
    </row>
    <row r="123" spans="1:3" ht="36">
      <c r="A123" s="530">
        <v>9.02</v>
      </c>
      <c r="B123" s="503" t="s">
        <v>488</v>
      </c>
      <c r="C123" s="504" t="s">
        <v>655</v>
      </c>
    </row>
    <row r="124" spans="1:3">
      <c r="A124" s="530">
        <v>9.0299999999999994</v>
      </c>
      <c r="B124" s="504" t="s">
        <v>836</v>
      </c>
      <c r="C124" s="504" t="s">
        <v>578</v>
      </c>
    </row>
    <row r="125" spans="1:3">
      <c r="A125" s="530">
        <v>9.0399999999999991</v>
      </c>
      <c r="B125" s="503" t="s">
        <v>489</v>
      </c>
      <c r="C125" s="504" t="s">
        <v>579</v>
      </c>
    </row>
    <row r="126" spans="1:3">
      <c r="A126" s="530">
        <v>9.0500000000000007</v>
      </c>
      <c r="B126" s="503" t="s">
        <v>490</v>
      </c>
      <c r="C126" s="504" t="s">
        <v>580</v>
      </c>
    </row>
    <row r="127" spans="1:3" ht="24">
      <c r="A127" s="530">
        <v>9.06</v>
      </c>
      <c r="B127" s="503" t="s">
        <v>491</v>
      </c>
      <c r="C127" s="504" t="s">
        <v>581</v>
      </c>
    </row>
    <row r="128" spans="1:3">
      <c r="A128" s="530">
        <v>9.07</v>
      </c>
      <c r="B128" s="532" t="s">
        <v>492</v>
      </c>
      <c r="C128" s="504" t="s">
        <v>582</v>
      </c>
    </row>
    <row r="129" spans="1:3" ht="24">
      <c r="A129" s="530">
        <v>9.08</v>
      </c>
      <c r="B129" s="503" t="s">
        <v>493</v>
      </c>
      <c r="C129" s="504" t="s">
        <v>583</v>
      </c>
    </row>
    <row r="130" spans="1:3" ht="24">
      <c r="A130" s="530">
        <v>9.09</v>
      </c>
      <c r="B130" s="503" t="s">
        <v>494</v>
      </c>
      <c r="C130" s="504" t="s">
        <v>584</v>
      </c>
    </row>
    <row r="131" spans="1:3">
      <c r="A131" s="531">
        <v>9.1</v>
      </c>
      <c r="B131" s="503" t="s">
        <v>495</v>
      </c>
      <c r="C131" s="504" t="s">
        <v>585</v>
      </c>
    </row>
    <row r="132" spans="1:3">
      <c r="A132" s="530">
        <v>9.11</v>
      </c>
      <c r="B132" s="503" t="s">
        <v>496</v>
      </c>
      <c r="C132" s="504" t="s">
        <v>586</v>
      </c>
    </row>
    <row r="133" spans="1:3">
      <c r="A133" s="530">
        <v>9.1199999999999992</v>
      </c>
      <c r="B133" s="503" t="s">
        <v>497</v>
      </c>
      <c r="C133" s="504" t="s">
        <v>587</v>
      </c>
    </row>
    <row r="134" spans="1:3">
      <c r="A134" s="530">
        <v>9.1300000000000008</v>
      </c>
      <c r="B134" s="503" t="s">
        <v>498</v>
      </c>
      <c r="C134" s="504" t="s">
        <v>588</v>
      </c>
    </row>
    <row r="135" spans="1:3">
      <c r="A135" s="530">
        <v>9.14</v>
      </c>
      <c r="B135" s="503" t="s">
        <v>499</v>
      </c>
      <c r="C135" s="504" t="s">
        <v>589</v>
      </c>
    </row>
    <row r="136" spans="1:3">
      <c r="A136" s="530">
        <v>9.15</v>
      </c>
      <c r="B136" s="503" t="s">
        <v>500</v>
      </c>
      <c r="C136" s="504" t="s">
        <v>590</v>
      </c>
    </row>
    <row r="137" spans="1:3">
      <c r="A137" s="530">
        <v>9.16</v>
      </c>
      <c r="B137" s="503" t="s">
        <v>501</v>
      </c>
      <c r="C137" s="504" t="s">
        <v>591</v>
      </c>
    </row>
    <row r="138" spans="1:3">
      <c r="A138" s="530">
        <v>9.17</v>
      </c>
      <c r="B138" s="504" t="s">
        <v>502</v>
      </c>
      <c r="C138" s="504" t="s">
        <v>592</v>
      </c>
    </row>
    <row r="139" spans="1:3" ht="24">
      <c r="A139" s="530">
        <v>9.18</v>
      </c>
      <c r="B139" s="503" t="s">
        <v>503</v>
      </c>
      <c r="C139" s="504" t="s">
        <v>593</v>
      </c>
    </row>
    <row r="140" spans="1:3">
      <c r="A140" s="530">
        <v>9.19</v>
      </c>
      <c r="B140" s="503" t="s">
        <v>504</v>
      </c>
      <c r="C140" s="504" t="s">
        <v>594</v>
      </c>
    </row>
    <row r="141" spans="1:3">
      <c r="A141" s="531">
        <v>9.1999999999999993</v>
      </c>
      <c r="B141" s="503" t="s">
        <v>505</v>
      </c>
      <c r="C141" s="504" t="s">
        <v>595</v>
      </c>
    </row>
    <row r="142" spans="1:3">
      <c r="A142" s="530">
        <v>9.2100000000000009</v>
      </c>
      <c r="B142" s="503" t="s">
        <v>506</v>
      </c>
      <c r="C142" s="504" t="s">
        <v>596</v>
      </c>
    </row>
    <row r="143" spans="1:3">
      <c r="A143" s="530">
        <v>9.2200000000000006</v>
      </c>
      <c r="B143" s="503" t="s">
        <v>507</v>
      </c>
      <c r="C143" s="504" t="s">
        <v>597</v>
      </c>
    </row>
    <row r="144" spans="1:3" ht="24">
      <c r="A144" s="530">
        <v>9.23</v>
      </c>
      <c r="B144" s="503" t="s">
        <v>508</v>
      </c>
      <c r="C144" s="504" t="s">
        <v>598</v>
      </c>
    </row>
    <row r="145" spans="1:3" ht="24">
      <c r="A145" s="530">
        <v>9.24</v>
      </c>
      <c r="B145" s="503" t="s">
        <v>509</v>
      </c>
      <c r="C145" s="504" t="s">
        <v>599</v>
      </c>
    </row>
    <row r="146" spans="1:3">
      <c r="A146" s="530">
        <v>9.2500000000000107</v>
      </c>
      <c r="B146" s="503" t="s">
        <v>510</v>
      </c>
      <c r="C146" s="504" t="s">
        <v>600</v>
      </c>
    </row>
    <row r="147" spans="1:3" ht="24">
      <c r="A147" s="530">
        <v>9.2600000000000193</v>
      </c>
      <c r="B147" s="503" t="s">
        <v>601</v>
      </c>
      <c r="C147" s="529" t="s">
        <v>602</v>
      </c>
    </row>
    <row r="148" spans="1:3" s="329" customFormat="1" ht="24">
      <c r="A148" s="530">
        <v>9.2700000000000298</v>
      </c>
      <c r="B148" s="503" t="s">
        <v>88</v>
      </c>
      <c r="C148" s="529" t="s">
        <v>653</v>
      </c>
    </row>
    <row r="149" spans="1:3" s="329" customFormat="1">
      <c r="A149" s="509"/>
      <c r="B149" s="892" t="s">
        <v>604</v>
      </c>
      <c r="C149" s="893"/>
    </row>
    <row r="150" spans="1:3" s="329" customFormat="1">
      <c r="A150" s="508">
        <v>1</v>
      </c>
      <c r="B150" s="894" t="s">
        <v>898</v>
      </c>
      <c r="C150" s="895"/>
    </row>
    <row r="151" spans="1:3" s="329" customFormat="1">
      <c r="A151" s="508">
        <v>2</v>
      </c>
      <c r="B151" s="894" t="s">
        <v>654</v>
      </c>
      <c r="C151" s="895"/>
    </row>
    <row r="152" spans="1:3" s="329" customFormat="1">
      <c r="A152" s="508">
        <v>3</v>
      </c>
      <c r="B152" s="894" t="s">
        <v>651</v>
      </c>
      <c r="C152" s="895"/>
    </row>
    <row r="153" spans="1:3" s="329" customFormat="1">
      <c r="A153" s="509"/>
      <c r="B153" s="892" t="s">
        <v>605</v>
      </c>
      <c r="C153" s="893"/>
    </row>
    <row r="154" spans="1:3" s="329" customFormat="1">
      <c r="A154" s="508">
        <v>1</v>
      </c>
      <c r="B154" s="900" t="s">
        <v>897</v>
      </c>
      <c r="C154" s="901"/>
    </row>
    <row r="155" spans="1:3" s="329" customFormat="1">
      <c r="A155" s="508">
        <v>2</v>
      </c>
      <c r="B155" s="503" t="s">
        <v>834</v>
      </c>
      <c r="C155" s="584" t="s">
        <v>962</v>
      </c>
    </row>
    <row r="156" spans="1:3" ht="24">
      <c r="A156" s="508">
        <v>3</v>
      </c>
      <c r="B156" s="503" t="s">
        <v>833</v>
      </c>
      <c r="C156" s="527" t="s">
        <v>896</v>
      </c>
    </row>
    <row r="157" spans="1:3">
      <c r="A157" s="508">
        <v>4</v>
      </c>
      <c r="B157" s="503" t="s">
        <v>480</v>
      </c>
      <c r="C157" s="503" t="s">
        <v>913</v>
      </c>
    </row>
    <row r="158" spans="1:3" ht="25.05" customHeight="1">
      <c r="A158" s="509"/>
      <c r="B158" s="892" t="s">
        <v>606</v>
      </c>
      <c r="C158" s="893"/>
    </row>
    <row r="159" spans="1:3" ht="36">
      <c r="A159" s="508"/>
      <c r="B159" s="503" t="s">
        <v>885</v>
      </c>
      <c r="C159" s="585" t="s">
        <v>963</v>
      </c>
    </row>
    <row r="160" spans="1:3">
      <c r="A160" s="509"/>
      <c r="B160" s="892" t="s">
        <v>607</v>
      </c>
      <c r="C160" s="893"/>
    </row>
    <row r="161" spans="1:3" ht="39" customHeight="1">
      <c r="A161" s="509"/>
      <c r="B161" s="894" t="s">
        <v>895</v>
      </c>
      <c r="C161" s="895"/>
    </row>
    <row r="162" spans="1:3">
      <c r="A162" s="509" t="s">
        <v>608</v>
      </c>
      <c r="B162" s="528" t="s">
        <v>518</v>
      </c>
      <c r="C162" s="520" t="s">
        <v>609</v>
      </c>
    </row>
    <row r="163" spans="1:3">
      <c r="A163" s="509" t="s">
        <v>357</v>
      </c>
      <c r="B163" s="525" t="s">
        <v>519</v>
      </c>
      <c r="C163" s="527" t="s">
        <v>894</v>
      </c>
    </row>
    <row r="164" spans="1:3" ht="24">
      <c r="A164" s="509" t="s">
        <v>364</v>
      </c>
      <c r="B164" s="520" t="s">
        <v>520</v>
      </c>
      <c r="C164" s="527" t="s">
        <v>610</v>
      </c>
    </row>
    <row r="165" spans="1:3">
      <c r="A165" s="509" t="s">
        <v>611</v>
      </c>
      <c r="B165" s="525" t="s">
        <v>521</v>
      </c>
      <c r="C165" s="526" t="s">
        <v>612</v>
      </c>
    </row>
    <row r="166" spans="1:3" ht="24">
      <c r="A166" s="509" t="s">
        <v>613</v>
      </c>
      <c r="B166" s="525" t="s">
        <v>849</v>
      </c>
      <c r="C166" s="519" t="s">
        <v>893</v>
      </c>
    </row>
    <row r="167" spans="1:3" ht="24">
      <c r="A167" s="509" t="s">
        <v>365</v>
      </c>
      <c r="B167" s="525" t="s">
        <v>522</v>
      </c>
      <c r="C167" s="519" t="s">
        <v>615</v>
      </c>
    </row>
    <row r="168" spans="1:3" ht="24">
      <c r="A168" s="509" t="s">
        <v>614</v>
      </c>
      <c r="B168" s="523" t="s">
        <v>525</v>
      </c>
      <c r="C168" s="524" t="s">
        <v>622</v>
      </c>
    </row>
    <row r="169" spans="1:3" ht="24">
      <c r="A169" s="509" t="s">
        <v>616</v>
      </c>
      <c r="B169" s="523" t="s">
        <v>523</v>
      </c>
      <c r="C169" s="519" t="s">
        <v>618</v>
      </c>
    </row>
    <row r="170" spans="1:3" ht="26.55" customHeight="1">
      <c r="A170" s="509" t="s">
        <v>617</v>
      </c>
      <c r="B170" s="523" t="s">
        <v>524</v>
      </c>
      <c r="C170" s="524" t="s">
        <v>620</v>
      </c>
    </row>
    <row r="171" spans="1:3">
      <c r="A171" s="509" t="s">
        <v>619</v>
      </c>
      <c r="B171" s="504" t="s">
        <v>526</v>
      </c>
      <c r="C171" s="524" t="s">
        <v>624</v>
      </c>
    </row>
    <row r="172" spans="1:3" ht="24">
      <c r="A172" s="509" t="s">
        <v>621</v>
      </c>
      <c r="B172" s="523" t="s">
        <v>527</v>
      </c>
      <c r="C172" s="522" t="s">
        <v>625</v>
      </c>
    </row>
    <row r="173" spans="1:3">
      <c r="A173" s="509" t="s">
        <v>623</v>
      </c>
      <c r="B173" s="521" t="s">
        <v>528</v>
      </c>
      <c r="C173" s="520" t="s">
        <v>626</v>
      </c>
    </row>
    <row r="174" spans="1:3" ht="24">
      <c r="A174" s="509"/>
      <c r="B174" s="519" t="s">
        <v>892</v>
      </c>
      <c r="C174" s="504" t="s">
        <v>627</v>
      </c>
    </row>
    <row r="175" spans="1:3" ht="24">
      <c r="A175" s="509"/>
      <c r="B175" s="519" t="s">
        <v>891</v>
      </c>
      <c r="C175" s="504" t="s">
        <v>628</v>
      </c>
    </row>
    <row r="176" spans="1:3" ht="24">
      <c r="A176" s="509"/>
      <c r="B176" s="519" t="s">
        <v>890</v>
      </c>
      <c r="C176" s="504" t="s">
        <v>629</v>
      </c>
    </row>
    <row r="177" spans="1:3">
      <c r="A177" s="509"/>
      <c r="B177" s="892" t="s">
        <v>630</v>
      </c>
      <c r="C177" s="893"/>
    </row>
    <row r="178" spans="1:3">
      <c r="A178" s="509"/>
      <c r="B178" s="894" t="s">
        <v>889</v>
      </c>
      <c r="C178" s="895"/>
    </row>
    <row r="179" spans="1:3">
      <c r="A179" s="508">
        <v>1</v>
      </c>
      <c r="B179" s="504" t="s">
        <v>532</v>
      </c>
      <c r="C179" s="504" t="s">
        <v>532</v>
      </c>
    </row>
    <row r="180" spans="1:3" ht="24">
      <c r="A180" s="508">
        <v>2</v>
      </c>
      <c r="B180" s="504" t="s">
        <v>631</v>
      </c>
      <c r="C180" s="504" t="s">
        <v>632</v>
      </c>
    </row>
    <row r="181" spans="1:3">
      <c r="A181" s="508">
        <v>3</v>
      </c>
      <c r="B181" s="504" t="s">
        <v>534</v>
      </c>
      <c r="C181" s="504" t="s">
        <v>633</v>
      </c>
    </row>
    <row r="182" spans="1:3" ht="24">
      <c r="A182" s="508">
        <v>4</v>
      </c>
      <c r="B182" s="504" t="s">
        <v>535</v>
      </c>
      <c r="C182" s="504" t="s">
        <v>634</v>
      </c>
    </row>
    <row r="183" spans="1:3" ht="24">
      <c r="A183" s="508">
        <v>5</v>
      </c>
      <c r="B183" s="504" t="s">
        <v>536</v>
      </c>
      <c r="C183" s="504" t="s">
        <v>656</v>
      </c>
    </row>
    <row r="184" spans="1:3" ht="48">
      <c r="A184" s="508">
        <v>6</v>
      </c>
      <c r="B184" s="504" t="s">
        <v>537</v>
      </c>
      <c r="C184" s="504" t="s">
        <v>635</v>
      </c>
    </row>
    <row r="185" spans="1:3">
      <c r="A185" s="509"/>
      <c r="B185" s="892" t="s">
        <v>636</v>
      </c>
      <c r="C185" s="893"/>
    </row>
    <row r="186" spans="1:3">
      <c r="A186" s="509"/>
      <c r="B186" s="903" t="s">
        <v>888</v>
      </c>
      <c r="C186" s="900"/>
    </row>
    <row r="187" spans="1:3" ht="24">
      <c r="A187" s="509">
        <v>1.1000000000000001</v>
      </c>
      <c r="B187" s="518" t="s">
        <v>542</v>
      </c>
      <c r="C187" s="504" t="s">
        <v>637</v>
      </c>
    </row>
    <row r="188" spans="1:3" ht="49.95" customHeight="1">
      <c r="A188" s="509" t="s">
        <v>146</v>
      </c>
      <c r="B188" s="505" t="s">
        <v>543</v>
      </c>
      <c r="C188" s="504" t="s">
        <v>638</v>
      </c>
    </row>
    <row r="189" spans="1:3">
      <c r="A189" s="509" t="s">
        <v>544</v>
      </c>
      <c r="B189" s="517" t="s">
        <v>545</v>
      </c>
      <c r="C189" s="904" t="s">
        <v>887</v>
      </c>
    </row>
    <row r="190" spans="1:3">
      <c r="A190" s="509" t="s">
        <v>546</v>
      </c>
      <c r="B190" s="517" t="s">
        <v>547</v>
      </c>
      <c r="C190" s="904"/>
    </row>
    <row r="191" spans="1:3">
      <c r="A191" s="509" t="s">
        <v>548</v>
      </c>
      <c r="B191" s="517" t="s">
        <v>549</v>
      </c>
      <c r="C191" s="904"/>
    </row>
    <row r="192" spans="1:3">
      <c r="A192" s="509" t="s">
        <v>550</v>
      </c>
      <c r="B192" s="517" t="s">
        <v>551</v>
      </c>
      <c r="C192" s="904"/>
    </row>
    <row r="193" spans="1:4" ht="25.5" customHeight="1">
      <c r="A193" s="509">
        <v>1.2</v>
      </c>
      <c r="B193" s="516" t="s">
        <v>863</v>
      </c>
      <c r="C193" s="586" t="s">
        <v>964</v>
      </c>
    </row>
    <row r="194" spans="1:4" ht="24">
      <c r="A194" s="509" t="s">
        <v>553</v>
      </c>
      <c r="B194" s="511" t="s">
        <v>554</v>
      </c>
      <c r="C194" s="514" t="s">
        <v>639</v>
      </c>
    </row>
    <row r="195" spans="1:4" ht="24">
      <c r="A195" s="509" t="s">
        <v>555</v>
      </c>
      <c r="B195" s="515" t="s">
        <v>556</v>
      </c>
      <c r="C195" s="514" t="s">
        <v>640</v>
      </c>
    </row>
    <row r="196" spans="1:4" ht="25.95" customHeight="1">
      <c r="A196" s="509" t="s">
        <v>557</v>
      </c>
      <c r="B196" s="513" t="s">
        <v>558</v>
      </c>
      <c r="C196" s="503" t="s">
        <v>641</v>
      </c>
    </row>
    <row r="197" spans="1:4" ht="24">
      <c r="A197" s="509" t="s">
        <v>559</v>
      </c>
      <c r="B197" s="512" t="s">
        <v>560</v>
      </c>
      <c r="C197" s="503" t="s">
        <v>642</v>
      </c>
      <c r="D197" s="330"/>
    </row>
    <row r="198" spans="1:4" ht="12.6">
      <c r="A198" s="509">
        <v>1.4</v>
      </c>
      <c r="B198" s="511" t="s">
        <v>649</v>
      </c>
      <c r="C198" s="510" t="s">
        <v>643</v>
      </c>
      <c r="D198" s="331"/>
    </row>
    <row r="199" spans="1:4" ht="12.6">
      <c r="A199" s="509">
        <v>1.5</v>
      </c>
      <c r="B199" s="511" t="s">
        <v>650</v>
      </c>
      <c r="C199" s="510" t="s">
        <v>643</v>
      </c>
      <c r="D199" s="332"/>
    </row>
    <row r="200" spans="1:4" ht="12.6">
      <c r="A200" s="509"/>
      <c r="B200" s="905" t="s">
        <v>644</v>
      </c>
      <c r="C200" s="905"/>
      <c r="D200" s="332"/>
    </row>
    <row r="201" spans="1:4" ht="12.6">
      <c r="A201" s="509"/>
      <c r="B201" s="903" t="s">
        <v>886</v>
      </c>
      <c r="C201" s="903"/>
      <c r="D201" s="332"/>
    </row>
    <row r="202" spans="1:4" ht="12.6">
      <c r="A202" s="508"/>
      <c r="B202" s="503" t="s">
        <v>885</v>
      </c>
      <c r="C202" s="585" t="s">
        <v>962</v>
      </c>
      <c r="D202" s="332"/>
    </row>
    <row r="203" spans="1:4" ht="12.6">
      <c r="A203" s="509"/>
      <c r="B203" s="905" t="s">
        <v>645</v>
      </c>
      <c r="C203" s="905"/>
      <c r="D203" s="333"/>
    </row>
    <row r="204" spans="1:4" ht="12.6">
      <c r="A204" s="508"/>
      <c r="B204" s="903" t="s">
        <v>884</v>
      </c>
      <c r="C204" s="903"/>
      <c r="D204" s="334"/>
    </row>
    <row r="205" spans="1:4" ht="12.6">
      <c r="B205" s="905" t="s">
        <v>682</v>
      </c>
      <c r="C205" s="905"/>
      <c r="D205" s="335"/>
    </row>
    <row r="206" spans="1:4" ht="24">
      <c r="A206" s="505">
        <v>1</v>
      </c>
      <c r="B206" s="503" t="s">
        <v>658</v>
      </c>
      <c r="C206" s="503" t="s">
        <v>670</v>
      </c>
      <c r="D206" s="334"/>
    </row>
    <row r="207" spans="1:4" ht="18" customHeight="1">
      <c r="A207" s="505">
        <v>2</v>
      </c>
      <c r="B207" s="503" t="s">
        <v>659</v>
      </c>
      <c r="C207" s="503" t="s">
        <v>671</v>
      </c>
      <c r="D207" s="335"/>
    </row>
    <row r="208" spans="1:4" ht="24">
      <c r="A208" s="505">
        <v>3</v>
      </c>
      <c r="B208" s="503" t="s">
        <v>660</v>
      </c>
      <c r="C208" s="503" t="s">
        <v>672</v>
      </c>
      <c r="D208" s="336"/>
    </row>
    <row r="209" spans="1:4" ht="12.6">
      <c r="A209" s="505">
        <v>4</v>
      </c>
      <c r="B209" s="503" t="s">
        <v>661</v>
      </c>
      <c r="C209" s="503" t="s">
        <v>673</v>
      </c>
      <c r="D209" s="336"/>
    </row>
    <row r="210" spans="1:4" ht="24">
      <c r="A210" s="505">
        <v>5</v>
      </c>
      <c r="B210" s="503" t="s">
        <v>662</v>
      </c>
      <c r="C210" s="503" t="s">
        <v>674</v>
      </c>
    </row>
    <row r="211" spans="1:4" ht="24.45" customHeight="1">
      <c r="A211" s="505">
        <v>6</v>
      </c>
      <c r="B211" s="503" t="s">
        <v>663</v>
      </c>
      <c r="C211" s="503" t="s">
        <v>675</v>
      </c>
    </row>
    <row r="212" spans="1:4" ht="24">
      <c r="A212" s="505">
        <v>7</v>
      </c>
      <c r="B212" s="503" t="s">
        <v>664</v>
      </c>
      <c r="C212" s="503" t="s">
        <v>676</v>
      </c>
    </row>
    <row r="213" spans="1:4">
      <c r="A213" s="505">
        <v>7.1</v>
      </c>
      <c r="B213" s="507" t="s">
        <v>665</v>
      </c>
      <c r="C213" s="503" t="s">
        <v>677</v>
      </c>
    </row>
    <row r="214" spans="1:4">
      <c r="A214" s="505">
        <v>7.2</v>
      </c>
      <c r="B214" s="507" t="s">
        <v>666</v>
      </c>
      <c r="C214" s="503" t="s">
        <v>678</v>
      </c>
    </row>
    <row r="215" spans="1:4">
      <c r="A215" s="505">
        <v>7.3</v>
      </c>
      <c r="B215" s="506" t="s">
        <v>667</v>
      </c>
      <c r="C215" s="503" t="s">
        <v>679</v>
      </c>
    </row>
    <row r="216" spans="1:4" ht="39.450000000000003" customHeight="1">
      <c r="A216" s="505">
        <v>8</v>
      </c>
      <c r="B216" s="503" t="s">
        <v>668</v>
      </c>
      <c r="C216" s="503" t="s">
        <v>680</v>
      </c>
    </row>
    <row r="217" spans="1:4">
      <c r="A217" s="505">
        <v>9</v>
      </c>
      <c r="B217" s="503" t="s">
        <v>669</v>
      </c>
      <c r="C217" s="503" t="s">
        <v>681</v>
      </c>
    </row>
    <row r="218" spans="1:4">
      <c r="A218" s="542">
        <v>10.1</v>
      </c>
      <c r="B218" s="543" t="s">
        <v>689</v>
      </c>
      <c r="C218" s="535" t="s">
        <v>690</v>
      </c>
    </row>
    <row r="219" spans="1:4">
      <c r="A219" s="906"/>
      <c r="B219" s="544" t="s">
        <v>876</v>
      </c>
      <c r="C219" s="503" t="s">
        <v>883</v>
      </c>
    </row>
    <row r="220" spans="1:4">
      <c r="A220" s="906"/>
      <c r="B220" s="504" t="s">
        <v>541</v>
      </c>
      <c r="C220" s="503" t="s">
        <v>882</v>
      </c>
    </row>
    <row r="221" spans="1:4">
      <c r="A221" s="906"/>
      <c r="B221" s="504" t="s">
        <v>875</v>
      </c>
      <c r="C221" s="586" t="s">
        <v>965</v>
      </c>
    </row>
    <row r="222" spans="1:4">
      <c r="A222" s="906"/>
      <c r="B222" s="504" t="s">
        <v>683</v>
      </c>
      <c r="C222" s="503" t="s">
        <v>881</v>
      </c>
    </row>
    <row r="223" spans="1:4" ht="24">
      <c r="A223" s="906"/>
      <c r="B223" s="504" t="s">
        <v>687</v>
      </c>
      <c r="C223" s="504" t="s">
        <v>880</v>
      </c>
    </row>
    <row r="224" spans="1:4" ht="36">
      <c r="A224" s="906"/>
      <c r="B224" s="504" t="s">
        <v>686</v>
      </c>
      <c r="C224" s="503" t="s">
        <v>879</v>
      </c>
    </row>
    <row r="225" spans="1:3">
      <c r="A225" s="906"/>
      <c r="B225" s="504" t="s">
        <v>914</v>
      </c>
      <c r="C225" s="503" t="s">
        <v>878</v>
      </c>
    </row>
    <row r="226" spans="1:3" ht="24">
      <c r="A226" s="906"/>
      <c r="B226" s="504" t="s">
        <v>915</v>
      </c>
      <c r="C226" s="503" t="s">
        <v>877</v>
      </c>
    </row>
    <row r="227" spans="1:3" ht="12.6">
      <c r="A227" s="536"/>
      <c r="B227" s="537"/>
      <c r="C227" s="538"/>
    </row>
    <row r="228" spans="1:3" ht="12.6">
      <c r="A228" s="536"/>
      <c r="B228" s="538"/>
      <c r="C228" s="538"/>
    </row>
    <row r="229" spans="1:3" ht="12.6">
      <c r="A229" s="536"/>
      <c r="B229" s="538"/>
      <c r="C229" s="538"/>
    </row>
    <row r="230" spans="1:3" ht="12.6">
      <c r="A230" s="536"/>
      <c r="B230" s="539"/>
      <c r="C230" s="538"/>
    </row>
    <row r="231" spans="1:3">
      <c r="A231" s="902"/>
      <c r="B231" s="540"/>
      <c r="C231" s="538"/>
    </row>
    <row r="232" spans="1:3">
      <c r="A232" s="902"/>
      <c r="B232" s="540"/>
      <c r="C232" s="538"/>
    </row>
    <row r="233" spans="1:3">
      <c r="A233" s="902"/>
      <c r="B233" s="540"/>
      <c r="C233" s="538"/>
    </row>
    <row r="234" spans="1:3">
      <c r="A234" s="902"/>
      <c r="B234" s="540"/>
      <c r="C234" s="541"/>
    </row>
    <row r="235" spans="1:3" ht="40.5" customHeight="1">
      <c r="A235" s="902"/>
      <c r="B235" s="540"/>
      <c r="C235" s="538"/>
    </row>
    <row r="236" spans="1:3" ht="24" customHeight="1">
      <c r="A236" s="902"/>
      <c r="B236" s="540"/>
      <c r="C236" s="538"/>
    </row>
    <row r="237" spans="1:3">
      <c r="A237" s="902"/>
      <c r="B237" s="540"/>
      <c r="C237" s="538"/>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H45"/>
  <sheetViews>
    <sheetView zoomScale="80" zoomScaleNormal="80" workbookViewId="0">
      <selection activeCell="F6" sqref="F6:G45"/>
    </sheetView>
  </sheetViews>
  <sheetFormatPr defaultRowHeight="14.4"/>
  <cols>
    <col min="2" max="2" width="66.6640625" customWidth="1"/>
    <col min="3" max="8" width="17.77734375" customWidth="1"/>
  </cols>
  <sheetData>
    <row r="1" spans="1:8">
      <c r="A1" s="13" t="s">
        <v>97</v>
      </c>
      <c r="B1" s="248" t="str">
        <f>Info!C2</f>
        <v>სს "კრედო ბანკი"</v>
      </c>
      <c r="C1" s="12"/>
      <c r="D1" s="1"/>
      <c r="E1" s="1"/>
      <c r="F1" s="1"/>
      <c r="G1" s="1"/>
    </row>
    <row r="2" spans="1:8">
      <c r="A2" s="13" t="s">
        <v>98</v>
      </c>
      <c r="B2" s="276">
        <f>'1. key ratios'!B2</f>
        <v>46022</v>
      </c>
      <c r="C2" s="12"/>
      <c r="D2" s="1"/>
      <c r="E2" s="1"/>
      <c r="F2" s="1"/>
      <c r="G2" s="1"/>
    </row>
    <row r="3" spans="1:8">
      <c r="A3" s="13"/>
      <c r="B3" s="12"/>
      <c r="C3" s="12"/>
      <c r="D3" s="1"/>
      <c r="E3" s="1"/>
      <c r="F3" s="1"/>
      <c r="G3" s="1"/>
    </row>
    <row r="4" spans="1:8">
      <c r="A4" s="788" t="s">
        <v>25</v>
      </c>
      <c r="B4" s="786" t="s">
        <v>155</v>
      </c>
      <c r="C4" s="784" t="s">
        <v>103</v>
      </c>
      <c r="D4" s="784"/>
      <c r="E4" s="784"/>
      <c r="F4" s="784" t="s">
        <v>104</v>
      </c>
      <c r="G4" s="784"/>
      <c r="H4" s="785"/>
    </row>
    <row r="5" spans="1:8" ht="15.45" customHeight="1">
      <c r="A5" s="789"/>
      <c r="B5" s="787"/>
      <c r="C5" s="368" t="s">
        <v>26</v>
      </c>
      <c r="D5" s="368" t="s">
        <v>77</v>
      </c>
      <c r="E5" s="368" t="s">
        <v>66</v>
      </c>
      <c r="F5" s="368" t="s">
        <v>26</v>
      </c>
      <c r="G5" s="368" t="s">
        <v>77</v>
      </c>
      <c r="H5" s="368" t="s">
        <v>66</v>
      </c>
    </row>
    <row r="6" spans="1:8">
      <c r="A6" s="396">
        <v>1</v>
      </c>
      <c r="B6" s="369" t="s">
        <v>744</v>
      </c>
      <c r="C6" s="666">
        <f>SUM(C7:C12)</f>
        <v>612526417.67014897</v>
      </c>
      <c r="D6" s="666">
        <f>SUM(D7:D12)</f>
        <v>30393618.029999964</v>
      </c>
      <c r="E6" s="662">
        <f>C6+D6</f>
        <v>642920035.70014894</v>
      </c>
      <c r="F6" s="665">
        <f>SUM(F7:F12)</f>
        <v>496887399.42000771</v>
      </c>
      <c r="G6" s="665">
        <f>SUM(G7:G12)</f>
        <v>23677022.75999999</v>
      </c>
      <c r="H6" s="662">
        <f>F6+G6</f>
        <v>520564422.1800077</v>
      </c>
    </row>
    <row r="7" spans="1:8">
      <c r="A7" s="396">
        <v>1.1000000000000001</v>
      </c>
      <c r="B7" s="370" t="s">
        <v>698</v>
      </c>
      <c r="C7" s="664"/>
      <c r="D7" s="664"/>
      <c r="E7" s="662">
        <f t="shared" ref="E7:E45" si="0">C7+D7</f>
        <v>0</v>
      </c>
      <c r="F7" s="657"/>
      <c r="G7" s="657"/>
      <c r="H7" s="662">
        <f t="shared" ref="H7:H44" si="1">F7+G7</f>
        <v>0</v>
      </c>
    </row>
    <row r="8" spans="1:8" ht="20.399999999999999">
      <c r="A8" s="396">
        <v>1.2</v>
      </c>
      <c r="B8" s="370" t="s">
        <v>745</v>
      </c>
      <c r="C8" s="664"/>
      <c r="D8" s="664"/>
      <c r="E8" s="662">
        <f t="shared" si="0"/>
        <v>0</v>
      </c>
      <c r="F8" s="657"/>
      <c r="G8" s="657"/>
      <c r="H8" s="662">
        <f t="shared" si="1"/>
        <v>0</v>
      </c>
    </row>
    <row r="9" spans="1:8" ht="21.45" customHeight="1">
      <c r="A9" s="396">
        <v>1.3</v>
      </c>
      <c r="B9" s="360" t="s">
        <v>746</v>
      </c>
      <c r="C9" s="664"/>
      <c r="D9" s="664"/>
      <c r="E9" s="662">
        <f t="shared" si="0"/>
        <v>0</v>
      </c>
      <c r="F9" s="657"/>
      <c r="G9" s="657"/>
      <c r="H9" s="662">
        <f t="shared" si="1"/>
        <v>0</v>
      </c>
    </row>
    <row r="10" spans="1:8" ht="20.399999999999999">
      <c r="A10" s="396">
        <v>1.4</v>
      </c>
      <c r="B10" s="360" t="s">
        <v>702</v>
      </c>
      <c r="C10" s="664"/>
      <c r="D10" s="664"/>
      <c r="E10" s="662">
        <f t="shared" si="0"/>
        <v>0</v>
      </c>
      <c r="F10" s="657"/>
      <c r="G10" s="657"/>
      <c r="H10" s="662">
        <f t="shared" si="1"/>
        <v>0</v>
      </c>
    </row>
    <row r="11" spans="1:8">
      <c r="A11" s="396">
        <v>1.5</v>
      </c>
      <c r="B11" s="360" t="s">
        <v>705</v>
      </c>
      <c r="C11" s="664">
        <v>612526417.67014897</v>
      </c>
      <c r="D11" s="664">
        <v>30393618.029999964</v>
      </c>
      <c r="E11" s="662">
        <f t="shared" si="0"/>
        <v>642920035.70014894</v>
      </c>
      <c r="F11" s="657">
        <v>496887399.42000771</v>
      </c>
      <c r="G11" s="657">
        <v>23677022.75999999</v>
      </c>
      <c r="H11" s="662">
        <f t="shared" si="1"/>
        <v>520564422.1800077</v>
      </c>
    </row>
    <row r="12" spans="1:8">
      <c r="A12" s="396">
        <v>1.6</v>
      </c>
      <c r="B12" s="361" t="s">
        <v>88</v>
      </c>
      <c r="C12" s="664"/>
      <c r="D12" s="664"/>
      <c r="E12" s="662">
        <f t="shared" si="0"/>
        <v>0</v>
      </c>
      <c r="F12" s="356"/>
      <c r="G12" s="356"/>
      <c r="H12" s="662">
        <f t="shared" si="1"/>
        <v>0</v>
      </c>
    </row>
    <row r="13" spans="1:8">
      <c r="A13" s="396">
        <v>2</v>
      </c>
      <c r="B13" s="371" t="s">
        <v>747</v>
      </c>
      <c r="C13" s="666">
        <f>SUM(C14:C17)</f>
        <v>-232450620.05000001</v>
      </c>
      <c r="D13" s="666">
        <f>SUM(D14:D17)</f>
        <v>-32560408.860000014</v>
      </c>
      <c r="E13" s="662">
        <f t="shared" si="0"/>
        <v>-265011028.91000003</v>
      </c>
      <c r="F13" s="665">
        <f>SUM(F14:F17)</f>
        <v>-197480686.78999996</v>
      </c>
      <c r="G13" s="665">
        <f>SUM(G14:G17)</f>
        <v>-20634037.330000013</v>
      </c>
      <c r="H13" s="662">
        <f t="shared" si="1"/>
        <v>-218114724.11999997</v>
      </c>
    </row>
    <row r="14" spans="1:8">
      <c r="A14" s="396">
        <v>2.1</v>
      </c>
      <c r="B14" s="360" t="s">
        <v>748</v>
      </c>
      <c r="C14" s="664"/>
      <c r="D14" s="664"/>
      <c r="E14" s="662">
        <f t="shared" si="0"/>
        <v>0</v>
      </c>
      <c r="F14" s="657"/>
      <c r="G14" s="657"/>
      <c r="H14" s="662">
        <f t="shared" si="1"/>
        <v>0</v>
      </c>
    </row>
    <row r="15" spans="1:8" ht="24.45" customHeight="1">
      <c r="A15" s="396">
        <v>2.2000000000000002</v>
      </c>
      <c r="B15" s="360" t="s">
        <v>749</v>
      </c>
      <c r="C15" s="664"/>
      <c r="D15" s="664"/>
      <c r="E15" s="662">
        <f t="shared" si="0"/>
        <v>0</v>
      </c>
      <c r="F15" s="657"/>
      <c r="G15" s="657"/>
      <c r="H15" s="662">
        <f t="shared" si="1"/>
        <v>0</v>
      </c>
    </row>
    <row r="16" spans="1:8" ht="20.55" customHeight="1">
      <c r="A16" s="396">
        <v>2.2999999999999998</v>
      </c>
      <c r="B16" s="360" t="s">
        <v>750</v>
      </c>
      <c r="C16" s="664">
        <v>-232450620.05000001</v>
      </c>
      <c r="D16" s="664">
        <v>-32560408.860000014</v>
      </c>
      <c r="E16" s="662">
        <f t="shared" si="0"/>
        <v>-265011028.91000003</v>
      </c>
      <c r="F16" s="657">
        <v>-197480686.78999996</v>
      </c>
      <c r="G16" s="657">
        <v>-20634037.330000013</v>
      </c>
      <c r="H16" s="662">
        <f t="shared" si="1"/>
        <v>-218114724.11999997</v>
      </c>
    </row>
    <row r="17" spans="1:8">
      <c r="A17" s="396">
        <v>2.4</v>
      </c>
      <c r="B17" s="360" t="s">
        <v>751</v>
      </c>
      <c r="C17" s="664"/>
      <c r="D17" s="664"/>
      <c r="E17" s="662">
        <f t="shared" si="0"/>
        <v>0</v>
      </c>
      <c r="F17" s="356"/>
      <c r="G17" s="356"/>
      <c r="H17" s="662">
        <f t="shared" si="1"/>
        <v>0</v>
      </c>
    </row>
    <row r="18" spans="1:8">
      <c r="A18" s="396">
        <v>3</v>
      </c>
      <c r="B18" s="371" t="s">
        <v>752</v>
      </c>
      <c r="C18" s="664"/>
      <c r="D18" s="664"/>
      <c r="E18" s="662">
        <f t="shared" si="0"/>
        <v>0</v>
      </c>
      <c r="F18" s="356"/>
      <c r="G18" s="356"/>
      <c r="H18" s="662">
        <f t="shared" si="1"/>
        <v>0</v>
      </c>
    </row>
    <row r="19" spans="1:8">
      <c r="A19" s="396">
        <v>4</v>
      </c>
      <c r="B19" s="371" t="s">
        <v>753</v>
      </c>
      <c r="C19" s="664">
        <v>67297863.010000005</v>
      </c>
      <c r="D19" s="664">
        <v>12568101.42</v>
      </c>
      <c r="E19" s="662">
        <f t="shared" si="0"/>
        <v>79865964.430000007</v>
      </c>
      <c r="F19" s="657">
        <v>54112230.849999979</v>
      </c>
      <c r="G19" s="657">
        <v>9495898.4999999907</v>
      </c>
      <c r="H19" s="662">
        <f t="shared" si="1"/>
        <v>63608129.349999972</v>
      </c>
    </row>
    <row r="20" spans="1:8">
      <c r="A20" s="396">
        <v>5</v>
      </c>
      <c r="B20" s="371" t="s">
        <v>754</v>
      </c>
      <c r="C20" s="664">
        <v>-22684824.719999991</v>
      </c>
      <c r="D20" s="664">
        <v>-14100311.43</v>
      </c>
      <c r="E20" s="662">
        <f t="shared" si="0"/>
        <v>-36785136.149999991</v>
      </c>
      <c r="F20" s="657">
        <v>-17855396.720000003</v>
      </c>
      <c r="G20" s="657">
        <v>-9324930.2400000002</v>
      </c>
      <c r="H20" s="662">
        <f t="shared" si="1"/>
        <v>-27180326.960000001</v>
      </c>
    </row>
    <row r="21" spans="1:8" ht="38.549999999999997" customHeight="1">
      <c r="A21" s="396">
        <v>6</v>
      </c>
      <c r="B21" s="371" t="s">
        <v>755</v>
      </c>
      <c r="C21" s="664"/>
      <c r="D21" s="664"/>
      <c r="E21" s="662">
        <f t="shared" si="0"/>
        <v>0</v>
      </c>
      <c r="F21" s="657"/>
      <c r="G21" s="657"/>
      <c r="H21" s="662">
        <f t="shared" si="1"/>
        <v>0</v>
      </c>
    </row>
    <row r="22" spans="1:8" ht="27.45" customHeight="1">
      <c r="A22" s="396">
        <v>7</v>
      </c>
      <c r="B22" s="371" t="s">
        <v>756</v>
      </c>
      <c r="C22" s="664">
        <v>-20326559</v>
      </c>
      <c r="D22" s="664"/>
      <c r="E22" s="662">
        <f t="shared" si="0"/>
        <v>-20326559</v>
      </c>
      <c r="F22" s="657">
        <v>-11109340.919999793</v>
      </c>
      <c r="G22" s="657"/>
      <c r="H22" s="662">
        <f t="shared" si="1"/>
        <v>-11109340.919999793</v>
      </c>
    </row>
    <row r="23" spans="1:8" ht="37.049999999999997" customHeight="1">
      <c r="A23" s="396">
        <v>8</v>
      </c>
      <c r="B23" s="372" t="s">
        <v>757</v>
      </c>
      <c r="C23" s="664"/>
      <c r="D23" s="664"/>
      <c r="E23" s="662">
        <f t="shared" si="0"/>
        <v>0</v>
      </c>
      <c r="F23" s="657"/>
      <c r="G23" s="657"/>
      <c r="H23" s="662">
        <f t="shared" si="1"/>
        <v>0</v>
      </c>
    </row>
    <row r="24" spans="1:8" ht="34.5" customHeight="1">
      <c r="A24" s="396">
        <v>9</v>
      </c>
      <c r="B24" s="372" t="s">
        <v>758</v>
      </c>
      <c r="C24" s="664"/>
      <c r="D24" s="664"/>
      <c r="E24" s="662">
        <f t="shared" si="0"/>
        <v>0</v>
      </c>
      <c r="F24" s="657"/>
      <c r="G24" s="657">
        <v>0</v>
      </c>
      <c r="H24" s="662">
        <f t="shared" si="1"/>
        <v>0</v>
      </c>
    </row>
    <row r="25" spans="1:8">
      <c r="A25" s="396">
        <v>10</v>
      </c>
      <c r="B25" s="371" t="s">
        <v>759</v>
      </c>
      <c r="C25" s="664">
        <v>11199933.039999997</v>
      </c>
      <c r="D25" s="664"/>
      <c r="E25" s="662">
        <f t="shared" si="0"/>
        <v>11199933.039999997</v>
      </c>
      <c r="F25" s="657">
        <v>7632812.3599999985</v>
      </c>
      <c r="G25" s="657">
        <v>0</v>
      </c>
      <c r="H25" s="662">
        <f t="shared" si="1"/>
        <v>7632812.3599999985</v>
      </c>
    </row>
    <row r="26" spans="1:8" ht="27" customHeight="1">
      <c r="A26" s="396">
        <v>11</v>
      </c>
      <c r="B26" s="373" t="s">
        <v>760</v>
      </c>
      <c r="C26" s="664">
        <v>653691.26000000024</v>
      </c>
      <c r="D26" s="664"/>
      <c r="E26" s="662">
        <f t="shared" si="0"/>
        <v>653691.26000000024</v>
      </c>
      <c r="F26" s="657">
        <v>366221.99000000011</v>
      </c>
      <c r="G26" s="657"/>
      <c r="H26" s="662">
        <f t="shared" si="1"/>
        <v>366221.99000000011</v>
      </c>
    </row>
    <row r="27" spans="1:8">
      <c r="A27" s="396">
        <v>12</v>
      </c>
      <c r="B27" s="371" t="s">
        <v>761</v>
      </c>
      <c r="C27" s="664">
        <v>1587080.6900000002</v>
      </c>
      <c r="D27" s="664">
        <v>15374.829999999842</v>
      </c>
      <c r="E27" s="662">
        <f t="shared" si="0"/>
        <v>1602455.52</v>
      </c>
      <c r="F27" s="657">
        <v>1465540.2199999997</v>
      </c>
      <c r="G27" s="657">
        <v>776.34</v>
      </c>
      <c r="H27" s="662">
        <f t="shared" si="1"/>
        <v>1466316.5599999998</v>
      </c>
    </row>
    <row r="28" spans="1:8">
      <c r="A28" s="396">
        <v>13</v>
      </c>
      <c r="B28" s="374" t="s">
        <v>762</v>
      </c>
      <c r="C28" s="664">
        <v>-28975587</v>
      </c>
      <c r="D28" s="664">
        <v>-1156211</v>
      </c>
      <c r="E28" s="662">
        <f t="shared" si="0"/>
        <v>-30131798</v>
      </c>
      <c r="F28" s="657">
        <v>-24736429.290000007</v>
      </c>
      <c r="G28" s="657">
        <v>-751739</v>
      </c>
      <c r="H28" s="662">
        <f t="shared" si="1"/>
        <v>-25488168.290000007</v>
      </c>
    </row>
    <row r="29" spans="1:8">
      <c r="A29" s="396">
        <v>14</v>
      </c>
      <c r="B29" s="375" t="s">
        <v>763</v>
      </c>
      <c r="C29" s="666">
        <f>SUM(C30:C31)</f>
        <v>-164948675.08000004</v>
      </c>
      <c r="D29" s="666">
        <f>SUM(D30:D31)</f>
        <v>-1786532.0199999998</v>
      </c>
      <c r="E29" s="662">
        <f t="shared" si="0"/>
        <v>-166735207.10000005</v>
      </c>
      <c r="F29" s="665">
        <f>SUM(F30:F31)</f>
        <v>-140660207.02000001</v>
      </c>
      <c r="G29" s="665">
        <f>SUM(G30:G31)</f>
        <v>-1626344.1799999997</v>
      </c>
      <c r="H29" s="662">
        <f t="shared" si="1"/>
        <v>-142286551.20000002</v>
      </c>
    </row>
    <row r="30" spans="1:8">
      <c r="A30" s="396">
        <v>14.1</v>
      </c>
      <c r="B30" s="351" t="s">
        <v>764</v>
      </c>
      <c r="C30" s="664">
        <v>-154964264.40000004</v>
      </c>
      <c r="D30" s="664">
        <v>-223800.57</v>
      </c>
      <c r="E30" s="662">
        <f t="shared" si="0"/>
        <v>-155188064.97000003</v>
      </c>
      <c r="F30" s="657">
        <v>-132589017.18000001</v>
      </c>
      <c r="G30" s="657">
        <v>-98378.04</v>
      </c>
      <c r="H30" s="662">
        <f t="shared" si="1"/>
        <v>-132687395.22000001</v>
      </c>
    </row>
    <row r="31" spans="1:8">
      <c r="A31" s="396">
        <v>14.2</v>
      </c>
      <c r="B31" s="351" t="s">
        <v>765</v>
      </c>
      <c r="C31" s="664">
        <v>-9984410.6799999997</v>
      </c>
      <c r="D31" s="664">
        <v>-1562731.4499999997</v>
      </c>
      <c r="E31" s="662">
        <f t="shared" si="0"/>
        <v>-11547142.129999999</v>
      </c>
      <c r="F31" s="657">
        <v>-8071189.8400000008</v>
      </c>
      <c r="G31" s="657">
        <v>-1527966.1399999997</v>
      </c>
      <c r="H31" s="662">
        <f t="shared" si="1"/>
        <v>-9599155.9800000004</v>
      </c>
    </row>
    <row r="32" spans="1:8">
      <c r="A32" s="396">
        <v>15</v>
      </c>
      <c r="B32" s="376" t="s">
        <v>766</v>
      </c>
      <c r="C32" s="664">
        <v>-24229783.980000004</v>
      </c>
      <c r="D32" s="664"/>
      <c r="E32" s="662">
        <f t="shared" si="0"/>
        <v>-24229783.980000004</v>
      </c>
      <c r="F32" s="657">
        <v>-20981133.740000006</v>
      </c>
      <c r="G32" s="657"/>
      <c r="H32" s="662">
        <f t="shared" si="1"/>
        <v>-20981133.740000006</v>
      </c>
    </row>
    <row r="33" spans="1:8" ht="22.5" customHeight="1">
      <c r="A33" s="396">
        <v>16</v>
      </c>
      <c r="B33" s="347" t="s">
        <v>767</v>
      </c>
      <c r="C33" s="664"/>
      <c r="D33" s="664"/>
      <c r="E33" s="662">
        <f t="shared" si="0"/>
        <v>0</v>
      </c>
      <c r="F33" s="356"/>
      <c r="G33" s="356"/>
      <c r="H33" s="662">
        <f t="shared" si="1"/>
        <v>0</v>
      </c>
    </row>
    <row r="34" spans="1:8">
      <c r="A34" s="396">
        <v>17</v>
      </c>
      <c r="B34" s="371" t="s">
        <v>768</v>
      </c>
      <c r="C34" s="664">
        <f>SUM(C35:C36)</f>
        <v>-1308377.0999999999</v>
      </c>
      <c r="D34" s="664">
        <f>SUM(D35:D36)</f>
        <v>0</v>
      </c>
      <c r="E34" s="662">
        <f t="shared" si="0"/>
        <v>-1308377.0999999999</v>
      </c>
      <c r="F34" s="664">
        <f>SUM(F35:F36)</f>
        <v>-777588.78</v>
      </c>
      <c r="G34" s="356">
        <f>SUM(G35:G36)</f>
        <v>0</v>
      </c>
      <c r="H34" s="662">
        <f t="shared" si="1"/>
        <v>-777588.78</v>
      </c>
    </row>
    <row r="35" spans="1:8">
      <c r="A35" s="396">
        <v>17.100000000000001</v>
      </c>
      <c r="B35" s="377" t="s">
        <v>769</v>
      </c>
      <c r="C35" s="664">
        <v>-1308377.0999999999</v>
      </c>
      <c r="D35" s="664"/>
      <c r="E35" s="662">
        <f t="shared" si="0"/>
        <v>-1308377.0999999999</v>
      </c>
      <c r="F35" s="664">
        <v>-777588.78</v>
      </c>
      <c r="G35" s="356"/>
      <c r="H35" s="662">
        <f>F35+G35</f>
        <v>-777588.78</v>
      </c>
    </row>
    <row r="36" spans="1:8">
      <c r="A36" s="396">
        <v>17.2</v>
      </c>
      <c r="B36" s="351" t="s">
        <v>770</v>
      </c>
      <c r="C36" s="664"/>
      <c r="D36" s="664"/>
      <c r="E36" s="662">
        <f t="shared" si="0"/>
        <v>0</v>
      </c>
      <c r="F36" s="664"/>
      <c r="G36" s="356"/>
      <c r="H36" s="662">
        <f>F36+G36</f>
        <v>0</v>
      </c>
    </row>
    <row r="37" spans="1:8" ht="41.55" customHeight="1">
      <c r="A37" s="396">
        <v>18</v>
      </c>
      <c r="B37" s="378" t="s">
        <v>771</v>
      </c>
      <c r="C37" s="666">
        <f>SUM(C38:C39)</f>
        <v>-75155157.97052148</v>
      </c>
      <c r="D37" s="666">
        <f>SUM(D38:D39)</f>
        <v>-1274531.9249460134</v>
      </c>
      <c r="E37" s="662">
        <f t="shared" si="0"/>
        <v>-76429689.89546749</v>
      </c>
      <c r="F37" s="665">
        <f>SUM(F38:F39)</f>
        <v>-59722519.660000101</v>
      </c>
      <c r="G37" s="665">
        <f>SUM(G38:G39)</f>
        <v>-607197.21</v>
      </c>
      <c r="H37" s="662">
        <f t="shared" si="1"/>
        <v>-60329716.870000102</v>
      </c>
    </row>
    <row r="38" spans="1:8" ht="20.399999999999999">
      <c r="A38" s="396">
        <v>18.100000000000001</v>
      </c>
      <c r="B38" s="360" t="s">
        <v>772</v>
      </c>
      <c r="C38" s="664"/>
      <c r="D38" s="664"/>
      <c r="E38" s="662">
        <f t="shared" si="0"/>
        <v>0</v>
      </c>
      <c r="F38" s="657"/>
      <c r="G38" s="657"/>
      <c r="H38" s="662">
        <f t="shared" si="1"/>
        <v>0</v>
      </c>
    </row>
    <row r="39" spans="1:8">
      <c r="A39" s="396">
        <v>18.2</v>
      </c>
      <c r="B39" s="360" t="s">
        <v>773</v>
      </c>
      <c r="C39" s="664">
        <v>-75155157.97052148</v>
      </c>
      <c r="D39" s="664">
        <v>-1274531.9249460134</v>
      </c>
      <c r="E39" s="662">
        <f t="shared" si="0"/>
        <v>-76429689.89546749</v>
      </c>
      <c r="F39" s="657">
        <f>-59624054.6600001-98465</f>
        <v>-59722519.660000101</v>
      </c>
      <c r="G39" s="657">
        <v>-607197.21</v>
      </c>
      <c r="H39" s="662">
        <f t="shared" si="1"/>
        <v>-60329716.870000102</v>
      </c>
    </row>
    <row r="40" spans="1:8" ht="24.45" customHeight="1">
      <c r="A40" s="396">
        <v>19</v>
      </c>
      <c r="B40" s="378" t="s">
        <v>774</v>
      </c>
      <c r="C40" s="664"/>
      <c r="D40" s="664"/>
      <c r="E40" s="662">
        <f t="shared" si="0"/>
        <v>0</v>
      </c>
      <c r="F40" s="657"/>
      <c r="G40" s="657"/>
      <c r="H40" s="662">
        <f t="shared" si="1"/>
        <v>0</v>
      </c>
    </row>
    <row r="41" spans="1:8" ht="25.05" customHeight="1">
      <c r="A41" s="396">
        <v>20</v>
      </c>
      <c r="B41" s="378" t="s">
        <v>775</v>
      </c>
      <c r="C41" s="664">
        <v>-979311.94</v>
      </c>
      <c r="D41" s="664"/>
      <c r="E41" s="662">
        <f t="shared" si="0"/>
        <v>-979311.94</v>
      </c>
      <c r="F41" s="657">
        <f>-3125869+98465</f>
        <v>-3027404</v>
      </c>
      <c r="G41" s="657">
        <v>-28353.24</v>
      </c>
      <c r="H41" s="662">
        <f t="shared" si="1"/>
        <v>-3055757.24</v>
      </c>
    </row>
    <row r="42" spans="1:8" ht="33" customHeight="1">
      <c r="A42" s="396">
        <v>21</v>
      </c>
      <c r="B42" s="379" t="s">
        <v>776</v>
      </c>
      <c r="C42" s="664"/>
      <c r="D42" s="664"/>
      <c r="E42" s="662">
        <f t="shared" si="0"/>
        <v>0</v>
      </c>
      <c r="F42" s="356"/>
      <c r="G42" s="356"/>
      <c r="H42" s="662">
        <f t="shared" si="1"/>
        <v>0</v>
      </c>
    </row>
    <row r="43" spans="1:8">
      <c r="A43" s="396">
        <v>22</v>
      </c>
      <c r="B43" s="380" t="s">
        <v>777</v>
      </c>
      <c r="C43" s="664">
        <f>SUM(C6,C13,C18,C19,C20,C21,C22,C23,C24,C25,C26,C27,C28,C29,C32,C33,C34,C37,C40,C41,C42)</f>
        <v>122206088.82962745</v>
      </c>
      <c r="D43" s="664">
        <f>SUM(D6,D13,D18,D19,D20,D21,D22,D23,D24,D25,D26,D27,D28,D29,D32,D33,D34,D37,D40,D41,D42)</f>
        <v>-7900900.9549460635</v>
      </c>
      <c r="E43" s="662">
        <f t="shared" si="0"/>
        <v>114305187.87468138</v>
      </c>
      <c r="F43" s="664">
        <f>SUM(F6,F13,F18,F19,F20,F21,F22,F23,F24,F25,F26,F27,F28,F29,F32,F33,F34,F37,F40,F41,F42)</f>
        <v>84113497.92000781</v>
      </c>
      <c r="G43" s="664">
        <f>SUM(G6,G13,G18,G19,G20,G21,G22,G23,G24,G25,G26,G27,G28,G29,G32,G33,G34,G37,G40,G41,G42)</f>
        <v>201096.39999996801</v>
      </c>
      <c r="H43" s="662">
        <f t="shared" si="1"/>
        <v>84314594.320007771</v>
      </c>
    </row>
    <row r="44" spans="1:8">
      <c r="A44" s="396">
        <v>23</v>
      </c>
      <c r="B44" s="380" t="s">
        <v>778</v>
      </c>
      <c r="C44" s="664">
        <v>21675396.510000002</v>
      </c>
      <c r="D44" s="664"/>
      <c r="E44" s="662">
        <f t="shared" si="0"/>
        <v>21675396.510000002</v>
      </c>
      <c r="F44" s="657">
        <v>-15709669.859999998</v>
      </c>
      <c r="G44" s="356"/>
      <c r="H44" s="662">
        <f t="shared" si="1"/>
        <v>-15709669.859999998</v>
      </c>
    </row>
    <row r="45" spans="1:8">
      <c r="A45" s="396">
        <v>24</v>
      </c>
      <c r="B45" s="380" t="s">
        <v>779</v>
      </c>
      <c r="C45" s="657">
        <f>C43-C44</f>
        <v>100530692.31962745</v>
      </c>
      <c r="D45" s="657">
        <f>D43-D44</f>
        <v>-7900900.9549460635</v>
      </c>
      <c r="E45" s="662">
        <f t="shared" si="0"/>
        <v>92629791.364681393</v>
      </c>
      <c r="F45" s="657">
        <f>F43+F44</f>
        <v>68403828.060007811</v>
      </c>
      <c r="G45" s="657">
        <f>G43+G44</f>
        <v>201096.39999996801</v>
      </c>
      <c r="H45" s="662">
        <f>F45+G45</f>
        <v>68604924.460007772</v>
      </c>
    </row>
  </sheetData>
  <mergeCells count="4">
    <mergeCell ref="B4:B5"/>
    <mergeCell ref="C4:E4"/>
    <mergeCell ref="F4:H4"/>
    <mergeCell ref="A4:A5"/>
  </mergeCells>
  <pageMargins left="0.7" right="0.7" top="0.75" bottom="0.75" header="0.3" footer="0.3"/>
  <ignoredErrors>
    <ignoredError sqref="C29:D2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H47"/>
  <sheetViews>
    <sheetView zoomScale="80" zoomScaleNormal="80" workbookViewId="0">
      <selection activeCell="F6" sqref="F6:G43"/>
    </sheetView>
  </sheetViews>
  <sheetFormatPr defaultRowHeight="14.4"/>
  <cols>
    <col min="1" max="1" width="8.77734375" style="393"/>
    <col min="2" max="2" width="87.6640625" bestFit="1" customWidth="1"/>
    <col min="3" max="3" width="14.44140625" bestFit="1" customWidth="1"/>
    <col min="4" max="5" width="12.77734375" customWidth="1"/>
    <col min="6" max="6" width="14.44140625" bestFit="1" customWidth="1"/>
    <col min="7" max="8" width="12.77734375" customWidth="1"/>
  </cols>
  <sheetData>
    <row r="1" spans="1:8">
      <c r="A1" s="13" t="s">
        <v>97</v>
      </c>
      <c r="B1" s="248" t="str">
        <f>Info!C2</f>
        <v>სს "კრედო ბანკი"</v>
      </c>
      <c r="C1" s="12"/>
      <c r="D1" s="1"/>
      <c r="E1" s="1"/>
      <c r="F1" s="1"/>
      <c r="G1" s="1"/>
    </row>
    <row r="2" spans="1:8">
      <c r="A2" s="13" t="s">
        <v>98</v>
      </c>
      <c r="B2" s="276">
        <f>'1. key ratios'!B2</f>
        <v>46022</v>
      </c>
      <c r="C2" s="12"/>
      <c r="D2" s="1"/>
      <c r="E2" s="1"/>
      <c r="F2" s="1"/>
      <c r="G2" s="1"/>
    </row>
    <row r="3" spans="1:8">
      <c r="A3" s="13"/>
      <c r="B3" s="12"/>
      <c r="C3" s="12"/>
      <c r="D3" s="1"/>
      <c r="E3" s="1"/>
      <c r="F3" s="1"/>
      <c r="G3" s="1"/>
    </row>
    <row r="4" spans="1:8">
      <c r="A4" s="781" t="s">
        <v>25</v>
      </c>
      <c r="B4" s="790" t="s">
        <v>140</v>
      </c>
      <c r="C4" s="791" t="s">
        <v>103</v>
      </c>
      <c r="D4" s="791"/>
      <c r="E4" s="791"/>
      <c r="F4" s="791" t="s">
        <v>104</v>
      </c>
      <c r="G4" s="791"/>
      <c r="H4" s="792"/>
    </row>
    <row r="5" spans="1:8">
      <c r="A5" s="781"/>
      <c r="B5" s="790"/>
      <c r="C5" s="368" t="s">
        <v>26</v>
      </c>
      <c r="D5" s="368" t="s">
        <v>77</v>
      </c>
      <c r="E5" s="368" t="s">
        <v>66</v>
      </c>
      <c r="F5" s="368" t="s">
        <v>26</v>
      </c>
      <c r="G5" s="368" t="s">
        <v>77</v>
      </c>
      <c r="H5" s="381" t="s">
        <v>66</v>
      </c>
    </row>
    <row r="6" spans="1:8">
      <c r="A6" s="382">
        <v>1</v>
      </c>
      <c r="B6" s="386" t="s">
        <v>780</v>
      </c>
      <c r="C6" s="383"/>
      <c r="D6" s="383"/>
      <c r="E6" s="384">
        <f t="shared" ref="E6:E43" si="0">C6+D6</f>
        <v>0</v>
      </c>
      <c r="F6" s="383"/>
      <c r="G6" s="383"/>
      <c r="H6" s="385">
        <f t="shared" ref="H6:H43" si="1">F6+G6</f>
        <v>0</v>
      </c>
    </row>
    <row r="7" spans="1:8">
      <c r="A7" s="382">
        <v>2</v>
      </c>
      <c r="B7" s="386" t="s">
        <v>166</v>
      </c>
      <c r="C7" s="383"/>
      <c r="D7" s="383"/>
      <c r="E7" s="384">
        <f t="shared" si="0"/>
        <v>0</v>
      </c>
      <c r="F7" s="383"/>
      <c r="G7" s="383"/>
      <c r="H7" s="385">
        <f t="shared" si="1"/>
        <v>0</v>
      </c>
    </row>
    <row r="8" spans="1:8">
      <c r="A8" s="382">
        <v>3</v>
      </c>
      <c r="B8" s="386" t="s">
        <v>168</v>
      </c>
      <c r="C8" s="679">
        <f>C9+C10</f>
        <v>1780872899.95</v>
      </c>
      <c r="D8" s="383">
        <f>D9+D10</f>
        <v>0</v>
      </c>
      <c r="E8" s="384">
        <f t="shared" si="0"/>
        <v>1780872899.95</v>
      </c>
      <c r="F8" s="668">
        <f>F9+F10</f>
        <v>1542947335.8499999</v>
      </c>
      <c r="G8" s="668">
        <f>G9+G10</f>
        <v>0</v>
      </c>
      <c r="H8" s="385">
        <f t="shared" si="1"/>
        <v>1542947335.8499999</v>
      </c>
    </row>
    <row r="9" spans="1:8">
      <c r="A9" s="382">
        <v>3.1</v>
      </c>
      <c r="B9" s="387" t="s">
        <v>781</v>
      </c>
      <c r="C9" s="383">
        <v>1780836214.4000001</v>
      </c>
      <c r="D9" s="383"/>
      <c r="E9" s="384">
        <f t="shared" si="0"/>
        <v>1780836214.4000001</v>
      </c>
      <c r="F9" s="589">
        <v>1542877796.8499999</v>
      </c>
      <c r="G9" s="589"/>
      <c r="H9" s="385">
        <f t="shared" si="1"/>
        <v>1542877796.8499999</v>
      </c>
    </row>
    <row r="10" spans="1:8">
      <c r="A10" s="382">
        <v>3.2</v>
      </c>
      <c r="B10" s="387" t="s">
        <v>782</v>
      </c>
      <c r="C10" s="383">
        <v>36685.550000000003</v>
      </c>
      <c r="D10" s="383"/>
      <c r="E10" s="384">
        <f t="shared" si="0"/>
        <v>36685.550000000003</v>
      </c>
      <c r="F10" s="589">
        <v>69539</v>
      </c>
      <c r="G10" s="589"/>
      <c r="H10" s="385">
        <f t="shared" si="1"/>
        <v>69539</v>
      </c>
    </row>
    <row r="11" spans="1:8">
      <c r="A11" s="382">
        <v>4</v>
      </c>
      <c r="B11" s="386" t="s">
        <v>167</v>
      </c>
      <c r="C11" s="383">
        <f>C12+C13</f>
        <v>0</v>
      </c>
      <c r="D11" s="383">
        <f>D12+D13</f>
        <v>0</v>
      </c>
      <c r="E11" s="384">
        <f t="shared" si="0"/>
        <v>0</v>
      </c>
      <c r="F11" s="589"/>
      <c r="G11" s="589"/>
      <c r="H11" s="385">
        <f t="shared" si="1"/>
        <v>0</v>
      </c>
    </row>
    <row r="12" spans="1:8">
      <c r="A12" s="382">
        <v>4.0999999999999996</v>
      </c>
      <c r="B12" s="387" t="s">
        <v>783</v>
      </c>
      <c r="C12" s="383"/>
      <c r="D12" s="383"/>
      <c r="E12" s="384">
        <f t="shared" si="0"/>
        <v>0</v>
      </c>
      <c r="F12" s="589"/>
      <c r="G12" s="589"/>
      <c r="H12" s="385">
        <f t="shared" si="1"/>
        <v>0</v>
      </c>
    </row>
    <row r="13" spans="1:8">
      <c r="A13" s="382">
        <v>4.2</v>
      </c>
      <c r="B13" s="387" t="s">
        <v>784</v>
      </c>
      <c r="C13" s="383"/>
      <c r="D13" s="383"/>
      <c r="E13" s="384">
        <f t="shared" si="0"/>
        <v>0</v>
      </c>
      <c r="F13" s="589"/>
      <c r="G13" s="589"/>
      <c r="H13" s="385">
        <f t="shared" si="1"/>
        <v>0</v>
      </c>
    </row>
    <row r="14" spans="1:8">
      <c r="A14" s="382">
        <v>5</v>
      </c>
      <c r="B14" s="388" t="s">
        <v>785</v>
      </c>
      <c r="C14" s="679">
        <f>C15+C16+C17+C23+C24+C25+C26</f>
        <v>2956003131.1299996</v>
      </c>
      <c r="D14" s="679">
        <f>D15+D16+D17+D23+D24+D25+D26</f>
        <v>1886570</v>
      </c>
      <c r="E14" s="384">
        <f t="shared" si="0"/>
        <v>2957889701.1299996</v>
      </c>
      <c r="F14" s="668">
        <f>F15+F16+F17+F23+F24+F25+F26</f>
        <v>2101849247.3200002</v>
      </c>
      <c r="G14" s="668">
        <f>G15+G16+G17+G23+G24+G25+G26</f>
        <v>1964760</v>
      </c>
      <c r="H14" s="385">
        <f t="shared" si="1"/>
        <v>2103814007.3200002</v>
      </c>
    </row>
    <row r="15" spans="1:8">
      <c r="A15" s="382">
        <v>5.0999999999999996</v>
      </c>
      <c r="B15" s="389" t="s">
        <v>786</v>
      </c>
      <c r="C15" s="383">
        <v>15882249.25</v>
      </c>
      <c r="D15" s="383">
        <v>1886570</v>
      </c>
      <c r="E15" s="384">
        <f t="shared" si="0"/>
        <v>17768819.25</v>
      </c>
      <c r="F15" s="589">
        <v>20898970.66</v>
      </c>
      <c r="G15" s="589">
        <v>1964760</v>
      </c>
      <c r="H15" s="385">
        <f t="shared" si="1"/>
        <v>22863730.66</v>
      </c>
    </row>
    <row r="16" spans="1:8">
      <c r="A16" s="382">
        <v>5.2</v>
      </c>
      <c r="B16" s="389" t="s">
        <v>787</v>
      </c>
      <c r="C16" s="383">
        <v>2028</v>
      </c>
      <c r="D16" s="383"/>
      <c r="E16" s="384">
        <f t="shared" si="0"/>
        <v>2028</v>
      </c>
      <c r="F16" s="589">
        <v>2027.79</v>
      </c>
      <c r="G16" s="589"/>
      <c r="H16" s="385">
        <f t="shared" si="1"/>
        <v>2027.79</v>
      </c>
    </row>
    <row r="17" spans="1:8">
      <c r="A17" s="382">
        <v>5.3</v>
      </c>
      <c r="B17" s="389" t="s">
        <v>788</v>
      </c>
      <c r="C17" s="679">
        <f>C18+C19+C20+C21+C22</f>
        <v>2604467875.9699998</v>
      </c>
      <c r="D17" s="679">
        <f>D18+D19+D20+D21+D22</f>
        <v>0</v>
      </c>
      <c r="E17" s="384">
        <f t="shared" si="0"/>
        <v>2604467875.9699998</v>
      </c>
      <c r="F17" s="668">
        <f>F18+F19+F20+F21+F22</f>
        <v>1860844478.3200002</v>
      </c>
      <c r="G17" s="668">
        <f>G18+G19+G20+G21+G22</f>
        <v>0</v>
      </c>
      <c r="H17" s="385">
        <f t="shared" si="1"/>
        <v>1860844478.3200002</v>
      </c>
    </row>
    <row r="18" spans="1:8">
      <c r="A18" s="382" t="s">
        <v>169</v>
      </c>
      <c r="B18" s="390" t="s">
        <v>789</v>
      </c>
      <c r="C18" s="383">
        <v>1906868992.5</v>
      </c>
      <c r="D18" s="383"/>
      <c r="E18" s="384">
        <f t="shared" si="0"/>
        <v>1906868992.5</v>
      </c>
      <c r="F18" s="589">
        <v>1369901238.4100001</v>
      </c>
      <c r="G18" s="589"/>
      <c r="H18" s="385">
        <f t="shared" si="1"/>
        <v>1369901238.4100001</v>
      </c>
    </row>
    <row r="19" spans="1:8">
      <c r="A19" s="382" t="s">
        <v>170</v>
      </c>
      <c r="B19" s="391" t="s">
        <v>790</v>
      </c>
      <c r="C19" s="383">
        <v>294646982.98000002</v>
      </c>
      <c r="D19" s="383"/>
      <c r="E19" s="384">
        <f t="shared" si="0"/>
        <v>294646982.98000002</v>
      </c>
      <c r="F19" s="589">
        <v>225410751.75999999</v>
      </c>
      <c r="G19" s="589"/>
      <c r="H19" s="385">
        <f t="shared" si="1"/>
        <v>225410751.75999999</v>
      </c>
    </row>
    <row r="20" spans="1:8">
      <c r="A20" s="382" t="s">
        <v>171</v>
      </c>
      <c r="B20" s="391" t="s">
        <v>791</v>
      </c>
      <c r="C20" s="383"/>
      <c r="D20" s="383"/>
      <c r="E20" s="384">
        <f t="shared" si="0"/>
        <v>0</v>
      </c>
      <c r="F20" s="589"/>
      <c r="G20" s="589"/>
      <c r="H20" s="385">
        <f t="shared" si="1"/>
        <v>0</v>
      </c>
    </row>
    <row r="21" spans="1:8">
      <c r="A21" s="382" t="s">
        <v>172</v>
      </c>
      <c r="B21" s="391" t="s">
        <v>792</v>
      </c>
      <c r="C21" s="383">
        <v>399986619</v>
      </c>
      <c r="D21" s="383"/>
      <c r="E21" s="384">
        <f t="shared" si="0"/>
        <v>399986619</v>
      </c>
      <c r="F21" s="589">
        <v>261553719</v>
      </c>
      <c r="G21" s="589"/>
      <c r="H21" s="385">
        <f t="shared" si="1"/>
        <v>261553719</v>
      </c>
    </row>
    <row r="22" spans="1:8">
      <c r="A22" s="382" t="s">
        <v>173</v>
      </c>
      <c r="B22" s="391" t="s">
        <v>510</v>
      </c>
      <c r="C22" s="383">
        <v>2965281.49</v>
      </c>
      <c r="D22" s="383"/>
      <c r="E22" s="384">
        <f t="shared" si="0"/>
        <v>2965281.49</v>
      </c>
      <c r="F22" s="589">
        <v>3978769.15</v>
      </c>
      <c r="G22" s="589"/>
      <c r="H22" s="385">
        <f t="shared" si="1"/>
        <v>3978769.15</v>
      </c>
    </row>
    <row r="23" spans="1:8">
      <c r="A23" s="382">
        <v>5.4</v>
      </c>
      <c r="B23" s="389" t="s">
        <v>793</v>
      </c>
      <c r="C23" s="383">
        <v>335650977.91000003</v>
      </c>
      <c r="D23" s="383"/>
      <c r="E23" s="384">
        <f t="shared" si="0"/>
        <v>335650977.91000003</v>
      </c>
      <c r="F23" s="589">
        <v>220103770.55000001</v>
      </c>
      <c r="G23" s="589"/>
      <c r="H23" s="385">
        <f t="shared" si="1"/>
        <v>220103770.55000001</v>
      </c>
    </row>
    <row r="24" spans="1:8">
      <c r="A24" s="382">
        <v>5.5</v>
      </c>
      <c r="B24" s="389" t="s">
        <v>794</v>
      </c>
      <c r="C24" s="383"/>
      <c r="D24" s="383"/>
      <c r="E24" s="384">
        <f t="shared" si="0"/>
        <v>0</v>
      </c>
      <c r="F24" s="589"/>
      <c r="G24" s="589"/>
      <c r="H24" s="385">
        <f t="shared" si="1"/>
        <v>0</v>
      </c>
    </row>
    <row r="25" spans="1:8">
      <c r="A25" s="382">
        <v>5.6</v>
      </c>
      <c r="B25" s="389" t="s">
        <v>795</v>
      </c>
      <c r="C25" s="383"/>
      <c r="D25" s="383"/>
      <c r="E25" s="384">
        <f t="shared" si="0"/>
        <v>0</v>
      </c>
      <c r="F25" s="589"/>
      <c r="G25" s="589"/>
      <c r="H25" s="385">
        <f t="shared" si="1"/>
        <v>0</v>
      </c>
    </row>
    <row r="26" spans="1:8">
      <c r="A26" s="382">
        <v>5.7</v>
      </c>
      <c r="B26" s="389" t="s">
        <v>510</v>
      </c>
      <c r="C26" s="383"/>
      <c r="D26" s="383"/>
      <c r="E26" s="384">
        <f t="shared" si="0"/>
        <v>0</v>
      </c>
      <c r="F26" s="589"/>
      <c r="G26" s="589"/>
      <c r="H26" s="385">
        <f t="shared" si="1"/>
        <v>0</v>
      </c>
    </row>
    <row r="27" spans="1:8">
      <c r="A27" s="382">
        <v>6</v>
      </c>
      <c r="B27" s="388" t="s">
        <v>796</v>
      </c>
      <c r="C27" s="383">
        <v>403623188.12</v>
      </c>
      <c r="D27" s="383">
        <v>38174838</v>
      </c>
      <c r="E27" s="384">
        <f t="shared" si="0"/>
        <v>441798026.12</v>
      </c>
      <c r="F27" s="589">
        <v>149871560</v>
      </c>
      <c r="G27" s="589">
        <v>25587796</v>
      </c>
      <c r="H27" s="385">
        <f t="shared" si="1"/>
        <v>175459356</v>
      </c>
    </row>
    <row r="28" spans="1:8">
      <c r="A28" s="382">
        <v>7</v>
      </c>
      <c r="B28" s="388" t="s">
        <v>797</v>
      </c>
      <c r="C28" s="383">
        <v>3050794</v>
      </c>
      <c r="D28" s="383"/>
      <c r="E28" s="384">
        <f t="shared" si="0"/>
        <v>3050794</v>
      </c>
      <c r="F28" s="589">
        <v>2351889.7999999998</v>
      </c>
      <c r="G28" s="589"/>
      <c r="H28" s="385">
        <f t="shared" si="1"/>
        <v>2351889.7999999998</v>
      </c>
    </row>
    <row r="29" spans="1:8">
      <c r="A29" s="382">
        <v>8</v>
      </c>
      <c r="B29" s="388" t="s">
        <v>798</v>
      </c>
      <c r="C29" s="383"/>
      <c r="D29" s="383"/>
      <c r="E29" s="384">
        <f t="shared" si="0"/>
        <v>0</v>
      </c>
      <c r="F29" s="589"/>
      <c r="G29" s="589"/>
      <c r="H29" s="385">
        <f t="shared" si="1"/>
        <v>0</v>
      </c>
    </row>
    <row r="30" spans="1:8">
      <c r="A30" s="382">
        <v>9</v>
      </c>
      <c r="B30" s="386" t="s">
        <v>174</v>
      </c>
      <c r="C30" s="383">
        <f>C31+C32+C33+C34+C35+C36+C37</f>
        <v>414625573.5</v>
      </c>
      <c r="D30" s="383">
        <f>D31+D32+D33+D34+D35+D36+D37</f>
        <v>1428165</v>
      </c>
      <c r="E30" s="384">
        <f t="shared" si="0"/>
        <v>416053738.5</v>
      </c>
      <c r="F30" s="668">
        <f>F31+F32+F33+F34+F35+F36+F37</f>
        <v>269556228</v>
      </c>
      <c r="G30" s="668">
        <f>G31+G32+G33+G34+G35+G36+G37</f>
        <v>0</v>
      </c>
      <c r="H30" s="385">
        <f t="shared" si="1"/>
        <v>269556228</v>
      </c>
    </row>
    <row r="31" spans="1:8" ht="27.6">
      <c r="A31" s="382">
        <v>9.1</v>
      </c>
      <c r="B31" s="387" t="s">
        <v>799</v>
      </c>
      <c r="C31" s="383"/>
      <c r="D31" s="680"/>
      <c r="E31" s="384">
        <f t="shared" si="0"/>
        <v>0</v>
      </c>
      <c r="F31" s="589"/>
      <c r="G31" s="589"/>
      <c r="H31" s="669">
        <f t="shared" si="1"/>
        <v>0</v>
      </c>
    </row>
    <row r="32" spans="1:8" ht="27.6">
      <c r="A32" s="382">
        <v>9.1999999999999993</v>
      </c>
      <c r="B32" s="387" t="s">
        <v>800</v>
      </c>
      <c r="C32" s="383">
        <v>414625573.5</v>
      </c>
      <c r="D32" s="383">
        <v>1428165</v>
      </c>
      <c r="E32" s="384">
        <f t="shared" si="0"/>
        <v>416053738.5</v>
      </c>
      <c r="F32" s="589">
        <v>269556228</v>
      </c>
      <c r="G32" s="589"/>
      <c r="H32" s="669">
        <f t="shared" si="1"/>
        <v>269556228</v>
      </c>
    </row>
    <row r="33" spans="1:8" ht="27.6">
      <c r="A33" s="382">
        <v>9.3000000000000007</v>
      </c>
      <c r="B33" s="387" t="s">
        <v>801</v>
      </c>
      <c r="C33" s="383"/>
      <c r="D33" s="383"/>
      <c r="E33" s="384">
        <f t="shared" si="0"/>
        <v>0</v>
      </c>
      <c r="F33" s="589"/>
      <c r="G33" s="589"/>
      <c r="H33" s="669">
        <f t="shared" si="1"/>
        <v>0</v>
      </c>
    </row>
    <row r="34" spans="1:8">
      <c r="A34" s="382">
        <v>9.4</v>
      </c>
      <c r="B34" s="387" t="s">
        <v>802</v>
      </c>
      <c r="C34" s="383"/>
      <c r="D34" s="383"/>
      <c r="E34" s="384">
        <f t="shared" si="0"/>
        <v>0</v>
      </c>
      <c r="F34" s="589"/>
      <c r="G34" s="589"/>
      <c r="H34" s="669">
        <f t="shared" si="1"/>
        <v>0</v>
      </c>
    </row>
    <row r="35" spans="1:8">
      <c r="A35" s="382">
        <v>9.5</v>
      </c>
      <c r="B35" s="387" t="s">
        <v>803</v>
      </c>
      <c r="C35" s="383"/>
      <c r="D35" s="383"/>
      <c r="E35" s="384">
        <f t="shared" si="0"/>
        <v>0</v>
      </c>
      <c r="F35" s="589"/>
      <c r="G35" s="589"/>
      <c r="H35" s="669">
        <f t="shared" si="1"/>
        <v>0</v>
      </c>
    </row>
    <row r="36" spans="1:8" ht="27.6">
      <c r="A36" s="382">
        <v>9.6</v>
      </c>
      <c r="B36" s="387" t="s">
        <v>804</v>
      </c>
      <c r="C36" s="383"/>
      <c r="D36" s="383"/>
      <c r="E36" s="384">
        <f t="shared" si="0"/>
        <v>0</v>
      </c>
      <c r="F36" s="589"/>
      <c r="G36" s="589"/>
      <c r="H36" s="669">
        <f t="shared" si="1"/>
        <v>0</v>
      </c>
    </row>
    <row r="37" spans="1:8" ht="27.6">
      <c r="A37" s="382">
        <v>9.6999999999999993</v>
      </c>
      <c r="B37" s="387" t="s">
        <v>805</v>
      </c>
      <c r="C37" s="383"/>
      <c r="D37" s="383"/>
      <c r="E37" s="384">
        <f t="shared" si="0"/>
        <v>0</v>
      </c>
      <c r="F37" s="589"/>
      <c r="G37" s="589"/>
      <c r="H37" s="669">
        <f t="shared" si="1"/>
        <v>0</v>
      </c>
    </row>
    <row r="38" spans="1:8">
      <c r="A38" s="382">
        <v>10</v>
      </c>
      <c r="B38" s="388" t="s">
        <v>806</v>
      </c>
      <c r="C38" s="589">
        <f>C41+C42</f>
        <v>331879417.04999995</v>
      </c>
      <c r="D38" s="589">
        <f>D41+D42</f>
        <v>4796959.2082899995</v>
      </c>
      <c r="E38" s="384">
        <f t="shared" si="0"/>
        <v>336676376.25828993</v>
      </c>
      <c r="F38" s="668">
        <f>F41+F42</f>
        <v>274180226</v>
      </c>
      <c r="G38" s="668">
        <f>G41+G42</f>
        <v>5375145</v>
      </c>
      <c r="H38" s="669">
        <f t="shared" si="1"/>
        <v>279555371</v>
      </c>
    </row>
    <row r="39" spans="1:8">
      <c r="A39" s="382">
        <v>10.1</v>
      </c>
      <c r="B39" s="387" t="s">
        <v>807</v>
      </c>
      <c r="C39" s="383">
        <v>11992067.76</v>
      </c>
      <c r="D39" s="383">
        <v>121850.72644499999</v>
      </c>
      <c r="E39" s="384">
        <f t="shared" si="0"/>
        <v>12113918.486445</v>
      </c>
      <c r="F39" s="589">
        <v>10188425.719999997</v>
      </c>
      <c r="G39" s="589"/>
      <c r="H39" s="669">
        <f t="shared" si="1"/>
        <v>10188425.719999997</v>
      </c>
    </row>
    <row r="40" spans="1:8" ht="27.6">
      <c r="A40" s="382">
        <v>10.199999999999999</v>
      </c>
      <c r="B40" s="387" t="s">
        <v>808</v>
      </c>
      <c r="C40" s="383">
        <v>7653125.3000000222</v>
      </c>
      <c r="D40" s="383">
        <v>54812</v>
      </c>
      <c r="E40" s="384">
        <f t="shared" si="0"/>
        <v>7707937.3000000222</v>
      </c>
      <c r="F40" s="589">
        <v>6488127.6000000229</v>
      </c>
      <c r="G40" s="589">
        <v>34053.819770000009</v>
      </c>
      <c r="H40" s="669">
        <f t="shared" si="1"/>
        <v>6522181.4197700229</v>
      </c>
    </row>
    <row r="41" spans="1:8" ht="27.6">
      <c r="A41" s="382">
        <v>10.3</v>
      </c>
      <c r="B41" s="387" t="s">
        <v>809</v>
      </c>
      <c r="C41" s="383">
        <v>203797972.77999997</v>
      </c>
      <c r="D41" s="383">
        <v>3101610.0705859996</v>
      </c>
      <c r="E41" s="384">
        <f t="shared" si="0"/>
        <v>206899582.85058597</v>
      </c>
      <c r="F41" s="589">
        <v>165510685</v>
      </c>
      <c r="G41" s="589">
        <v>3442921</v>
      </c>
      <c r="H41" s="669">
        <f t="shared" si="1"/>
        <v>168953606</v>
      </c>
    </row>
    <row r="42" spans="1:8" ht="27.6">
      <c r="A42" s="382">
        <v>10.4</v>
      </c>
      <c r="B42" s="387" t="s">
        <v>810</v>
      </c>
      <c r="C42" s="383">
        <v>128081444.26999997</v>
      </c>
      <c r="D42" s="383">
        <v>1695349.1377039999</v>
      </c>
      <c r="E42" s="384">
        <f t="shared" si="0"/>
        <v>129776793.40770397</v>
      </c>
      <c r="F42" s="589">
        <v>108669541</v>
      </c>
      <c r="G42" s="589">
        <v>1932224</v>
      </c>
      <c r="H42" s="669">
        <f t="shared" si="1"/>
        <v>110601765</v>
      </c>
    </row>
    <row r="43" spans="1:8">
      <c r="A43" s="382">
        <v>11</v>
      </c>
      <c r="B43" s="392" t="s">
        <v>175</v>
      </c>
      <c r="C43" s="383"/>
      <c r="D43" s="383"/>
      <c r="E43" s="384">
        <f t="shared" si="0"/>
        <v>0</v>
      </c>
      <c r="F43" s="589"/>
      <c r="G43" s="589"/>
      <c r="H43" s="385">
        <f t="shared" si="1"/>
        <v>0</v>
      </c>
    </row>
    <row r="44" spans="1:8">
      <c r="C44" s="394"/>
      <c r="D44" s="394"/>
      <c r="E44" s="394"/>
      <c r="F44" s="394"/>
      <c r="G44" s="394"/>
      <c r="H44" s="394"/>
    </row>
    <row r="45" spans="1:8">
      <c r="C45" s="394"/>
      <c r="D45" s="394"/>
      <c r="E45" s="394"/>
      <c r="F45" s="394"/>
      <c r="G45" s="394"/>
      <c r="H45" s="394"/>
    </row>
    <row r="46" spans="1:8">
      <c r="C46" s="394"/>
      <c r="D46" s="394"/>
      <c r="E46" s="394"/>
      <c r="F46" s="394"/>
      <c r="G46" s="394"/>
      <c r="H46" s="394"/>
    </row>
    <row r="47" spans="1:8">
      <c r="C47" s="394"/>
      <c r="D47" s="394"/>
      <c r="E47" s="394"/>
      <c r="F47" s="394"/>
      <c r="G47" s="394"/>
      <c r="H47" s="394"/>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G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C7" sqref="C7:C12"/>
    </sheetView>
  </sheetViews>
  <sheetFormatPr defaultColWidth="9.21875" defaultRowHeight="13.8"/>
  <cols>
    <col min="1" max="1" width="9.5546875" style="1" bestFit="1" customWidth="1"/>
    <col min="2" max="2" width="93.5546875" style="1" customWidth="1"/>
    <col min="3" max="4" width="12.77734375" style="1" customWidth="1"/>
    <col min="5" max="7" width="12.33203125" style="8" bestFit="1" customWidth="1"/>
    <col min="8" max="11" width="9.77734375" style="8" customWidth="1"/>
    <col min="12" max="16384" width="9.21875" style="8"/>
  </cols>
  <sheetData>
    <row r="1" spans="1:7">
      <c r="A1" s="13" t="s">
        <v>97</v>
      </c>
      <c r="B1" s="12" t="str">
        <f>Info!C2</f>
        <v>სს "კრედო ბანკი"</v>
      </c>
      <c r="C1" s="12"/>
    </row>
    <row r="2" spans="1:7">
      <c r="A2" s="13" t="s">
        <v>98</v>
      </c>
      <c r="B2" s="276">
        <f>'1. key ratios'!B2</f>
        <v>46022</v>
      </c>
      <c r="C2" s="12"/>
    </row>
    <row r="3" spans="1:7">
      <c r="A3" s="13"/>
      <c r="B3" s="12"/>
      <c r="C3" s="12"/>
    </row>
    <row r="4" spans="1:7" ht="15" customHeight="1" thickBot="1">
      <c r="A4" s="117" t="s">
        <v>242</v>
      </c>
      <c r="B4" s="118" t="s">
        <v>96</v>
      </c>
      <c r="C4" s="119" t="s">
        <v>76</v>
      </c>
    </row>
    <row r="5" spans="1:7" ht="15" customHeight="1">
      <c r="A5" s="115" t="s">
        <v>25</v>
      </c>
      <c r="B5" s="116"/>
      <c r="C5" s="265" t="str">
        <f>INT((MONTH($B$2))/3)&amp;"Q"&amp;"-"&amp;YEAR($B$2)</f>
        <v>4Q-2025</v>
      </c>
      <c r="D5" s="265" t="str">
        <f>IF(INT(MONTH($B$2))=3, "4"&amp;"Q"&amp;"-"&amp;YEAR($B$2)-1, IF(INT(MONTH($B$2))=6, "1"&amp;"Q"&amp;"-"&amp;YEAR($B$2), IF(INT(MONTH($B$2))=9, "2"&amp;"Q"&amp;"-"&amp;YEAR($B$2),IF(INT(MONTH($B$2))=12, "3"&amp;"Q"&amp;"-"&amp;YEAR($B$2), 0))))</f>
        <v>3Q-2025</v>
      </c>
      <c r="E5" s="265" t="str">
        <f>IF(INT(MONTH($B$2))=3, "3"&amp;"Q"&amp;"-"&amp;YEAR($B$2)-1, IF(INT(MONTH($B$2))=6, "4"&amp;"Q"&amp;"-"&amp;YEAR($B$2)-1, IF(INT(MONTH($B$2))=9, "1"&amp;"Q"&amp;"-"&amp;YEAR($B$2),IF(INT(MONTH($B$2))=12, "2"&amp;"Q"&amp;"-"&amp;YEAR($B$2), 0))))</f>
        <v>2Q-2025</v>
      </c>
      <c r="F5" s="265" t="str">
        <f>IF(INT(MONTH($B$2))=3, "2"&amp;"Q"&amp;"-"&amp;YEAR($B$2)-1, IF(INT(MONTH($B$2))=6, "3"&amp;"Q"&amp;"-"&amp;YEAR($B$2)-1, IF(INT(MONTH($B$2))=9, "4"&amp;"Q"&amp;"-"&amp;YEAR($B$2)-1,IF(INT(MONTH($B$2))=12, "1"&amp;"Q"&amp;"-"&amp;YEAR($B$2), 0))))</f>
        <v>1Q-2025</v>
      </c>
      <c r="G5" s="265" t="str">
        <f>IF(INT(MONTH($B$2))=3, "1"&amp;"Q"&amp;"-"&amp;YEAR($B$2)-1, IF(INT(MONTH($B$2))=6, "2"&amp;"Q"&amp;"-"&amp;YEAR($B$2)-1, IF(INT(MONTH($B$2))=9, "3"&amp;"Q"&amp;"-"&amp;YEAR($B$2)-1,IF(INT(MONTH($B$2))=12, "4"&amp;"Q"&amp;"-"&amp;YEAR($B$2)-1, 0))))</f>
        <v>4Q-2024</v>
      </c>
    </row>
    <row r="6" spans="1:7" ht="15" customHeight="1">
      <c r="A6" s="227">
        <v>1</v>
      </c>
      <c r="B6" s="254" t="s">
        <v>101</v>
      </c>
      <c r="C6" s="228">
        <f>C7+C9+C10</f>
        <v>2598315328.7061133</v>
      </c>
      <c r="D6" s="256">
        <f>D7+D9+D10</f>
        <v>2425903959.9770231</v>
      </c>
      <c r="E6" s="229">
        <f t="shared" ref="E6:G6" si="0">E7+E9+E10</f>
        <v>2279557645.9717302</v>
      </c>
      <c r="F6" s="228">
        <f t="shared" si="0"/>
        <v>2155615504.3424869</v>
      </c>
      <c r="G6" s="257">
        <f t="shared" si="0"/>
        <v>2056136249.6177859</v>
      </c>
    </row>
    <row r="7" spans="1:7" ht="15" customHeight="1">
      <c r="A7" s="227">
        <v>1.1000000000000001</v>
      </c>
      <c r="B7" s="230" t="s">
        <v>994</v>
      </c>
      <c r="C7" s="231">
        <v>2501584077.4811134</v>
      </c>
      <c r="D7" s="670">
        <v>2336499078.746449</v>
      </c>
      <c r="E7" s="671">
        <v>2198265315.321897</v>
      </c>
      <c r="F7" s="670">
        <v>2078270635.7190535</v>
      </c>
      <c r="G7" s="670">
        <v>2005870754.2077861</v>
      </c>
    </row>
    <row r="8" spans="1:7" ht="27.6">
      <c r="A8" s="227" t="s">
        <v>146</v>
      </c>
      <c r="B8" s="232" t="s">
        <v>239</v>
      </c>
      <c r="C8" s="231">
        <v>3721085.11</v>
      </c>
      <c r="D8" s="670">
        <v>1991498.97</v>
      </c>
      <c r="E8" s="671">
        <v>2202413.5</v>
      </c>
      <c r="F8" s="670">
        <v>2328266.9</v>
      </c>
      <c r="G8" s="670">
        <v>2463673.85</v>
      </c>
    </row>
    <row r="9" spans="1:7" ht="15" customHeight="1">
      <c r="A9" s="227">
        <v>1.2</v>
      </c>
      <c r="B9" s="230" t="s">
        <v>21</v>
      </c>
      <c r="C9" s="231">
        <v>94203247.224999994</v>
      </c>
      <c r="D9" s="670">
        <v>86362246.617500007</v>
      </c>
      <c r="E9" s="671">
        <v>77574328.375</v>
      </c>
      <c r="F9" s="670">
        <v>72260100.875</v>
      </c>
      <c r="G9" s="670">
        <v>44874370.850000001</v>
      </c>
    </row>
    <row r="10" spans="1:7" ht="15" customHeight="1">
      <c r="A10" s="227">
        <v>1.3</v>
      </c>
      <c r="B10" s="255" t="s">
        <v>73</v>
      </c>
      <c r="C10" s="231">
        <v>2528004</v>
      </c>
      <c r="D10" s="670">
        <v>3042634.6130742901</v>
      </c>
      <c r="E10" s="671">
        <v>3718002.2748331837</v>
      </c>
      <c r="F10" s="670">
        <v>5084767.7484337837</v>
      </c>
      <c r="G10" s="670">
        <v>5391124.5600000005</v>
      </c>
    </row>
    <row r="11" spans="1:7" ht="15" customHeight="1">
      <c r="A11" s="227">
        <v>2</v>
      </c>
      <c r="B11" s="254" t="s">
        <v>102</v>
      </c>
      <c r="C11" s="231">
        <v>2126077</v>
      </c>
      <c r="D11" s="670">
        <v>3455625.7996334741</v>
      </c>
      <c r="E11" s="671">
        <v>2452100</v>
      </c>
      <c r="F11" s="670">
        <v>1537337</v>
      </c>
      <c r="G11" s="670">
        <v>991776</v>
      </c>
    </row>
    <row r="12" spans="1:7" ht="15" customHeight="1">
      <c r="A12" s="227">
        <v>3</v>
      </c>
      <c r="B12" s="254" t="s">
        <v>100</v>
      </c>
      <c r="C12" s="231">
        <v>656876651.11259413</v>
      </c>
      <c r="D12" s="670">
        <v>559691583.66043723</v>
      </c>
      <c r="E12" s="671">
        <v>559691583.66043723</v>
      </c>
      <c r="F12" s="670">
        <v>559691583.66043723</v>
      </c>
      <c r="G12" s="670">
        <v>559691583.66043723</v>
      </c>
    </row>
    <row r="13" spans="1:7" ht="15" customHeight="1" thickBot="1">
      <c r="A13" s="62">
        <v>4</v>
      </c>
      <c r="B13" s="260" t="s">
        <v>147</v>
      </c>
      <c r="C13" s="137">
        <f>C6+C11+C12</f>
        <v>3257318056.8187075</v>
      </c>
      <c r="D13" s="258">
        <f>D6+D11+D12</f>
        <v>2989051169.4370937</v>
      </c>
      <c r="E13" s="138">
        <f t="shared" ref="E13:G13" si="1">E6+E11+E12</f>
        <v>2841701329.6321673</v>
      </c>
      <c r="F13" s="137">
        <f t="shared" si="1"/>
        <v>2716844425.002924</v>
      </c>
      <c r="G13" s="259">
        <f t="shared" si="1"/>
        <v>2616819609.278223</v>
      </c>
    </row>
    <row r="14" spans="1:7">
      <c r="B14" s="17"/>
    </row>
    <row r="15" spans="1:7">
      <c r="B15" s="17"/>
    </row>
    <row r="16" spans="1:7">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C34"/>
  <sheetViews>
    <sheetView showGridLines="0" zoomScale="80" zoomScaleNormal="80" workbookViewId="0">
      <pane xSplit="1" ySplit="4" topLeftCell="B13" activePane="bottomRight" state="frozen"/>
      <selection pane="topRight" activeCell="B1" sqref="B1"/>
      <selection pane="bottomLeft" activeCell="A4" sqref="A4"/>
      <selection pane="bottomRight" activeCell="E23" sqref="E23"/>
    </sheetView>
  </sheetViews>
  <sheetFormatPr defaultRowHeight="14.4"/>
  <cols>
    <col min="1" max="1" width="9.5546875" style="1" bestFit="1" customWidth="1"/>
    <col min="2" max="2" width="58.77734375" style="1" customWidth="1"/>
    <col min="3" max="3" width="40.21875" style="1" bestFit="1" customWidth="1"/>
  </cols>
  <sheetData>
    <row r="1" spans="1:3">
      <c r="A1" s="1" t="s">
        <v>97</v>
      </c>
      <c r="B1" s="1" t="str">
        <f>Info!C2</f>
        <v>სს "კრედო ბანკი"</v>
      </c>
    </row>
    <row r="2" spans="1:3">
      <c r="A2" s="1" t="s">
        <v>98</v>
      </c>
      <c r="B2" s="276">
        <f>'1. key ratios'!B2</f>
        <v>46022</v>
      </c>
    </row>
    <row r="4" spans="1:3" ht="25.5" customHeight="1" thickBot="1">
      <c r="A4" s="131" t="s">
        <v>243</v>
      </c>
      <c r="B4" s="23" t="s">
        <v>80</v>
      </c>
      <c r="C4" s="9"/>
    </row>
    <row r="5" spans="1:3">
      <c r="A5" s="7"/>
      <c r="B5" s="250" t="s">
        <v>81</v>
      </c>
      <c r="C5" s="263" t="s">
        <v>419</v>
      </c>
    </row>
    <row r="6" spans="1:3" ht="15">
      <c r="A6" s="10">
        <v>1</v>
      </c>
      <c r="B6" s="24" t="s">
        <v>1001</v>
      </c>
      <c r="C6" s="261" t="s">
        <v>1005</v>
      </c>
    </row>
    <row r="7" spans="1:3" ht="15">
      <c r="A7" s="10">
        <v>2</v>
      </c>
      <c r="B7" s="24" t="s">
        <v>1008</v>
      </c>
      <c r="C7" s="261" t="s">
        <v>1007</v>
      </c>
    </row>
    <row r="8" spans="1:3" ht="15">
      <c r="A8" s="10">
        <v>3</v>
      </c>
      <c r="B8" s="24" t="s">
        <v>1002</v>
      </c>
      <c r="C8" s="261" t="s">
        <v>1006</v>
      </c>
    </row>
    <row r="9" spans="1:3" ht="15">
      <c r="A9" s="10">
        <v>4</v>
      </c>
      <c r="B9" s="24" t="s">
        <v>1003</v>
      </c>
      <c r="C9" s="261" t="s">
        <v>1007</v>
      </c>
    </row>
    <row r="10" spans="1:3" ht="15">
      <c r="A10" s="10">
        <v>5</v>
      </c>
      <c r="B10" s="24" t="s">
        <v>1004</v>
      </c>
      <c r="C10" s="261" t="s">
        <v>1006</v>
      </c>
    </row>
    <row r="11" spans="1:3" ht="15">
      <c r="A11" s="10"/>
      <c r="B11" s="793"/>
      <c r="C11" s="794"/>
    </row>
    <row r="12" spans="1:3" ht="41.4">
      <c r="A12" s="10"/>
      <c r="B12" s="251" t="s">
        <v>82</v>
      </c>
      <c r="C12" s="264" t="s">
        <v>420</v>
      </c>
    </row>
    <row r="13" spans="1:3">
      <c r="A13" s="10">
        <v>1</v>
      </c>
      <c r="B13" s="20" t="s">
        <v>1009</v>
      </c>
      <c r="C13" s="262" t="s">
        <v>1010</v>
      </c>
    </row>
    <row r="14" spans="1:3">
      <c r="A14" s="10">
        <v>2</v>
      </c>
      <c r="B14" s="20" t="s">
        <v>1011</v>
      </c>
      <c r="C14" s="262" t="s">
        <v>1012</v>
      </c>
    </row>
    <row r="15" spans="1:3">
      <c r="A15" s="10">
        <v>3</v>
      </c>
      <c r="B15" s="20" t="s">
        <v>1013</v>
      </c>
      <c r="C15" s="262" t="s">
        <v>1014</v>
      </c>
    </row>
    <row r="16" spans="1:3">
      <c r="A16" s="10">
        <v>4</v>
      </c>
      <c r="B16" s="20" t="s">
        <v>1015</v>
      </c>
      <c r="C16" s="262" t="s">
        <v>1016</v>
      </c>
    </row>
    <row r="17" spans="1:3">
      <c r="A17" s="10">
        <v>5</v>
      </c>
      <c r="B17" s="20" t="s">
        <v>1017</v>
      </c>
      <c r="C17" s="262" t="s">
        <v>1018</v>
      </c>
    </row>
    <row r="18" spans="1:3">
      <c r="A18" s="10">
        <v>6</v>
      </c>
      <c r="B18" s="20" t="s">
        <v>1019</v>
      </c>
      <c r="C18" s="262" t="s">
        <v>1020</v>
      </c>
    </row>
    <row r="19" spans="1:3" ht="15.75" customHeight="1">
      <c r="A19" s="10"/>
      <c r="B19" s="20"/>
      <c r="C19" s="21"/>
    </row>
    <row r="20" spans="1:3" ht="30" customHeight="1">
      <c r="A20" s="10"/>
      <c r="B20" s="795" t="s">
        <v>83</v>
      </c>
      <c r="C20" s="796"/>
    </row>
    <row r="21" spans="1:3" ht="15">
      <c r="A21" s="10">
        <v>1</v>
      </c>
      <c r="B21" s="673" t="s">
        <v>1021</v>
      </c>
      <c r="C21" s="674">
        <v>0.50260000000000005</v>
      </c>
    </row>
    <row r="22" spans="1:3" ht="15">
      <c r="A22" s="672">
        <v>2</v>
      </c>
      <c r="B22" s="673" t="s">
        <v>1022</v>
      </c>
      <c r="C22" s="674">
        <v>0.3322</v>
      </c>
    </row>
    <row r="23" spans="1:3" ht="28.8">
      <c r="A23" s="10">
        <v>3</v>
      </c>
      <c r="B23" s="673" t="s">
        <v>1023</v>
      </c>
      <c r="C23" s="674">
        <v>0.1469</v>
      </c>
    </row>
    <row r="24" spans="1:3" ht="15.75" customHeight="1">
      <c r="A24" s="10"/>
      <c r="B24" s="24"/>
      <c r="C24" s="25"/>
    </row>
    <row r="25" spans="1:3" ht="29.25" customHeight="1">
      <c r="A25" s="10"/>
      <c r="B25" s="795" t="s">
        <v>163</v>
      </c>
      <c r="C25" s="796"/>
    </row>
    <row r="26" spans="1:3" ht="15">
      <c r="A26" s="10">
        <v>1</v>
      </c>
      <c r="B26" s="673" t="s">
        <v>1024</v>
      </c>
      <c r="C26" s="763">
        <v>5.91E-2</v>
      </c>
    </row>
    <row r="27" spans="1:3" ht="15.6" thickBot="1">
      <c r="A27" s="11">
        <v>2</v>
      </c>
      <c r="B27" s="764" t="s">
        <v>1025</v>
      </c>
      <c r="C27" s="765">
        <v>5.91E-2</v>
      </c>
    </row>
    <row r="28" spans="1:3" ht="15">
      <c r="A28" s="10">
        <v>3</v>
      </c>
      <c r="B28" s="764" t="s">
        <v>1026</v>
      </c>
      <c r="C28" s="765">
        <v>7.4399999999999994E-2</v>
      </c>
    </row>
    <row r="29" spans="1:3" ht="15.6" thickBot="1">
      <c r="A29" s="11">
        <v>4</v>
      </c>
      <c r="B29" s="764" t="s">
        <v>1027</v>
      </c>
      <c r="C29" s="765">
        <v>6.3600000000000004E-2</v>
      </c>
    </row>
    <row r="30" spans="1:3" ht="15">
      <c r="A30" s="10">
        <v>5</v>
      </c>
      <c r="B30" s="764" t="s">
        <v>1028</v>
      </c>
      <c r="C30" s="765">
        <v>0.11890000000000001</v>
      </c>
    </row>
    <row r="31" spans="1:3" ht="15.6" thickBot="1">
      <c r="A31" s="11">
        <v>6</v>
      </c>
      <c r="B31" s="764" t="s">
        <v>1029</v>
      </c>
      <c r="C31" s="765">
        <v>5.6099999999999997E-2</v>
      </c>
    </row>
    <row r="32" spans="1:3" ht="15">
      <c r="A32" s="768">
        <v>7</v>
      </c>
      <c r="B32" s="764" t="s">
        <v>1030</v>
      </c>
      <c r="C32" s="765">
        <v>0.1278</v>
      </c>
    </row>
    <row r="33" spans="1:3" ht="15">
      <c r="A33" s="768">
        <v>8</v>
      </c>
      <c r="B33" s="764" t="s">
        <v>1040</v>
      </c>
      <c r="C33" s="765">
        <v>7.1599999999999997E-2</v>
      </c>
    </row>
    <row r="34" spans="1:3" ht="15.6" thickBot="1">
      <c r="A34" s="10">
        <v>9</v>
      </c>
      <c r="B34" s="766" t="s">
        <v>1039</v>
      </c>
      <c r="C34" s="767">
        <v>6.0299999999999999E-2</v>
      </c>
    </row>
  </sheetData>
  <mergeCells count="3">
    <mergeCell ref="B11:C11"/>
    <mergeCell ref="B25:C25"/>
    <mergeCell ref="B20:C20"/>
  </mergeCells>
  <dataValidations count="1">
    <dataValidation type="list" allowBlank="1" showInputMessage="1" showErrorMessage="1" sqref="C6:C10"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G53"/>
  <sheetViews>
    <sheetView zoomScale="80" zoomScaleNormal="80" workbookViewId="0">
      <pane xSplit="1" ySplit="5" topLeftCell="B19" activePane="bottomRight" state="frozen"/>
      <selection activeCell="H6" sqref="H6"/>
      <selection pane="topRight" activeCell="H6" sqref="H6"/>
      <selection pane="bottomLeft" activeCell="H6" sqref="H6"/>
      <selection pane="bottomRight" activeCell="C8" sqref="C8:D36"/>
    </sheetView>
  </sheetViews>
  <sheetFormatPr defaultRowHeight="14.4"/>
  <cols>
    <col min="1" max="1" width="9.5546875" style="1" bestFit="1" customWidth="1"/>
    <col min="2" max="2" width="47.5546875" style="1" customWidth="1"/>
    <col min="3" max="3" width="28" style="1" customWidth="1"/>
    <col min="4" max="4" width="25.6640625" style="1" customWidth="1"/>
    <col min="5" max="5" width="18.77734375" style="1" customWidth="1"/>
    <col min="6" max="6" width="12" bestFit="1" customWidth="1"/>
    <col min="7" max="7" width="12.5546875" bestFit="1" customWidth="1"/>
  </cols>
  <sheetData>
    <row r="1" spans="1:5">
      <c r="A1" s="13" t="s">
        <v>97</v>
      </c>
      <c r="B1" s="12" t="str">
        <f>Info!C2</f>
        <v>სს "კრედო ბანკი"</v>
      </c>
    </row>
    <row r="2" spans="1:5" s="13" customFormat="1" ht="15.75" customHeight="1">
      <c r="A2" s="13" t="s">
        <v>98</v>
      </c>
      <c r="B2" s="276">
        <f>'1. key ratios'!B2</f>
        <v>46022</v>
      </c>
    </row>
    <row r="3" spans="1:5" s="13" customFormat="1" ht="15.75" customHeight="1"/>
    <row r="4" spans="1:5" s="13" customFormat="1" ht="15.75" customHeight="1" thickBot="1">
      <c r="A4" s="132" t="s">
        <v>244</v>
      </c>
      <c r="B4" s="133" t="s">
        <v>157</v>
      </c>
      <c r="C4" s="97"/>
      <c r="D4" s="97"/>
      <c r="E4" s="98" t="s">
        <v>76</v>
      </c>
    </row>
    <row r="5" spans="1:5" s="58" customFormat="1" ht="17.55" customHeight="1">
      <c r="A5" s="205"/>
      <c r="B5" s="206"/>
      <c r="C5" s="96" t="s">
        <v>0</v>
      </c>
      <c r="D5" s="96" t="s">
        <v>1</v>
      </c>
      <c r="E5" s="207" t="s">
        <v>2</v>
      </c>
    </row>
    <row r="6" spans="1:5" ht="14.55" customHeight="1">
      <c r="A6" s="208"/>
      <c r="B6" s="797" t="s">
        <v>133</v>
      </c>
      <c r="C6" s="797" t="s">
        <v>824</v>
      </c>
      <c r="D6" s="798" t="s">
        <v>132</v>
      </c>
      <c r="E6" s="799"/>
    </row>
    <row r="7" spans="1:5" ht="99.6" customHeight="1">
      <c r="A7" s="208"/>
      <c r="B7" s="797"/>
      <c r="C7" s="797"/>
      <c r="D7" s="203" t="s">
        <v>131</v>
      </c>
      <c r="E7" s="204" t="s">
        <v>341</v>
      </c>
    </row>
    <row r="8" spans="1:5" ht="22.5" customHeight="1">
      <c r="A8" s="396">
        <v>1</v>
      </c>
      <c r="B8" s="341" t="s">
        <v>811</v>
      </c>
      <c r="C8" s="683">
        <f>SUM(C9:C11)</f>
        <v>603778128.73146057</v>
      </c>
      <c r="D8" s="683">
        <f t="shared" ref="D8:E8" si="0">SUM(D9:D11)</f>
        <v>0</v>
      </c>
      <c r="E8" s="683">
        <f t="shared" si="0"/>
        <v>603778128.73146057</v>
      </c>
    </row>
    <row r="9" spans="1:5">
      <c r="A9" s="396">
        <v>1.1000000000000001</v>
      </c>
      <c r="B9" s="343" t="s">
        <v>85</v>
      </c>
      <c r="C9" s="681">
        <v>98471877.86999999</v>
      </c>
      <c r="D9" s="681"/>
      <c r="E9" s="681">
        <f>C9-D9</f>
        <v>98471877.86999999</v>
      </c>
    </row>
    <row r="10" spans="1:5">
      <c r="A10" s="396">
        <v>1.2</v>
      </c>
      <c r="B10" s="343" t="s">
        <v>86</v>
      </c>
      <c r="C10" s="681">
        <v>323170857.97000003</v>
      </c>
      <c r="D10" s="681"/>
      <c r="E10" s="681">
        <f t="shared" ref="E10:E13" si="1">C10-D10</f>
        <v>323170857.97000003</v>
      </c>
    </row>
    <row r="11" spans="1:5">
      <c r="A11" s="396">
        <v>1.3</v>
      </c>
      <c r="B11" s="343" t="s">
        <v>87</v>
      </c>
      <c r="C11" s="681">
        <v>182135392.89146048</v>
      </c>
      <c r="D11" s="681"/>
      <c r="E11" s="681">
        <f t="shared" si="1"/>
        <v>182135392.89146048</v>
      </c>
    </row>
    <row r="12" spans="1:5">
      <c r="A12" s="396">
        <v>2</v>
      </c>
      <c r="B12" s="344" t="s">
        <v>698</v>
      </c>
      <c r="C12" s="681">
        <v>584722.38</v>
      </c>
      <c r="D12" s="681"/>
      <c r="E12" s="681">
        <f>C12-D12</f>
        <v>584722.38</v>
      </c>
    </row>
    <row r="13" spans="1:5">
      <c r="A13" s="396">
        <v>2.1</v>
      </c>
      <c r="B13" s="345" t="s">
        <v>699</v>
      </c>
      <c r="C13" s="681">
        <v>584722.38</v>
      </c>
      <c r="D13" s="681"/>
      <c r="E13" s="681">
        <f t="shared" si="1"/>
        <v>584722.38</v>
      </c>
    </row>
    <row r="14" spans="1:5" ht="34.049999999999997" customHeight="1">
      <c r="A14" s="396">
        <v>3</v>
      </c>
      <c r="B14" s="346" t="s">
        <v>700</v>
      </c>
      <c r="C14" s="681"/>
      <c r="D14" s="681"/>
      <c r="E14" s="681"/>
    </row>
    <row r="15" spans="1:5" ht="32.549999999999997" customHeight="1">
      <c r="A15" s="396">
        <v>4</v>
      </c>
      <c r="B15" s="347" t="s">
        <v>701</v>
      </c>
      <c r="C15" s="681"/>
      <c r="D15" s="681"/>
      <c r="E15" s="681"/>
    </row>
    <row r="16" spans="1:5" ht="22.95" customHeight="1">
      <c r="A16" s="396">
        <v>5</v>
      </c>
      <c r="B16" s="347" t="s">
        <v>702</v>
      </c>
      <c r="C16" s="683">
        <f>SUM(C17:C19)</f>
        <v>0</v>
      </c>
      <c r="D16" s="683">
        <f t="shared" ref="D16:E16" si="2">SUM(D17:D19)</f>
        <v>0</v>
      </c>
      <c r="E16" s="683">
        <f t="shared" si="2"/>
        <v>0</v>
      </c>
    </row>
    <row r="17" spans="1:5">
      <c r="A17" s="396">
        <v>5.0999999999999996</v>
      </c>
      <c r="B17" s="348" t="s">
        <v>703</v>
      </c>
      <c r="C17" s="681"/>
      <c r="D17" s="681"/>
      <c r="E17" s="681"/>
    </row>
    <row r="18" spans="1:5">
      <c r="A18" s="396">
        <v>5.2</v>
      </c>
      <c r="B18" s="348" t="s">
        <v>538</v>
      </c>
      <c r="C18" s="681"/>
      <c r="D18" s="681"/>
      <c r="E18" s="681"/>
    </row>
    <row r="19" spans="1:5">
      <c r="A19" s="396">
        <v>5.3</v>
      </c>
      <c r="B19" s="348" t="s">
        <v>704</v>
      </c>
      <c r="C19" s="681"/>
      <c r="D19" s="681"/>
      <c r="E19" s="681"/>
    </row>
    <row r="20" spans="1:5" ht="20.399999999999999">
      <c r="A20" s="396">
        <v>6</v>
      </c>
      <c r="B20" s="346" t="s">
        <v>705</v>
      </c>
      <c r="C20" s="683">
        <f>SUM(C21:C22)</f>
        <v>3138687350.6945214</v>
      </c>
      <c r="D20" s="683">
        <f t="shared" ref="D20:E20" si="3">SUM(D21:D22)</f>
        <v>0</v>
      </c>
      <c r="E20" s="683">
        <f t="shared" si="3"/>
        <v>3138687350.6945214</v>
      </c>
    </row>
    <row r="21" spans="1:5">
      <c r="A21" s="396">
        <v>6.1</v>
      </c>
      <c r="B21" s="348" t="s">
        <v>538</v>
      </c>
      <c r="C21" s="293">
        <v>68067109.349999994</v>
      </c>
      <c r="D21" s="293"/>
      <c r="E21" s="293">
        <f>C21-D21</f>
        <v>68067109.349999994</v>
      </c>
    </row>
    <row r="22" spans="1:5">
      <c r="A22" s="396">
        <v>6.2</v>
      </c>
      <c r="B22" s="348" t="s">
        <v>704</v>
      </c>
      <c r="C22" s="293">
        <v>3070620241.3445215</v>
      </c>
      <c r="D22" s="293"/>
      <c r="E22" s="293">
        <f t="shared" ref="E22:E23" si="4">C22-D22</f>
        <v>3070620241.3445215</v>
      </c>
    </row>
    <row r="23" spans="1:5" ht="20.399999999999999">
      <c r="A23" s="396">
        <v>7</v>
      </c>
      <c r="B23" s="349" t="s">
        <v>706</v>
      </c>
      <c r="C23" s="682">
        <v>3721085.11</v>
      </c>
      <c r="D23" s="682"/>
      <c r="E23" s="293">
        <f t="shared" si="4"/>
        <v>3721085.11</v>
      </c>
    </row>
    <row r="24" spans="1:5" ht="20.399999999999999">
      <c r="A24" s="396">
        <v>8</v>
      </c>
      <c r="B24" s="350" t="s">
        <v>707</v>
      </c>
      <c r="C24" s="682"/>
      <c r="D24" s="682"/>
      <c r="E24" s="682"/>
    </row>
    <row r="25" spans="1:5">
      <c r="A25" s="396">
        <v>9</v>
      </c>
      <c r="B25" s="347" t="s">
        <v>708</v>
      </c>
      <c r="C25" s="684">
        <f>SUM(C26:C27)</f>
        <v>55533762.390000008</v>
      </c>
      <c r="D25" s="684">
        <f t="shared" ref="D25:E25" si="5">SUM(D26:D27)</f>
        <v>0</v>
      </c>
      <c r="E25" s="684">
        <f t="shared" si="5"/>
        <v>55533762.390000008</v>
      </c>
    </row>
    <row r="26" spans="1:5">
      <c r="A26" s="396">
        <v>9.1</v>
      </c>
      <c r="B26" s="351" t="s">
        <v>709</v>
      </c>
      <c r="C26" s="682">
        <v>55533762.390000008</v>
      </c>
      <c r="D26" s="682"/>
      <c r="E26" s="682">
        <f>C26-D26</f>
        <v>55533762.390000008</v>
      </c>
    </row>
    <row r="27" spans="1:5">
      <c r="A27" s="396">
        <v>9.1999999999999993</v>
      </c>
      <c r="B27" s="351" t="s">
        <v>710</v>
      </c>
      <c r="C27" s="682"/>
      <c r="D27" s="682"/>
      <c r="E27" s="682"/>
    </row>
    <row r="28" spans="1:5">
      <c r="A28" s="396">
        <v>10</v>
      </c>
      <c r="B28" s="347" t="s">
        <v>36</v>
      </c>
      <c r="C28" s="684">
        <f>SUM(C29:C30)</f>
        <v>40661044.859999985</v>
      </c>
      <c r="D28" s="684">
        <f t="shared" ref="D28:E28" si="6">SUM(D29:D30)</f>
        <v>40661044.859999985</v>
      </c>
      <c r="E28" s="684">
        <f t="shared" si="6"/>
        <v>0</v>
      </c>
    </row>
    <row r="29" spans="1:5">
      <c r="A29" s="396">
        <v>10.1</v>
      </c>
      <c r="B29" s="351" t="s">
        <v>711</v>
      </c>
      <c r="C29" s="682"/>
      <c r="D29" s="682"/>
      <c r="E29" s="682"/>
    </row>
    <row r="30" spans="1:5">
      <c r="A30" s="396">
        <v>10.199999999999999</v>
      </c>
      <c r="B30" s="351" t="s">
        <v>712</v>
      </c>
      <c r="C30" s="682">
        <v>40661044.859999985</v>
      </c>
      <c r="D30" s="682">
        <v>40661044.859999985</v>
      </c>
      <c r="E30" s="682">
        <f>C30-D30</f>
        <v>0</v>
      </c>
    </row>
    <row r="31" spans="1:5">
      <c r="A31" s="396">
        <v>11</v>
      </c>
      <c r="B31" s="347" t="s">
        <v>713</v>
      </c>
      <c r="C31" s="684">
        <f>SUM(C32:C33)</f>
        <v>0</v>
      </c>
      <c r="D31" s="684">
        <f t="shared" ref="D31:E31" si="7">SUM(D32:D33)</f>
        <v>0</v>
      </c>
      <c r="E31" s="684">
        <f t="shared" si="7"/>
        <v>0</v>
      </c>
    </row>
    <row r="32" spans="1:5">
      <c r="A32" s="396">
        <v>11.1</v>
      </c>
      <c r="B32" s="351" t="s">
        <v>714</v>
      </c>
      <c r="C32" s="682"/>
      <c r="D32" s="682"/>
      <c r="E32" s="682">
        <f>C32-D32</f>
        <v>0</v>
      </c>
    </row>
    <row r="33" spans="1:7">
      <c r="A33" s="396">
        <v>11.2</v>
      </c>
      <c r="B33" s="351" t="s">
        <v>715</v>
      </c>
      <c r="C33" s="682"/>
      <c r="D33" s="682"/>
      <c r="E33" s="682"/>
    </row>
    <row r="34" spans="1:7">
      <c r="A34" s="396">
        <v>13</v>
      </c>
      <c r="B34" s="347" t="s">
        <v>88</v>
      </c>
      <c r="C34" s="685">
        <v>59668757.130000003</v>
      </c>
      <c r="D34" s="685"/>
      <c r="E34" s="685">
        <f>C34-D34</f>
        <v>59668757.130000003</v>
      </c>
    </row>
    <row r="35" spans="1:7">
      <c r="A35" s="396">
        <v>13.1</v>
      </c>
      <c r="B35" s="352" t="s">
        <v>716</v>
      </c>
      <c r="C35" s="293">
        <v>32854683.049999997</v>
      </c>
      <c r="D35" s="293"/>
      <c r="E35" s="293">
        <f>C35-D35</f>
        <v>32854683.049999997</v>
      </c>
    </row>
    <row r="36" spans="1:7">
      <c r="A36" s="396">
        <v>13.2</v>
      </c>
      <c r="B36" s="352" t="s">
        <v>717</v>
      </c>
      <c r="C36" s="397"/>
      <c r="D36" s="397"/>
      <c r="E36" s="397"/>
    </row>
    <row r="37" spans="1:7" ht="42" thickBot="1">
      <c r="A37" s="209"/>
      <c r="B37" s="210" t="s">
        <v>308</v>
      </c>
      <c r="C37" s="170">
        <f>SUM(C8,C12,C14,C15,C16,C20,C23,C24,C25,C28,C31,C34)</f>
        <v>3902634851.2959824</v>
      </c>
      <c r="D37" s="170">
        <f t="shared" ref="D37:E37" si="8">SUM(D8,D12,D14,D15,D16,D20,D23,D24,D25,D28,D31,D34)</f>
        <v>40661044.859999985</v>
      </c>
      <c r="E37" s="170">
        <f t="shared" si="8"/>
        <v>3861973806.4359822</v>
      </c>
    </row>
    <row r="38" spans="1:7">
      <c r="A38"/>
      <c r="B38"/>
      <c r="C38"/>
      <c r="D38"/>
      <c r="E38"/>
    </row>
    <row r="39" spans="1:7">
      <c r="A39"/>
      <c r="B39"/>
      <c r="C39"/>
      <c r="D39"/>
      <c r="E39"/>
    </row>
    <row r="41" spans="1:7" s="1" customFormat="1">
      <c r="B41" s="27"/>
      <c r="F41"/>
      <c r="G41"/>
    </row>
    <row r="42" spans="1:7" s="1" customFormat="1">
      <c r="B42" s="28"/>
      <c r="F42"/>
      <c r="G42"/>
    </row>
    <row r="43" spans="1:7" s="1" customFormat="1">
      <c r="B43" s="27"/>
      <c r="F43"/>
      <c r="G43"/>
    </row>
    <row r="44" spans="1:7" s="1" customFormat="1">
      <c r="B44" s="27"/>
      <c r="F44"/>
      <c r="G44"/>
    </row>
    <row r="45" spans="1:7" s="1" customFormat="1">
      <c r="B45" s="27"/>
      <c r="F45"/>
      <c r="G45"/>
    </row>
    <row r="46" spans="1:7" s="1" customFormat="1">
      <c r="B46" s="27"/>
      <c r="F46"/>
      <c r="G46"/>
    </row>
    <row r="47" spans="1:7" s="1" customFormat="1">
      <c r="B47" s="27"/>
      <c r="F47"/>
      <c r="G47"/>
    </row>
    <row r="48" spans="1:7"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C10" sqref="C10:C11"/>
    </sheetView>
  </sheetViews>
  <sheetFormatPr defaultRowHeight="14.4" outlineLevelRow="1"/>
  <cols>
    <col min="1" max="1" width="9.5546875" style="1" bestFit="1" customWidth="1"/>
    <col min="2" max="2" width="114.21875" style="1" customWidth="1"/>
    <col min="3" max="3" width="18.77734375" customWidth="1"/>
    <col min="4" max="4" width="25.44140625" customWidth="1"/>
    <col min="5" max="5" width="24.21875" customWidth="1"/>
    <col min="6" max="6" width="24" customWidth="1"/>
    <col min="7" max="7" width="10" bestFit="1" customWidth="1"/>
    <col min="8" max="8" width="12" bestFit="1" customWidth="1"/>
    <col min="9" max="9" width="12.5546875" bestFit="1" customWidth="1"/>
  </cols>
  <sheetData>
    <row r="1" spans="1:6">
      <c r="A1" s="13" t="s">
        <v>97</v>
      </c>
      <c r="B1" s="12" t="str">
        <f>Info!C2</f>
        <v>სს "კრედო ბანკი"</v>
      </c>
    </row>
    <row r="2" spans="1:6" s="13" customFormat="1" ht="15.75" customHeight="1">
      <c r="A2" s="13" t="s">
        <v>98</v>
      </c>
      <c r="B2" s="276">
        <f>'1. key ratios'!B2</f>
        <v>46022</v>
      </c>
      <c r="C2"/>
      <c r="D2"/>
      <c r="E2"/>
      <c r="F2"/>
    </row>
    <row r="3" spans="1:6" s="13" customFormat="1" ht="15.75" customHeight="1">
      <c r="C3"/>
      <c r="D3"/>
      <c r="E3"/>
      <c r="F3"/>
    </row>
    <row r="4" spans="1:6" s="13" customFormat="1" ht="28.2" thickBot="1">
      <c r="A4" s="13" t="s">
        <v>245</v>
      </c>
      <c r="B4" s="104" t="s">
        <v>160</v>
      </c>
      <c r="C4" s="98" t="s">
        <v>76</v>
      </c>
      <c r="D4"/>
      <c r="E4"/>
      <c r="F4"/>
    </row>
    <row r="5" spans="1:6">
      <c r="A5" s="99">
        <v>1</v>
      </c>
      <c r="B5" s="100" t="s">
        <v>695</v>
      </c>
      <c r="C5" s="139">
        <f>'7. LI1'!E37</f>
        <v>3861973806.4359822</v>
      </c>
    </row>
    <row r="6" spans="1:6">
      <c r="A6" s="57">
        <v>2.1</v>
      </c>
      <c r="B6" s="106" t="s">
        <v>829</v>
      </c>
      <c r="C6" s="140">
        <v>444848817</v>
      </c>
    </row>
    <row r="7" spans="1:6" s="2" customFormat="1" ht="27.6" outlineLevel="1">
      <c r="A7" s="105">
        <v>2.2000000000000002</v>
      </c>
      <c r="B7" s="101" t="s">
        <v>830</v>
      </c>
      <c r="C7" s="141">
        <v>412455000</v>
      </c>
    </row>
    <row r="8" spans="1:6" s="2" customFormat="1" ht="27.6">
      <c r="A8" s="105">
        <v>3</v>
      </c>
      <c r="B8" s="102" t="s">
        <v>696</v>
      </c>
      <c r="C8" s="142">
        <f>SUM(C5:C7)</f>
        <v>4719277623.4359818</v>
      </c>
    </row>
    <row r="9" spans="1:6">
      <c r="A9" s="57">
        <v>4</v>
      </c>
      <c r="B9" s="109" t="s">
        <v>158</v>
      </c>
      <c r="C9" s="140"/>
    </row>
    <row r="10" spans="1:6" s="2" customFormat="1" ht="27.6" outlineLevel="1">
      <c r="A10" s="105">
        <v>5.0999999999999996</v>
      </c>
      <c r="B10" s="101" t="s">
        <v>164</v>
      </c>
      <c r="C10" s="141">
        <v>-322700796.69999999</v>
      </c>
    </row>
    <row r="11" spans="1:6" s="2" customFormat="1" ht="27.6" outlineLevel="1">
      <c r="A11" s="105">
        <v>5.2</v>
      </c>
      <c r="B11" s="101" t="s">
        <v>165</v>
      </c>
      <c r="C11" s="141">
        <v>-409926996.45481437</v>
      </c>
    </row>
    <row r="12" spans="1:6" s="2" customFormat="1">
      <c r="A12" s="105">
        <v>6</v>
      </c>
      <c r="B12" s="107" t="s">
        <v>995</v>
      </c>
      <c r="C12" s="141"/>
    </row>
    <row r="13" spans="1:6" s="2" customFormat="1" ht="15" thickBot="1">
      <c r="A13" s="108">
        <v>7</v>
      </c>
      <c r="B13" s="103" t="s">
        <v>159</v>
      </c>
      <c r="C13" s="143">
        <f>SUM(C8:C12)</f>
        <v>3986649830.2811675</v>
      </c>
    </row>
    <row r="15" spans="1:6">
      <c r="B15" s="17"/>
    </row>
    <row r="16" spans="1:6">
      <c r="C16" s="686"/>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Ywn70IyFq8jQYPPRYq7XpqTWvGWuUIodxIo8ehQYhqc=</DigestValue>
    </Reference>
    <Reference Type="http://www.w3.org/2000/09/xmldsig#Object" URI="#idOfficeObject">
      <DigestMethod Algorithm="http://www.w3.org/2001/04/xmlenc#sha256"/>
      <DigestValue>8mDBBZZ2lRuldgC50a9v7pUBVFdEhFbdn2exSUHtvig=</DigestValue>
    </Reference>
    <Reference Type="http://uri.etsi.org/01903#SignedProperties" URI="#idSignedProperties">
      <Transforms>
        <Transform Algorithm="http://www.w3.org/TR/2001/REC-xml-c14n-20010315"/>
      </Transforms>
      <DigestMethod Algorithm="http://www.w3.org/2001/04/xmlenc#sha256"/>
      <DigestValue>aqurzKtep4v/iY8sQYgeb8ykJIMSgTA3A7a6I4gpNUg=</DigestValue>
    </Reference>
  </SignedInfo>
  <SignatureValue>6ISqLQxF9p/kJvfHwiR5X57r4NNW7j2KVxTJ7UPPMMUuW2tlru6mAFLTV6MLNbkQYE7kfyK/7oMf
BXC5QBBnMOomrtg9JW+0IhinR4lH8ICFqW2LFJSrtq2ItwNKZGexe0bb10i7b7ROBje9VFEaS53X
MQieAdEKtlqkgGEAIIDL240utC8JkjUZSAOl8DkHtoQAo6Zjq2ddpNhEKA1oSrmYO/6YPjyo2v+g
/g+1NJCVG7XpSFXlPNXEEj4SHIcXep3M4iDn+3aCo2/zPgV4V51wwnbPXEb+Jy/3RG9EqnQADA/P
zWdPHxiS1oKJ0iOiQDVukLAp9sB7xSX3/sRJuA==</SignatureValue>
  <KeyInfo>
    <X509Data>
      <X509Certificate>MIIGKzCCBROgAwIBAgIKJ40y3AAEAAKI8TANBgkqhkiG9w0BAQsFADBKMRIwEAYKCZImiZPyLGQBGRYCZ2UxEzARBgoJkiaJk/IsZAEZFgNuYmcxHzAdBgNVBAMTFk5CRyBDbGFzcyAyIElOVCBTdWIgQ0EwHhcNMjUwNjMwMDczNDQ4WhcNMjcwNjMwMDczNDQ4WjApMScwJQYDVQQDEx5CQ0QgLSBLb25zdGFudGluZSBHaGFtYmFzaGlkemUwggEiMA0GCSqGSIb3DQEBAQUAA4IBDwAwggEKAoIBAQDp+8svDO5/CWsNWcoY4JcK1WBL+1emG9Kjybiy/UFmdLQlZjNEIXZQuPQDB3l8lGifPu2MKhEVn4pSWM96ENL/s3ow4Kn0EcUaZg/Wib3Vv3Zrqsvqnc9sORLf6wAwjrJq6WdMsP73+KUQPB8dFoDzAzKTuxIjHd4wk/ehOqjmuDXkeZUWUO0SoOSSf+9zaiIKJfHk78fTo2PLVILR8LBcREHKMOkqfEvI2ZAzyU8ZbTfQCUuPuA+tP9Rg8qwbyHs3oB9PMOFyV6rcA+K3O73hOwig2phvHz5FsOBK8Um8U8pnj7FwdNVykTG9IuJ4k0abryk4O0DfiJKBwIgjVQMRAgMBAAGjggMyMIIDLjA8BgkrBgEEAYI3FQcELzAtBiUrBgEEAYI3FQjmsmCDjfVEhoGZCYO4oUqDvoRxBIPEkTOEg4hdAgFkAgEjMB0GA1UdJQQWMBQGCCsGAQUFBwMCBggrBgEFBQcDBDALBgNVHQ8EBAMCB4AwJwYJKwYBBAGCNxUKBBowGDAKBggrBgEFBQcDAjAKBggrBgEFBQcDBDAdBgNVHQ4EFgQUMdNFy5GzIzAwJEakNbOCs8N27Hs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J3ihD8LaacrVnsHjHrRYobo+5IAtEEzQzFEVXymIXShx9rOvpyiubjqjWnNFH8PRthCx4f7ygT9RAkjY5o3nLnjZVsapunkubFkpqGnrXzqwqroDAC7r90eMNsyZZbpWwUAFD5Y6e9Sx/++lfOp6FkHoX2cwS+fXDYT9ZOuFZc5eCAG18vr3mrn64cUob3He7gjGkGnx1vkjtzp+0V213dqtFVjGxQjZQz7Add8GCNFg3KnFW91Ihrd2rI4w32xavXu5cZU+FimHpvnBUBqDYy/vN/jn7BAu2CRdrjwCDvgun6l1dr89IojTity3ldh8BPlzQhjBCLULzK/lgMkif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9"/>
            <mdssi:RelationshipReference xmlns:mdssi="http://schemas.openxmlformats.org/package/2006/digital-signature" SourceId="rId41"/>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OQ7Zn+wvRnmzXFJ7q8p/FIFCfFVXGJf7ZRQPH7GpZQ4=</DigestValue>
      </Reference>
      <Reference URI="/xl/calcChain.xml?ContentType=application/vnd.openxmlformats-officedocument.spreadsheetml.calcChain+xml">
        <DigestMethod Algorithm="http://www.w3.org/2001/04/xmlenc#sha256"/>
        <DigestValue>4YZFmJhNXa2ZYZaN6ClJODnQabjQx1jUsw2cN1lK4d0=</DigestValue>
      </Reference>
      <Reference URI="/xl/comments1.xml?ContentType=application/vnd.openxmlformats-officedocument.spreadsheetml.comments+xml">
        <DigestMethod Algorithm="http://www.w3.org/2001/04/xmlenc#sha256"/>
        <DigestValue>D1ZJOUA+rSHcom9m3ySIHuX7CboEvAibeubIv/6JwCs=</DigestValue>
      </Reference>
      <Reference URI="/xl/drawings/drawing1.xml?ContentType=application/vnd.openxmlformats-officedocument.drawing+xml">
        <DigestMethod Algorithm="http://www.w3.org/2001/04/xmlenc#sha256"/>
        <DigestValue>R1LJm+AhlNP5akpTq67x0rdMG+aWVkGYuvUF1YgTbNw=</DigestValue>
      </Reference>
      <Reference URI="/xl/drawings/vmlDrawing1.vml?ContentType=application/vnd.openxmlformats-officedocument.vmlDrawing">
        <DigestMethod Algorithm="http://www.w3.org/2001/04/xmlenc#sha256"/>
        <DigestValue>YeLyGFrTmqzQHUQPgxynTn9Z43LkZGu7npeFJV2FrEk=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duubOe2hszSbSRLCn2oJ6H18uXkLn40+et39wJcQpv0=</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Y+0lXMWh3Pty5id//Rtc5GBm0xeMGWJw6oNabw34gvU=</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MJIRMH6v0QbwIZ2crvLbVFsWHVPKbvRmYE6dtOyV+00=</DigestValue>
      </Reference>
      <Reference URI="/xl/externalLinks/externalLink3.xml?ContentType=application/vnd.openxmlformats-officedocument.spreadsheetml.externalLink+xml">
        <DigestMethod Algorithm="http://www.w3.org/2001/04/xmlenc#sha256"/>
        <DigestValue>Pm9glGcq5uLC+iQO5PWPO1RxTb84Y5fwanBcRLRtMC4=</DigestValue>
      </Reference>
      <Reference URI="/xl/externalLinks/externalLink4.xml?ContentType=application/vnd.openxmlformats-officedocument.spreadsheetml.externalLink+xml">
        <DigestMethod Algorithm="http://www.w3.org/2001/04/xmlenc#sha256"/>
        <DigestValue>53YeaXFcHe3Q2aue/NluwglauvPXuBIS+ctAZfjkc54=</DigestValue>
      </Reference>
      <Reference URI="/xl/externalLinks/externalLink5.xml?ContentType=application/vnd.openxmlformats-officedocument.spreadsheetml.externalLink+xml">
        <DigestMethod Algorithm="http://www.w3.org/2001/04/xmlenc#sha256"/>
        <DigestValue>1Nr1IxEr6T1RXXysaETfk+2TFlZO07TpouaBU4+ti+4=</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ar6hk/aRBhJ3Q7h1Xd48HWTe7Gl3RUqECzD058YGBrM=</DigestValue>
      </Reference>
      <Reference URI="/xl/printerSettings/printerSettings17.bin?ContentType=application/vnd.openxmlformats-officedocument.spreadsheetml.printerSettings">
        <DigestMethod Algorithm="http://www.w3.org/2001/04/xmlenc#sha256"/>
        <DigestValue>ze+MZOtihPj9dKeV/Dz5QESpeY6Fdwmnkxhrh69STxA=</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EKGprfHc+H/gyzRZZBHrFfPlu2WlrJ3b9VoWeQJrTNM=</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8l87uJHZs9blKxSjRrCgm5Qepcj4KYt0XeEPDE8QrEY=</DigestValue>
      </Reference>
      <Reference URI="/xl/styles.xml?ContentType=application/vnd.openxmlformats-officedocument.spreadsheetml.styles+xml">
        <DigestMethod Algorithm="http://www.w3.org/2001/04/xmlenc#sha256"/>
        <DigestValue>9GzLfXzB2w2RfHo2arkk+TZpGPmTTF3tykD77UysSCM=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HENEsp0ZHUryuU8hWvjRmY8FmyXsCuO7t1z2aWNo0vc=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uBCsLoCeDaoZuHLizZacnRXpOOOOxk0iSLefQ5jFwpo=</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fpOgArew+CZlleh7lZXmCvU98fV7+XRsFgoe1aeMB0A=</DigestValue>
      </Reference>
      <Reference URI="/xl/worksheets/sheet10.xml?ContentType=application/vnd.openxmlformats-officedocument.spreadsheetml.worksheet+xml">
        <DigestMethod Algorithm="http://www.w3.org/2001/04/xmlenc#sha256"/>
        <DigestValue>6hG7szbg1Y7SKw3aBsoP/DCx0AGAXBh2Ok7OoEVfgVY=</DigestValue>
      </Reference>
      <Reference URI="/xl/worksheets/sheet11.xml?ContentType=application/vnd.openxmlformats-officedocument.spreadsheetml.worksheet+xml">
        <DigestMethod Algorithm="http://www.w3.org/2001/04/xmlenc#sha256"/>
        <DigestValue>4P0Dl35FiD2LUs+gda0nGoSzPl30Qiu3grs7y59BbKk=</DigestValue>
      </Reference>
      <Reference URI="/xl/worksheets/sheet12.xml?ContentType=application/vnd.openxmlformats-officedocument.spreadsheetml.worksheet+xml">
        <DigestMethod Algorithm="http://www.w3.org/2001/04/xmlenc#sha256"/>
        <DigestValue>8HLSymPXRQHPleHjwlzrVSWxqBHOrIqPhwXY4p+oF/c=</DigestValue>
      </Reference>
      <Reference URI="/xl/worksheets/sheet13.xml?ContentType=application/vnd.openxmlformats-officedocument.spreadsheetml.worksheet+xml">
        <DigestMethod Algorithm="http://www.w3.org/2001/04/xmlenc#sha256"/>
        <DigestValue>nkJ6V7gYdmBizBBnDCANLRYxdwsBtRYzbOJYrZ8HAIo=</DigestValue>
      </Reference>
      <Reference URI="/xl/worksheets/sheet14.xml?ContentType=application/vnd.openxmlformats-officedocument.spreadsheetml.worksheet+xml">
        <DigestMethod Algorithm="http://www.w3.org/2001/04/xmlenc#sha256"/>
        <DigestValue>Ebf+8RB0n+tPBBtZLkB+ERTfF6dL3yA6I5pbVseGrEY=</DigestValue>
      </Reference>
      <Reference URI="/xl/worksheets/sheet15.xml?ContentType=application/vnd.openxmlformats-officedocument.spreadsheetml.worksheet+xml">
        <DigestMethod Algorithm="http://www.w3.org/2001/04/xmlenc#sha256"/>
        <DigestValue>9as8sn/pBw5zeVbOW902hee6WKxxDefxX6HHr1/QTA4=</DigestValue>
      </Reference>
      <Reference URI="/xl/worksheets/sheet16.xml?ContentType=application/vnd.openxmlformats-officedocument.spreadsheetml.worksheet+xml">
        <DigestMethod Algorithm="http://www.w3.org/2001/04/xmlenc#sha256"/>
        <DigestValue>BhBUoiAI4mkfjaaPWdFwBq5TIhmSJmcqTiDwzGJ/bIc=</DigestValue>
      </Reference>
      <Reference URI="/xl/worksheets/sheet17.xml?ContentType=application/vnd.openxmlformats-officedocument.spreadsheetml.worksheet+xml">
        <DigestMethod Algorithm="http://www.w3.org/2001/04/xmlenc#sha256"/>
        <DigestValue>4JhRGck+5kZ9HmlgekMSlLrokCkHvW5z/eAlDNFmVEk=</DigestValue>
      </Reference>
      <Reference URI="/xl/worksheets/sheet18.xml?ContentType=application/vnd.openxmlformats-officedocument.spreadsheetml.worksheet+xml">
        <DigestMethod Algorithm="http://www.w3.org/2001/04/xmlenc#sha256"/>
        <DigestValue>Qb+qtlIE1GL5oep9zDvFhFUpcONrJdKCrLemyBxDJzw=</DigestValue>
      </Reference>
      <Reference URI="/xl/worksheets/sheet19.xml?ContentType=application/vnd.openxmlformats-officedocument.spreadsheetml.worksheet+xml">
        <DigestMethod Algorithm="http://www.w3.org/2001/04/xmlenc#sha256"/>
        <DigestValue>0zeUla2XmUOLq3x5ZVwo11fUzOupW+VYEZihZZ6cH4o=</DigestValue>
      </Reference>
      <Reference URI="/xl/worksheets/sheet2.xml?ContentType=application/vnd.openxmlformats-officedocument.spreadsheetml.worksheet+xml">
        <DigestMethod Algorithm="http://www.w3.org/2001/04/xmlenc#sha256"/>
        <DigestValue>nj28mG6rdJ+mljWXnBk/WRrR1sGDstMsELIiPCzVJG8=</DigestValue>
      </Reference>
      <Reference URI="/xl/worksheets/sheet20.xml?ContentType=application/vnd.openxmlformats-officedocument.spreadsheetml.worksheet+xml">
        <DigestMethod Algorithm="http://www.w3.org/2001/04/xmlenc#sha256"/>
        <DigestValue>M60BRFC9s7JsjdVzHuYHBiIVy3JOAgkq0iK/fOxwbtc=</DigestValue>
      </Reference>
      <Reference URI="/xl/worksheets/sheet21.xml?ContentType=application/vnd.openxmlformats-officedocument.spreadsheetml.worksheet+xml">
        <DigestMethod Algorithm="http://www.w3.org/2001/04/xmlenc#sha256"/>
        <DigestValue>vTej+ovOp4SHDaYoYj2fjj8htpvktDTpqLCcGIOeeco=</DigestValue>
      </Reference>
      <Reference URI="/xl/worksheets/sheet22.xml?ContentType=application/vnd.openxmlformats-officedocument.spreadsheetml.worksheet+xml">
        <DigestMethod Algorithm="http://www.w3.org/2001/04/xmlenc#sha256"/>
        <DigestValue>/aClRhPexGUJKURNEAJlIcA5n38aqjYfHDFN8Lif/os=</DigestValue>
      </Reference>
      <Reference URI="/xl/worksheets/sheet23.xml?ContentType=application/vnd.openxmlformats-officedocument.spreadsheetml.worksheet+xml">
        <DigestMethod Algorithm="http://www.w3.org/2001/04/xmlenc#sha256"/>
        <DigestValue>kSu9hjDe2KeTlCT+sZhG5wICgeDOCpNeh5BmiMndYiM=</DigestValue>
      </Reference>
      <Reference URI="/xl/worksheets/sheet24.xml?ContentType=application/vnd.openxmlformats-officedocument.spreadsheetml.worksheet+xml">
        <DigestMethod Algorithm="http://www.w3.org/2001/04/xmlenc#sha256"/>
        <DigestValue>Gac93oDZetK96eh3gIFT77SqxfiJlWERQBAJFfcXkag=</DigestValue>
      </Reference>
      <Reference URI="/xl/worksheets/sheet25.xml?ContentType=application/vnd.openxmlformats-officedocument.spreadsheetml.worksheet+xml">
        <DigestMethod Algorithm="http://www.w3.org/2001/04/xmlenc#sha256"/>
        <DigestValue>2J/OUoZEWnLDtJEwCTPYx0KiSSDdJkGkGNKx5v0iikc=</DigestValue>
      </Reference>
      <Reference URI="/xl/worksheets/sheet26.xml?ContentType=application/vnd.openxmlformats-officedocument.spreadsheetml.worksheet+xml">
        <DigestMethod Algorithm="http://www.w3.org/2001/04/xmlenc#sha256"/>
        <DigestValue>1AIoGYJtRGRS2Wx9TyDhtohIvtyQNnNHvXlLsciefq8=</DigestValue>
      </Reference>
      <Reference URI="/xl/worksheets/sheet27.xml?ContentType=application/vnd.openxmlformats-officedocument.spreadsheetml.worksheet+xml">
        <DigestMethod Algorithm="http://www.w3.org/2001/04/xmlenc#sha256"/>
        <DigestValue>eTZldEuO5j9u4dnN0MYaEc+qMlJ6ZEz7YFoABpyi4Zc=</DigestValue>
      </Reference>
      <Reference URI="/xl/worksheets/sheet28.xml?ContentType=application/vnd.openxmlformats-officedocument.spreadsheetml.worksheet+xml">
        <DigestMethod Algorithm="http://www.w3.org/2001/04/xmlenc#sha256"/>
        <DigestValue>8QsD+xLT2EGRxqRcCmkAmON+CYFFJEMkc4/rUKKqcfI=</DigestValue>
      </Reference>
      <Reference URI="/xl/worksheets/sheet29.xml?ContentType=application/vnd.openxmlformats-officedocument.spreadsheetml.worksheet+xml">
        <DigestMethod Algorithm="http://www.w3.org/2001/04/xmlenc#sha256"/>
        <DigestValue>G8GKil3TuHlesJDHRYeR+d4I9DB7HO1k7zvLqg2/L98=</DigestValue>
      </Reference>
      <Reference URI="/xl/worksheets/sheet3.xml?ContentType=application/vnd.openxmlformats-officedocument.spreadsheetml.worksheet+xml">
        <DigestMethod Algorithm="http://www.w3.org/2001/04/xmlenc#sha256"/>
        <DigestValue>8Z5Qgt/t0/umTPi5153E4ovCkmCrgHSwKaUNWE1Aq/Y=</DigestValue>
      </Reference>
      <Reference URI="/xl/worksheets/sheet30.xml?ContentType=application/vnd.openxmlformats-officedocument.spreadsheetml.worksheet+xml">
        <DigestMethod Algorithm="http://www.w3.org/2001/04/xmlenc#sha256"/>
        <DigestValue>xVraSrKl+Z3q7i3Prnqq3fHbG8eEPxAxsaAn1qzoiQo=</DigestValue>
      </Reference>
      <Reference URI="/xl/worksheets/sheet31.xml?ContentType=application/vnd.openxmlformats-officedocument.spreadsheetml.worksheet+xml">
        <DigestMethod Algorithm="http://www.w3.org/2001/04/xmlenc#sha256"/>
        <DigestValue>Vo9enhM2oLyVYiXZ/ATfqW0/SV1TFz0xMrDSv94cqjI=</DigestValue>
      </Reference>
      <Reference URI="/xl/worksheets/sheet32.xml?ContentType=application/vnd.openxmlformats-officedocument.spreadsheetml.worksheet+xml">
        <DigestMethod Algorithm="http://www.w3.org/2001/04/xmlenc#sha256"/>
        <DigestValue>dKPnSMmQ4nPx9NLl+hPavuwANfEsFyuzzMmkPiXsc+w=</DigestValue>
      </Reference>
      <Reference URI="/xl/worksheets/sheet33.xml?ContentType=application/vnd.openxmlformats-officedocument.spreadsheetml.worksheet+xml">
        <DigestMethod Algorithm="http://www.w3.org/2001/04/xmlenc#sha256"/>
        <DigestValue>n00ZPD8/nowAujN/pv/Uk/q8+gTuS6z0L8POLBOmhcA=</DigestValue>
      </Reference>
      <Reference URI="/xl/worksheets/sheet4.xml?ContentType=application/vnd.openxmlformats-officedocument.spreadsheetml.worksheet+xml">
        <DigestMethod Algorithm="http://www.w3.org/2001/04/xmlenc#sha256"/>
        <DigestValue>IYkyRNPksQXEObYFlPVocLRjVVzHDQzWRP5XGH2HRoM=</DigestValue>
      </Reference>
      <Reference URI="/xl/worksheets/sheet5.xml?ContentType=application/vnd.openxmlformats-officedocument.spreadsheetml.worksheet+xml">
        <DigestMethod Algorithm="http://www.w3.org/2001/04/xmlenc#sha256"/>
        <DigestValue>DqUhU5kJiK0fYjhCEjnKaMYpiLA4BCFnJ5BqZzvhkho=</DigestValue>
      </Reference>
      <Reference URI="/xl/worksheets/sheet6.xml?ContentType=application/vnd.openxmlformats-officedocument.spreadsheetml.worksheet+xml">
        <DigestMethod Algorithm="http://www.w3.org/2001/04/xmlenc#sha256"/>
        <DigestValue>jnlrZuq4IWPaT35jURTD0BW7WXMei3wiqt/cUQKJklo=</DigestValue>
      </Reference>
      <Reference URI="/xl/worksheets/sheet7.xml?ContentType=application/vnd.openxmlformats-officedocument.spreadsheetml.worksheet+xml">
        <DigestMethod Algorithm="http://www.w3.org/2001/04/xmlenc#sha256"/>
        <DigestValue>Ihp3cXW7HQolXqkOecnocvtW6FXY6NW3W00BLkM2BBI=</DigestValue>
      </Reference>
      <Reference URI="/xl/worksheets/sheet8.xml?ContentType=application/vnd.openxmlformats-officedocument.spreadsheetml.worksheet+xml">
        <DigestMethod Algorithm="http://www.w3.org/2001/04/xmlenc#sha256"/>
        <DigestValue>Yqr9dSIpteuKESsJmhg98HiVbBfIhUGSNl5Uz4c93ms=</DigestValue>
      </Reference>
      <Reference URI="/xl/worksheets/sheet9.xml?ContentType=application/vnd.openxmlformats-officedocument.spreadsheetml.worksheet+xml">
        <DigestMethod Algorithm="http://www.w3.org/2001/04/xmlenc#sha256"/>
        <DigestValue>ag/T76Zjku6yd+ACj5DQz0fZMwUydXwbwyd/WIDJ0CI=</DigestValue>
      </Reference>
    </Manifest>
    <SignatureProperties>
      <SignatureProperty Id="idSignatureTime" Target="#idPackageSignature">
        <mdssi:SignatureTime xmlns:mdssi="http://schemas.openxmlformats.org/package/2006/digital-signature">
          <mdssi:Format>YYYY-MM-DDThh:mm:ssTZD</mdssi:Format>
          <mdssi:Value>2026-01-28T09:38:01Z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aaaa</SignatureComments>
          <WindowsVersion>10.0</WindowsVersion>
          <OfficeVersion>16.0.19530/27</OfficeVersion>
          <ApplicationVersion>16.0.19530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2026-01-28T09:38:01Z</xd:SigningTime>
          <xd:SigningCertificate>
            <xd:Cert>
              <xd:CertDigest>
                <DigestMethod Algorithm="http://www.w3.org/2001/04/xmlenc#sha256"/>
                <DigestValue>bU55H9dcBqi3ttBbYMli7D2XBNW2C5FpDZHhp0iA0fQ=</DigestValue>
              </xd:CertDigest>
              <xd:IssuerSerial>
                <X509IssuerName>CN=NBG Class 2 INT Sub CA, DC=nbg, DC=ge</X509IssuerName>
                <X509SerialNumber>186776948550523162888433</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Created and approved this document</xd:Description>
            </xd:CommitmentTypeId>
            <xd:AllSignedDataObjects/>
            <xd:CommitmentTypeQualifiers>
              <xd:CommitmentTypeQualifier>aaaa</xd:CommitmentTypeQualifier>
            </xd:CommitmentTypeQualifiers>
          </xd:CommitmentTypeIndication>
        </xd:SignedDataObject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3CWyJZ3IF+gqfAhBXeErXjaiDiKUUKJLGH7XQD0f3tA=</DigestValue>
    </Reference>
    <Reference Type="http://www.w3.org/2000/09/xmldsig#Object" URI="#idOfficeObject">
      <DigestMethod Algorithm="http://www.w3.org/2001/04/xmlenc#sha256"/>
      <DigestValue>4pjUJSZBh6nuuY8S7vBxsow2cxEmR1zGL6PVTLgSJxY=</DigestValue>
    </Reference>
    <Reference Type="http://uri.etsi.org/01903#SignedProperties" URI="#idSignedProperties">
      <Transforms>
        <Transform Algorithm="http://www.w3.org/TR/2001/REC-xml-c14n-20010315"/>
      </Transforms>
      <DigestMethod Algorithm="http://www.w3.org/2001/04/xmlenc#sha256"/>
      <DigestValue>JyNk4UcfJs+YwHmAJkhBC9KRiaykNf4ZD+mO8T7Dpl8=</DigestValue>
    </Reference>
  </SignedInfo>
  <SignatureValue>LGGJT5yn7D+uVEAXaPCQgl2OpTbqI5UGcGGqd9N6WaFcf2NUYS4pj1PA2mULLIw2zjf0YqGCdkb3
SSFQdFG4ltrzgntqtHeoZn4OeHmzXo0Av+GCN7Nz1bnYVX6U85I3C9J/vNoYCfNptUIQW7bhTsYH
JmEdNGIhNo3bbc1+3aG87DGUfCwWAIDlX2eWfocJuFFcKlwxnYF4sfPYYjbIMKKpk+EjrzkL+eCX
4HDioZux+jPSm+WhqTzPq1DZwVQO4REqLHodoZRWmxo8iB3c5sFVlxIhiYhtF/vCBJxy+MTYKRHy
1uCj/MZxFlNN3mhYYKOYRU0Z1qATBmn35V9xng==</SignatureValue>
  <KeyInfo>
    <X509Data>
      <X509Certificate>MIIGPjCCBSagAwIBAgIKJ3JJaAAEAAKI8DANBgkqhkiG9w0BAQsFADBKMRIwEAYKCZImiZPyLGQBGRYCZ2UxEzARBgoJkiaJk/IsZAEZFgNuYmcxHzAdBgNVBAMTFk5CRyBDbGFzcyAyIElOVCBTdWIgQ0EwHhcNMjUwNjMwMDcwNTI0WhcNMjcwNjMwMDcwNTI0WjA8MRcwFQYDVQQKEw5KU0MgQ3JlZG8gQmFuazEhMB8GA1UEAxMYQkNEIC0gRXJla2xlIFphdGlhc2h2aWxpMIIBIjANBgkqhkiG9w0BAQEFAAOCAQ8AMIIBCgKCAQEA45GSJSX5XVSnf7fyLnbR9YHGUbwE3pC0CZ1t6xWXnVPHQxewtNSfXrj/GpL6eGyUOsZvc651RVi8p0i6blXuPvbI2qHF7n/jRhoZizXHrd8tzM/oaXIkgIVzFiRL3zyXihQi0VSOrz82mef0bV9jzTJdnKItiLcob8S+qZ2xIgBLDSf1ojGhz7SeB1xxEePOS561Go6s+ahrJwP9uw/s0jUQM7WxMtQN5wKJjiBYUhmM2kEiXYHVtekvAfBsAnJpcyABc/kg/4xgIpln5BbaNNb2u8sAxNtCqXX/9U6nMCqwedqD4gXd8/eyHPne9qQq0d9FmrNNnEaG+e0b51X0RwIDAQABo4IDMjCCAy4wPAYJKwYBBAGCNxUHBC8wLQYlKwYBBAGCNxUI5rJgg431RIaBmQmDuKFKg76EcQSDxJEzhIOIXQIBZAIBIzAdBgNVHSUEFjAUBggrBgEFBQcDAgYIKwYBBQUHAwQwCwYDVR0PBAQDAgeAMCcGCSsGAQQBgjcVCgQaMBgwCgYIKwYBBQUHAwIwCgYIKwYBBQUHAwQwHQYDVR0OBBYEFJNIFQVzutRSv2LCzcizQy9x8tzk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CDupBcsiReXJd6sxEhqCzqGB9pdjIsuuZYLLLseiVD0r1bfMg8g5c/EHMMP0ejeQi2MKQGPq0zG/1qDYNxJu1t/d6ALuqLW0CHiX58/jpTiX+Op6nIPI56b8va3wceRTcfOlVnbhz85UL31//oH2V+LKgGKMcIE/NVepgtQsz2plyGmtTzAtirmVmbYBk1ulUBW0xwugNPDu5vHCeLSEteN4eAcbKEU35Zjtdo4LImxka7r3K1xKGrmWnJw85V73WMRlatIekR+B9j0ZrUks50k785oza/1YE3s12bVdTCvimr3u5gFZ4pYAk9PVvxRVxz6CQLbbhDtOfKm6PYJ0cB</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41"/>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OQ7Zn+wvRnmzXFJ7q8p/FIFCfFVXGJf7ZRQPH7GpZQ4=</DigestValue>
      </Reference>
      <Reference URI="/xl/calcChain.xml?ContentType=application/vnd.openxmlformats-officedocument.spreadsheetml.calcChain+xml">
        <DigestMethod Algorithm="http://www.w3.org/2001/04/xmlenc#sha256"/>
        <DigestValue>4YZFmJhNXa2ZYZaN6ClJODnQabjQx1jUsw2cN1lK4d0=</DigestValue>
      </Reference>
      <Reference URI="/xl/comments1.xml?ContentType=application/vnd.openxmlformats-officedocument.spreadsheetml.comments+xml">
        <DigestMethod Algorithm="http://www.w3.org/2001/04/xmlenc#sha256"/>
        <DigestValue>D1ZJOUA+rSHcom9m3ySIHuX7CboEvAibeubIv/6JwCs=</DigestValue>
      </Reference>
      <Reference URI="/xl/drawings/drawing1.xml?ContentType=application/vnd.openxmlformats-officedocument.drawing+xml">
        <DigestMethod Algorithm="http://www.w3.org/2001/04/xmlenc#sha256"/>
        <DigestValue>R1LJm+AhlNP5akpTq67x0rdMG+aWVkGYuvUF1YgTbNw=</DigestValue>
      </Reference>
      <Reference URI="/xl/drawings/vmlDrawing1.vml?ContentType=application/vnd.openxmlformats-officedocument.vmlDrawing">
        <DigestMethod Algorithm="http://www.w3.org/2001/04/xmlenc#sha256"/>
        <DigestValue>YeLyGFrTmqzQHUQPgxynTn9Z43LkZGu7npeFJV2FrEk=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duubOe2hszSbSRLCn2oJ6H18uXkLn40+et39wJcQpv0=</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Y+0lXMWh3Pty5id//Rtc5GBm0xeMGWJw6oNabw34gvU=</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MJIRMH6v0QbwIZ2crvLbVFsWHVPKbvRmYE6dtOyV+00=</DigestValue>
      </Reference>
      <Reference URI="/xl/externalLinks/externalLink3.xml?ContentType=application/vnd.openxmlformats-officedocument.spreadsheetml.externalLink+xml">
        <DigestMethod Algorithm="http://www.w3.org/2001/04/xmlenc#sha256"/>
        <DigestValue>Pm9glGcq5uLC+iQO5PWPO1RxTb84Y5fwanBcRLRtMC4=</DigestValue>
      </Reference>
      <Reference URI="/xl/externalLinks/externalLink4.xml?ContentType=application/vnd.openxmlformats-officedocument.spreadsheetml.externalLink+xml">
        <DigestMethod Algorithm="http://www.w3.org/2001/04/xmlenc#sha256"/>
        <DigestValue>53YeaXFcHe3Q2aue/NluwglauvPXuBIS+ctAZfjkc54=</DigestValue>
      </Reference>
      <Reference URI="/xl/externalLinks/externalLink5.xml?ContentType=application/vnd.openxmlformats-officedocument.spreadsheetml.externalLink+xml">
        <DigestMethod Algorithm="http://www.w3.org/2001/04/xmlenc#sha256"/>
        <DigestValue>1Nr1IxEr6T1RXXysaETfk+2TFlZO07TpouaBU4+ti+4=</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ar6hk/aRBhJ3Q7h1Xd48HWTe7Gl3RUqECzD058YGBrM=</DigestValue>
      </Reference>
      <Reference URI="/xl/printerSettings/printerSettings17.bin?ContentType=application/vnd.openxmlformats-officedocument.spreadsheetml.printerSettings">
        <DigestMethod Algorithm="http://www.w3.org/2001/04/xmlenc#sha256"/>
        <DigestValue>ze+MZOtihPj9dKeV/Dz5QESpeY6Fdwmnkxhrh69STxA=</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EKGprfHc+H/gyzRZZBHrFfPlu2WlrJ3b9VoWeQJrTNM=</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8l87uJHZs9blKxSjRrCgm5Qepcj4KYt0XeEPDE8QrEY=</DigestValue>
      </Reference>
      <Reference URI="/xl/styles.xml?ContentType=application/vnd.openxmlformats-officedocument.spreadsheetml.styles+xml">
        <DigestMethod Algorithm="http://www.w3.org/2001/04/xmlenc#sha256"/>
        <DigestValue>9GzLfXzB2w2RfHo2arkk+TZpGPmTTF3tykD77UysSCM=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HENEsp0ZHUryuU8hWvjRmY8FmyXsCuO7t1z2aWNo0vc=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uBCsLoCeDaoZuHLizZacnRXpOOOOxk0iSLefQ5jFwpo=</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fpOgArew+CZlleh7lZXmCvU98fV7+XRsFgoe1aeMB0A=</DigestValue>
      </Reference>
      <Reference URI="/xl/worksheets/sheet10.xml?ContentType=application/vnd.openxmlformats-officedocument.spreadsheetml.worksheet+xml">
        <DigestMethod Algorithm="http://www.w3.org/2001/04/xmlenc#sha256"/>
        <DigestValue>6hG7szbg1Y7SKw3aBsoP/DCx0AGAXBh2Ok7OoEVfgVY=</DigestValue>
      </Reference>
      <Reference URI="/xl/worksheets/sheet11.xml?ContentType=application/vnd.openxmlformats-officedocument.spreadsheetml.worksheet+xml">
        <DigestMethod Algorithm="http://www.w3.org/2001/04/xmlenc#sha256"/>
        <DigestValue>4P0Dl35FiD2LUs+gda0nGoSzPl30Qiu3grs7y59BbKk=</DigestValue>
      </Reference>
      <Reference URI="/xl/worksheets/sheet12.xml?ContentType=application/vnd.openxmlformats-officedocument.spreadsheetml.worksheet+xml">
        <DigestMethod Algorithm="http://www.w3.org/2001/04/xmlenc#sha256"/>
        <DigestValue>8HLSymPXRQHPleHjwlzrVSWxqBHOrIqPhwXY4p+oF/c=</DigestValue>
      </Reference>
      <Reference URI="/xl/worksheets/sheet13.xml?ContentType=application/vnd.openxmlformats-officedocument.spreadsheetml.worksheet+xml">
        <DigestMethod Algorithm="http://www.w3.org/2001/04/xmlenc#sha256"/>
        <DigestValue>nkJ6V7gYdmBizBBnDCANLRYxdwsBtRYzbOJYrZ8HAIo=</DigestValue>
      </Reference>
      <Reference URI="/xl/worksheets/sheet14.xml?ContentType=application/vnd.openxmlformats-officedocument.spreadsheetml.worksheet+xml">
        <DigestMethod Algorithm="http://www.w3.org/2001/04/xmlenc#sha256"/>
        <DigestValue>Ebf+8RB0n+tPBBtZLkB+ERTfF6dL3yA6I5pbVseGrEY=</DigestValue>
      </Reference>
      <Reference URI="/xl/worksheets/sheet15.xml?ContentType=application/vnd.openxmlformats-officedocument.spreadsheetml.worksheet+xml">
        <DigestMethod Algorithm="http://www.w3.org/2001/04/xmlenc#sha256"/>
        <DigestValue>9as8sn/pBw5zeVbOW902hee6WKxxDefxX6HHr1/QTA4=</DigestValue>
      </Reference>
      <Reference URI="/xl/worksheets/sheet16.xml?ContentType=application/vnd.openxmlformats-officedocument.spreadsheetml.worksheet+xml">
        <DigestMethod Algorithm="http://www.w3.org/2001/04/xmlenc#sha256"/>
        <DigestValue>BhBUoiAI4mkfjaaPWdFwBq5TIhmSJmcqTiDwzGJ/bIc=</DigestValue>
      </Reference>
      <Reference URI="/xl/worksheets/sheet17.xml?ContentType=application/vnd.openxmlformats-officedocument.spreadsheetml.worksheet+xml">
        <DigestMethod Algorithm="http://www.w3.org/2001/04/xmlenc#sha256"/>
        <DigestValue>4JhRGck+5kZ9HmlgekMSlLrokCkHvW5z/eAlDNFmVEk=</DigestValue>
      </Reference>
      <Reference URI="/xl/worksheets/sheet18.xml?ContentType=application/vnd.openxmlformats-officedocument.spreadsheetml.worksheet+xml">
        <DigestMethod Algorithm="http://www.w3.org/2001/04/xmlenc#sha256"/>
        <DigestValue>Qb+qtlIE1GL5oep9zDvFhFUpcONrJdKCrLemyBxDJzw=</DigestValue>
      </Reference>
      <Reference URI="/xl/worksheets/sheet19.xml?ContentType=application/vnd.openxmlformats-officedocument.spreadsheetml.worksheet+xml">
        <DigestMethod Algorithm="http://www.w3.org/2001/04/xmlenc#sha256"/>
        <DigestValue>0zeUla2XmUOLq3x5ZVwo11fUzOupW+VYEZihZZ6cH4o=</DigestValue>
      </Reference>
      <Reference URI="/xl/worksheets/sheet2.xml?ContentType=application/vnd.openxmlformats-officedocument.spreadsheetml.worksheet+xml">
        <DigestMethod Algorithm="http://www.w3.org/2001/04/xmlenc#sha256"/>
        <DigestValue>nj28mG6rdJ+mljWXnBk/WRrR1sGDstMsELIiPCzVJG8=</DigestValue>
      </Reference>
      <Reference URI="/xl/worksheets/sheet20.xml?ContentType=application/vnd.openxmlformats-officedocument.spreadsheetml.worksheet+xml">
        <DigestMethod Algorithm="http://www.w3.org/2001/04/xmlenc#sha256"/>
        <DigestValue>M60BRFC9s7JsjdVzHuYHBiIVy3JOAgkq0iK/fOxwbtc=</DigestValue>
      </Reference>
      <Reference URI="/xl/worksheets/sheet21.xml?ContentType=application/vnd.openxmlformats-officedocument.spreadsheetml.worksheet+xml">
        <DigestMethod Algorithm="http://www.w3.org/2001/04/xmlenc#sha256"/>
        <DigestValue>vTej+ovOp4SHDaYoYj2fjj8htpvktDTpqLCcGIOeeco=</DigestValue>
      </Reference>
      <Reference URI="/xl/worksheets/sheet22.xml?ContentType=application/vnd.openxmlformats-officedocument.spreadsheetml.worksheet+xml">
        <DigestMethod Algorithm="http://www.w3.org/2001/04/xmlenc#sha256"/>
        <DigestValue>/aClRhPexGUJKURNEAJlIcA5n38aqjYfHDFN8Lif/os=</DigestValue>
      </Reference>
      <Reference URI="/xl/worksheets/sheet23.xml?ContentType=application/vnd.openxmlformats-officedocument.spreadsheetml.worksheet+xml">
        <DigestMethod Algorithm="http://www.w3.org/2001/04/xmlenc#sha256"/>
        <DigestValue>kSu9hjDe2KeTlCT+sZhG5wICgeDOCpNeh5BmiMndYiM=</DigestValue>
      </Reference>
      <Reference URI="/xl/worksheets/sheet24.xml?ContentType=application/vnd.openxmlformats-officedocument.spreadsheetml.worksheet+xml">
        <DigestMethod Algorithm="http://www.w3.org/2001/04/xmlenc#sha256"/>
        <DigestValue>Gac93oDZetK96eh3gIFT77SqxfiJlWERQBAJFfcXkag=</DigestValue>
      </Reference>
      <Reference URI="/xl/worksheets/sheet25.xml?ContentType=application/vnd.openxmlformats-officedocument.spreadsheetml.worksheet+xml">
        <DigestMethod Algorithm="http://www.w3.org/2001/04/xmlenc#sha256"/>
        <DigestValue>2J/OUoZEWnLDtJEwCTPYx0KiSSDdJkGkGNKx5v0iikc=</DigestValue>
      </Reference>
      <Reference URI="/xl/worksheets/sheet26.xml?ContentType=application/vnd.openxmlformats-officedocument.spreadsheetml.worksheet+xml">
        <DigestMethod Algorithm="http://www.w3.org/2001/04/xmlenc#sha256"/>
        <DigestValue>1AIoGYJtRGRS2Wx9TyDhtohIvtyQNnNHvXlLsciefq8=</DigestValue>
      </Reference>
      <Reference URI="/xl/worksheets/sheet27.xml?ContentType=application/vnd.openxmlformats-officedocument.spreadsheetml.worksheet+xml">
        <DigestMethod Algorithm="http://www.w3.org/2001/04/xmlenc#sha256"/>
        <DigestValue>eTZldEuO5j9u4dnN0MYaEc+qMlJ6ZEz7YFoABpyi4Zc=</DigestValue>
      </Reference>
      <Reference URI="/xl/worksheets/sheet28.xml?ContentType=application/vnd.openxmlformats-officedocument.spreadsheetml.worksheet+xml">
        <DigestMethod Algorithm="http://www.w3.org/2001/04/xmlenc#sha256"/>
        <DigestValue>8QsD+xLT2EGRxqRcCmkAmON+CYFFJEMkc4/rUKKqcfI=</DigestValue>
      </Reference>
      <Reference URI="/xl/worksheets/sheet29.xml?ContentType=application/vnd.openxmlformats-officedocument.spreadsheetml.worksheet+xml">
        <DigestMethod Algorithm="http://www.w3.org/2001/04/xmlenc#sha256"/>
        <DigestValue>G8GKil3TuHlesJDHRYeR+d4I9DB7HO1k7zvLqg2/L98=</DigestValue>
      </Reference>
      <Reference URI="/xl/worksheets/sheet3.xml?ContentType=application/vnd.openxmlformats-officedocument.spreadsheetml.worksheet+xml">
        <DigestMethod Algorithm="http://www.w3.org/2001/04/xmlenc#sha256"/>
        <DigestValue>8Z5Qgt/t0/umTPi5153E4ovCkmCrgHSwKaUNWE1Aq/Y=</DigestValue>
      </Reference>
      <Reference URI="/xl/worksheets/sheet30.xml?ContentType=application/vnd.openxmlformats-officedocument.spreadsheetml.worksheet+xml">
        <DigestMethod Algorithm="http://www.w3.org/2001/04/xmlenc#sha256"/>
        <DigestValue>xVraSrKl+Z3q7i3Prnqq3fHbG8eEPxAxsaAn1qzoiQo=</DigestValue>
      </Reference>
      <Reference URI="/xl/worksheets/sheet31.xml?ContentType=application/vnd.openxmlformats-officedocument.spreadsheetml.worksheet+xml">
        <DigestMethod Algorithm="http://www.w3.org/2001/04/xmlenc#sha256"/>
        <DigestValue>Vo9enhM2oLyVYiXZ/ATfqW0/SV1TFz0xMrDSv94cqjI=</DigestValue>
      </Reference>
      <Reference URI="/xl/worksheets/sheet32.xml?ContentType=application/vnd.openxmlformats-officedocument.spreadsheetml.worksheet+xml">
        <DigestMethod Algorithm="http://www.w3.org/2001/04/xmlenc#sha256"/>
        <DigestValue>dKPnSMmQ4nPx9NLl+hPavuwANfEsFyuzzMmkPiXsc+w=</DigestValue>
      </Reference>
      <Reference URI="/xl/worksheets/sheet33.xml?ContentType=application/vnd.openxmlformats-officedocument.spreadsheetml.worksheet+xml">
        <DigestMethod Algorithm="http://www.w3.org/2001/04/xmlenc#sha256"/>
        <DigestValue>n00ZPD8/nowAujN/pv/Uk/q8+gTuS6z0L8POLBOmhcA=</DigestValue>
      </Reference>
      <Reference URI="/xl/worksheets/sheet4.xml?ContentType=application/vnd.openxmlformats-officedocument.spreadsheetml.worksheet+xml">
        <DigestMethod Algorithm="http://www.w3.org/2001/04/xmlenc#sha256"/>
        <DigestValue>IYkyRNPksQXEObYFlPVocLRjVVzHDQzWRP5XGH2HRoM=</DigestValue>
      </Reference>
      <Reference URI="/xl/worksheets/sheet5.xml?ContentType=application/vnd.openxmlformats-officedocument.spreadsheetml.worksheet+xml">
        <DigestMethod Algorithm="http://www.w3.org/2001/04/xmlenc#sha256"/>
        <DigestValue>DqUhU5kJiK0fYjhCEjnKaMYpiLA4BCFnJ5BqZzvhkho=</DigestValue>
      </Reference>
      <Reference URI="/xl/worksheets/sheet6.xml?ContentType=application/vnd.openxmlformats-officedocument.spreadsheetml.worksheet+xml">
        <DigestMethod Algorithm="http://www.w3.org/2001/04/xmlenc#sha256"/>
        <DigestValue>jnlrZuq4IWPaT35jURTD0BW7WXMei3wiqt/cUQKJklo=</DigestValue>
      </Reference>
      <Reference URI="/xl/worksheets/sheet7.xml?ContentType=application/vnd.openxmlformats-officedocument.spreadsheetml.worksheet+xml">
        <DigestMethod Algorithm="http://www.w3.org/2001/04/xmlenc#sha256"/>
        <DigestValue>Ihp3cXW7HQolXqkOecnocvtW6FXY6NW3W00BLkM2BBI=</DigestValue>
      </Reference>
      <Reference URI="/xl/worksheets/sheet8.xml?ContentType=application/vnd.openxmlformats-officedocument.spreadsheetml.worksheet+xml">
        <DigestMethod Algorithm="http://www.w3.org/2001/04/xmlenc#sha256"/>
        <DigestValue>Yqr9dSIpteuKESsJmhg98HiVbBfIhUGSNl5Uz4c93ms=</DigestValue>
      </Reference>
      <Reference URI="/xl/worksheets/sheet9.xml?ContentType=application/vnd.openxmlformats-officedocument.spreadsheetml.worksheet+xml">
        <DigestMethod Algorithm="http://www.w3.org/2001/04/xmlenc#sha256"/>
        <DigestValue>ag/T76Zjku6yd+ACj5DQz0fZMwUydXwbwyd/WIDJ0CI=</DigestValue>
      </Reference>
    </Manifest>
    <SignatureProperties>
      <SignatureProperty Id="idSignatureTime" Target="#idPackageSignature">
        <mdssi:SignatureTime xmlns:mdssi="http://schemas.openxmlformats.org/package/2006/digital-signature">
          <mdssi:Format>YYYY-MM-DDThh:mm:ssTZD</mdssi:Format>
          <mdssi:Value>2026-01-29T11:03:54Z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nbg reporting</SignatureComments>
          <WindowsVersion>10.0</WindowsVersion>
          <OfficeVersion>16.0.19530/27</OfficeVersion>
          <ApplicationVersion>16.0.19530</ApplicationVersion>
          <Monitors>1</Monitors>
          <HorizontalResolution>3840</HorizontalResolution>
          <VerticalResolution>2160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2026-01-29T11:03:54Z</xd:SigningTime>
          <xd:SigningCertificate>
            <xd:Cert>
              <xd:CertDigest>
                <DigestMethod Algorithm="http://www.w3.org/2001/04/xmlenc#sha256"/>
                <DigestValue>Q7Uepn9gkBAEvbbhMzOw/ABQnlA3wu/Avda6gvXjvFg=</DigestValue>
              </xd:CertDigest>
              <xd:IssuerSerial>
                <X509IssuerName>CN=NBG Class 2 INT Sub CA, DC=nbg, DC=ge</X509IssuerName>
                <X509SerialNumber>186280511134098578901232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nbg reporting</xd:CommitmentTypeQualifier>
            </xd:CommitmentTypeQualifiers>
          </xd:CommitmentTypeIndication>
        </xd:SignedDataObject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83CD7958-928F-45CE-A0BA-C7ADC4D7D37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2026-01-28T09:35:20Z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2250bde7-4d65-43cb-a260-e37a11446c04</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