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24226"/>
  <xr:revisionPtr revIDLastSave="0" documentId="13_ncr:1_{84C70427-6587-48F6-A9E4-D5158C7AD303}" xr6:coauthVersionLast="47" xr6:coauthVersionMax="47" xr10:uidLastSave="{00000000-0000-0000-0000-000000000000}"/>
  <bookViews>
    <workbookView xWindow="-108" yWindow="-108" windowWidth="23256" windowHeight="12456" tabRatio="919" firstSheet="5" activeTab="5"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 r:id="rId38"/>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05" l="1"/>
  <c r="G26" i="80" l="1"/>
  <c r="G12" i="80" l="1"/>
  <c r="G13" i="80"/>
  <c r="M20" i="104" l="1"/>
  <c r="H20" i="104"/>
  <c r="C20" i="104"/>
  <c r="C25" i="79" l="1"/>
  <c r="C24" i="79"/>
  <c r="O6" i="37"/>
  <c r="M6" i="37"/>
  <c r="G15" i="74" l="1"/>
  <c r="F15" i="74"/>
  <c r="F22" i="74" s="1"/>
  <c r="C27" i="94" l="1"/>
  <c r="F17" i="94" l="1"/>
  <c r="F8" i="94"/>
  <c r="D45" i="93"/>
  <c r="C37" i="93" l="1"/>
  <c r="D37" i="93"/>
  <c r="D39" i="93"/>
  <c r="G45" i="93" l="1"/>
  <c r="C47" i="92" l="1"/>
  <c r="O13" i="104" l="1"/>
  <c r="O19" i="104" s="1"/>
  <c r="P13" i="104"/>
  <c r="Q13" i="104"/>
  <c r="N13" i="104"/>
  <c r="N19" i="104" s="1"/>
  <c r="P19" i="104"/>
  <c r="Q19" i="104"/>
  <c r="M18" i="104"/>
  <c r="M17" i="104"/>
  <c r="M16" i="104"/>
  <c r="M15" i="104"/>
  <c r="M14" i="104"/>
  <c r="M13" i="104"/>
  <c r="M12" i="104"/>
  <c r="M11" i="104"/>
  <c r="M10" i="104"/>
  <c r="M9" i="104"/>
  <c r="M8" i="104"/>
  <c r="M7" i="104"/>
  <c r="J13" i="104"/>
  <c r="K13" i="104"/>
  <c r="K19" i="104" s="1"/>
  <c r="L13" i="104"/>
  <c r="L19" i="104" s="1"/>
  <c r="I13" i="104"/>
  <c r="I19" i="104" s="1"/>
  <c r="J19" i="104"/>
  <c r="H8" i="104"/>
  <c r="H9" i="104"/>
  <c r="H10" i="104"/>
  <c r="H11" i="104"/>
  <c r="H12" i="104"/>
  <c r="H14" i="104"/>
  <c r="H15" i="104"/>
  <c r="H16" i="104"/>
  <c r="H17" i="104"/>
  <c r="H18" i="104"/>
  <c r="H7" i="104"/>
  <c r="E13" i="104"/>
  <c r="E19" i="104" s="1"/>
  <c r="F13" i="104"/>
  <c r="F19" i="104" s="1"/>
  <c r="G13" i="104"/>
  <c r="G19" i="104" s="1"/>
  <c r="D13" i="104"/>
  <c r="D19" i="104" s="1"/>
  <c r="C8" i="104"/>
  <c r="C9" i="104"/>
  <c r="C10" i="104"/>
  <c r="C11" i="104"/>
  <c r="C12" i="104"/>
  <c r="C14" i="104"/>
  <c r="C15" i="104"/>
  <c r="C16" i="104"/>
  <c r="C17" i="104"/>
  <c r="C18" i="104"/>
  <c r="C7" i="104"/>
  <c r="H13" i="104" l="1"/>
  <c r="H19" i="104"/>
  <c r="C13" i="104"/>
  <c r="C19" i="104" s="1"/>
  <c r="M19" i="104"/>
  <c r="C18" i="101" l="1"/>
  <c r="C19" i="101"/>
  <c r="C20" i="101"/>
  <c r="C21" i="101"/>
  <c r="C22" i="101"/>
  <c r="C17" i="101"/>
  <c r="K10" i="101"/>
  <c r="L10" i="101"/>
  <c r="M10" i="101"/>
  <c r="N10" i="101"/>
  <c r="O10" i="101"/>
  <c r="P10" i="101"/>
  <c r="Q10" i="101"/>
  <c r="R10" i="101"/>
  <c r="S10" i="101"/>
  <c r="T10" i="101"/>
  <c r="U10" i="101"/>
  <c r="V10" i="101"/>
  <c r="W10" i="101"/>
  <c r="X10" i="101"/>
  <c r="Y10" i="101"/>
  <c r="Z10" i="101"/>
  <c r="AA10" i="101"/>
  <c r="D10" i="101"/>
  <c r="E10" i="101"/>
  <c r="F10" i="101"/>
  <c r="G10" i="101"/>
  <c r="H10" i="101"/>
  <c r="I10" i="101"/>
  <c r="J10" i="101"/>
  <c r="C10" i="101"/>
  <c r="C9" i="101"/>
  <c r="C8" i="101"/>
  <c r="H8" i="102" l="1"/>
  <c r="H9" i="102"/>
  <c r="H10" i="102"/>
  <c r="H11" i="102"/>
  <c r="H12" i="102"/>
  <c r="H13" i="102"/>
  <c r="H14" i="102"/>
  <c r="H15" i="102"/>
  <c r="H16" i="102"/>
  <c r="H17" i="102"/>
  <c r="H18" i="102"/>
  <c r="H19" i="102"/>
  <c r="H20" i="102"/>
  <c r="H21" i="102"/>
  <c r="H22" i="102"/>
  <c r="H23" i="102"/>
  <c r="H24" i="102"/>
  <c r="H25" i="102"/>
  <c r="H26" i="102"/>
  <c r="H27" i="102"/>
  <c r="H28" i="102"/>
  <c r="H29" i="102"/>
  <c r="H30" i="102"/>
  <c r="H31" i="102"/>
  <c r="H32" i="102"/>
  <c r="H7" i="102"/>
  <c r="J33" i="102"/>
  <c r="K33" i="102"/>
  <c r="L33" i="102"/>
  <c r="I33" i="102"/>
  <c r="D33" i="102"/>
  <c r="E33" i="102"/>
  <c r="F33" i="102"/>
  <c r="G33" i="102"/>
  <c r="C8" i="102"/>
  <c r="C9" i="102"/>
  <c r="C10" i="102"/>
  <c r="C11" i="102"/>
  <c r="C12" i="102"/>
  <c r="C13" i="102"/>
  <c r="C14" i="102"/>
  <c r="C15" i="102"/>
  <c r="C16" i="102"/>
  <c r="C17" i="102"/>
  <c r="C18" i="102"/>
  <c r="C19" i="102"/>
  <c r="C20" i="102"/>
  <c r="C21" i="102"/>
  <c r="C22" i="102"/>
  <c r="C23" i="102"/>
  <c r="C24" i="102"/>
  <c r="C25" i="102"/>
  <c r="C26" i="102"/>
  <c r="C27" i="102"/>
  <c r="C28" i="102"/>
  <c r="C29" i="102"/>
  <c r="C30" i="102"/>
  <c r="C31" i="102"/>
  <c r="C32" i="102"/>
  <c r="C7" i="102"/>
  <c r="C22" i="100"/>
  <c r="H33" i="102" l="1"/>
  <c r="C33" i="102"/>
  <c r="C16" i="100"/>
  <c r="AA8" i="100"/>
  <c r="Z8" i="100"/>
  <c r="Y8" i="100"/>
  <c r="X8" i="100"/>
  <c r="W8" i="100"/>
  <c r="V8" i="100"/>
  <c r="U8" i="100"/>
  <c r="T8" i="100"/>
  <c r="S8" i="100"/>
  <c r="R8" i="100"/>
  <c r="Q8" i="100"/>
  <c r="P8" i="100"/>
  <c r="N8" i="100"/>
  <c r="M8" i="100"/>
  <c r="K8" i="100"/>
  <c r="I8" i="100"/>
  <c r="H8" i="100"/>
  <c r="D15" i="100" l="1"/>
  <c r="C15" i="100" s="1"/>
  <c r="C14" i="100"/>
  <c r="F8" i="100"/>
  <c r="G8" i="100"/>
  <c r="E8" i="100"/>
  <c r="J8" i="100"/>
  <c r="D8" i="100"/>
  <c r="L8" i="100"/>
  <c r="C13" i="100"/>
  <c r="O8" i="100"/>
  <c r="C8" i="100" l="1"/>
  <c r="J23" i="36"/>
  <c r="I23" i="36"/>
  <c r="K23" i="36" s="1"/>
  <c r="G23" i="36"/>
  <c r="F23" i="36"/>
  <c r="H23" i="36" s="1"/>
  <c r="J21" i="36"/>
  <c r="I21" i="36"/>
  <c r="K20" i="36"/>
  <c r="K19" i="36"/>
  <c r="J16" i="36"/>
  <c r="I16" i="36"/>
  <c r="K15" i="36"/>
  <c r="K14" i="36"/>
  <c r="K13" i="36"/>
  <c r="K12" i="36"/>
  <c r="K11" i="36"/>
  <c r="K10" i="36"/>
  <c r="K8" i="36"/>
  <c r="G21" i="36"/>
  <c r="F21" i="36"/>
  <c r="D21" i="36"/>
  <c r="C21" i="36"/>
  <c r="H20" i="36"/>
  <c r="H19" i="36"/>
  <c r="G16" i="36"/>
  <c r="F16" i="36"/>
  <c r="H15" i="36"/>
  <c r="H14" i="36"/>
  <c r="H13" i="36"/>
  <c r="H12" i="36"/>
  <c r="H11" i="36"/>
  <c r="H10" i="36"/>
  <c r="H8" i="36"/>
  <c r="E20" i="36"/>
  <c r="E19" i="36"/>
  <c r="E18" i="36"/>
  <c r="D16" i="36"/>
  <c r="C16" i="36"/>
  <c r="E11" i="36"/>
  <c r="E12" i="36"/>
  <c r="E13" i="36"/>
  <c r="E14" i="36"/>
  <c r="E15" i="36"/>
  <c r="E10" i="36"/>
  <c r="G24" i="36" l="1"/>
  <c r="I24" i="36"/>
  <c r="I25" i="36" s="1"/>
  <c r="J24" i="36"/>
  <c r="J25" i="36" s="1"/>
  <c r="F24" i="36"/>
  <c r="H16" i="36"/>
  <c r="G25" i="36"/>
  <c r="E16" i="36"/>
  <c r="F25" i="36"/>
  <c r="K21" i="36"/>
  <c r="K16" i="36"/>
  <c r="H21" i="36"/>
  <c r="E21" i="36"/>
  <c r="K24" i="36" l="1"/>
  <c r="K25" i="36" s="1"/>
  <c r="H24" i="36"/>
  <c r="H25" i="36" s="1"/>
  <c r="G15" i="80" l="1"/>
  <c r="G10" i="80"/>
  <c r="G9" i="80"/>
  <c r="P6" i="37" l="1"/>
  <c r="N6" i="37"/>
  <c r="L6" i="37"/>
  <c r="K6" i="37"/>
  <c r="J6" i="37"/>
  <c r="E6" i="37"/>
  <c r="D6" i="37"/>
  <c r="E6" i="107"/>
  <c r="D6" i="107"/>
  <c r="C31" i="79" l="1"/>
  <c r="C7" i="79"/>
  <c r="C22" i="74" l="1"/>
  <c r="H13" i="74"/>
  <c r="H14" i="74"/>
  <c r="H15" i="74"/>
  <c r="H16" i="74"/>
  <c r="H17" i="74"/>
  <c r="H21" i="74"/>
  <c r="H8" i="74"/>
  <c r="E34" i="72" l="1"/>
  <c r="E35" i="72"/>
  <c r="E36" i="72"/>
  <c r="E33" i="72"/>
  <c r="E32" i="72"/>
  <c r="E30" i="72"/>
  <c r="E29" i="72"/>
  <c r="E27" i="72"/>
  <c r="E26" i="72"/>
  <c r="E22" i="72"/>
  <c r="E23" i="72"/>
  <c r="E24" i="72"/>
  <c r="E21" i="72"/>
  <c r="E18" i="72"/>
  <c r="E19" i="72"/>
  <c r="E17" i="72"/>
  <c r="E14" i="72"/>
  <c r="E15" i="72"/>
  <c r="E12" i="72"/>
  <c r="E13" i="72"/>
  <c r="E10" i="72"/>
  <c r="E11" i="72"/>
  <c r="E9" i="72"/>
  <c r="D20" i="72"/>
  <c r="C20" i="72"/>
  <c r="C38" i="94" l="1"/>
  <c r="Q33" i="37" l="1"/>
  <c r="I33" i="37"/>
  <c r="Q32" i="37"/>
  <c r="I32" i="37"/>
  <c r="Q31" i="37"/>
  <c r="Q30" i="37" s="1"/>
  <c r="I31" i="37"/>
  <c r="I30" i="37"/>
  <c r="Q29" i="37"/>
  <c r="I29" i="37"/>
  <c r="Q28" i="37"/>
  <c r="I28" i="37"/>
  <c r="Q27" i="37"/>
  <c r="I27" i="37"/>
  <c r="I26" i="37"/>
  <c r="Q25" i="37"/>
  <c r="I25" i="37"/>
  <c r="Q24" i="37"/>
  <c r="I24" i="37"/>
  <c r="Q23" i="37"/>
  <c r="Q22" i="37" s="1"/>
  <c r="I23" i="37"/>
  <c r="I22" i="37"/>
  <c r="Q21" i="37"/>
  <c r="I21" i="37"/>
  <c r="Q20" i="37"/>
  <c r="I20" i="37"/>
  <c r="Q19" i="37"/>
  <c r="I19" i="37"/>
  <c r="I18" i="37"/>
  <c r="Q17" i="37"/>
  <c r="I17" i="37"/>
  <c r="Q16" i="37"/>
  <c r="I16" i="37"/>
  <c r="Q15" i="37"/>
  <c r="Q14" i="37" s="1"/>
  <c r="I15" i="37"/>
  <c r="I14" i="37"/>
  <c r="Q13" i="37"/>
  <c r="I13" i="37"/>
  <c r="Q12" i="37"/>
  <c r="I12" i="37"/>
  <c r="Q11" i="37"/>
  <c r="Q10" i="37" s="1"/>
  <c r="I11" i="37"/>
  <c r="I10" i="37"/>
  <c r="P9" i="37"/>
  <c r="O9" i="37"/>
  <c r="N9" i="37"/>
  <c r="M9" i="37"/>
  <c r="L9" i="37"/>
  <c r="K9" i="37"/>
  <c r="J9" i="37"/>
  <c r="G9" i="37"/>
  <c r="F9" i="37"/>
  <c r="I9" i="37" s="1"/>
  <c r="C9" i="37"/>
  <c r="P8" i="37"/>
  <c r="O8" i="37"/>
  <c r="N8" i="37"/>
  <c r="M8" i="37"/>
  <c r="L8" i="37"/>
  <c r="K8" i="37"/>
  <c r="J8" i="37"/>
  <c r="G8" i="37"/>
  <c r="F8" i="37"/>
  <c r="C8" i="37"/>
  <c r="P7" i="37"/>
  <c r="P34" i="37" s="1"/>
  <c r="O7" i="37"/>
  <c r="O34" i="37" s="1"/>
  <c r="N7" i="37"/>
  <c r="N34" i="37" s="1"/>
  <c r="M7" i="37"/>
  <c r="M34" i="37" s="1"/>
  <c r="L7" i="37"/>
  <c r="L34" i="37" s="1"/>
  <c r="K7" i="37"/>
  <c r="J7" i="37"/>
  <c r="J34" i="37" s="1"/>
  <c r="G7" i="37"/>
  <c r="G6" i="37" s="1"/>
  <c r="G34" i="37" s="1"/>
  <c r="C11" i="79" s="1"/>
  <c r="F7" i="37"/>
  <c r="I7" i="37" s="1"/>
  <c r="I6" i="37" s="1"/>
  <c r="C7" i="37"/>
  <c r="K34" i="37"/>
  <c r="E34" i="37"/>
  <c r="C13" i="79" s="1"/>
  <c r="D34" i="37"/>
  <c r="B2" i="37"/>
  <c r="B1" i="37"/>
  <c r="C26" i="79"/>
  <c r="C22" i="79"/>
  <c r="I8" i="37" l="1"/>
  <c r="C6" i="37"/>
  <c r="C34" i="37" s="1"/>
  <c r="Q8" i="37"/>
  <c r="Q18" i="37"/>
  <c r="F6" i="37"/>
  <c r="F34" i="37" s="1"/>
  <c r="Q26" i="37"/>
  <c r="Q9" i="37"/>
  <c r="Q7" i="37"/>
  <c r="Q6" i="37" s="1"/>
  <c r="Q34" i="37" s="1"/>
  <c r="I34" i="37" l="1"/>
  <c r="C12" i="79" s="1"/>
  <c r="C14" i="79" s="1"/>
  <c r="C10" i="79"/>
  <c r="F6" i="107"/>
  <c r="C6" i="107"/>
  <c r="B2" i="107"/>
  <c r="B1" i="107"/>
  <c r="G38" i="94" l="1"/>
  <c r="F38" i="94"/>
  <c r="D38" i="94" l="1"/>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D15" i="98" s="1"/>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C15" i="98" l="1"/>
  <c r="H34" i="97"/>
  <c r="H21" i="96"/>
  <c r="H22" i="95"/>
  <c r="C62" i="69"/>
  <c r="C58" i="69"/>
  <c r="C67" i="69" s="1"/>
  <c r="C46" i="69"/>
  <c r="C52" i="69" s="1"/>
  <c r="C40" i="69"/>
  <c r="C29" i="69"/>
  <c r="C26" i="69"/>
  <c r="C23" i="69"/>
  <c r="C18" i="69"/>
  <c r="C14" i="69"/>
  <c r="C6" i="69"/>
  <c r="D8" i="72"/>
  <c r="E8" i="72"/>
  <c r="D16" i="72"/>
  <c r="E16" i="72"/>
  <c r="E20" i="72"/>
  <c r="D25" i="72"/>
  <c r="E25" i="72"/>
  <c r="D28" i="72"/>
  <c r="E28" i="72"/>
  <c r="D31" i="72"/>
  <c r="E31" i="72"/>
  <c r="C31" i="72"/>
  <c r="C28" i="72"/>
  <c r="C25" i="72"/>
  <c r="C16" i="72"/>
  <c r="C8" i="72"/>
  <c r="C35" i="69" l="1"/>
  <c r="C68" i="69"/>
  <c r="C37" i="72"/>
  <c r="E37" i="72"/>
  <c r="D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D8" i="94"/>
  <c r="C8" i="94"/>
  <c r="H7" i="94"/>
  <c r="E7" i="94"/>
  <c r="H6" i="94"/>
  <c r="E6" i="94"/>
  <c r="H44" i="93"/>
  <c r="E44" i="93"/>
  <c r="H42" i="93"/>
  <c r="E42" i="93"/>
  <c r="H41" i="93"/>
  <c r="E41" i="93"/>
  <c r="H40" i="93"/>
  <c r="E40" i="93"/>
  <c r="H39" i="93"/>
  <c r="E39" i="93"/>
  <c r="H38" i="93"/>
  <c r="E38" i="93"/>
  <c r="G37" i="93"/>
  <c r="F37" i="93"/>
  <c r="H36" i="93"/>
  <c r="E36" i="93"/>
  <c r="H35" i="93"/>
  <c r="E35" i="93"/>
  <c r="G34" i="93"/>
  <c r="F34" i="93"/>
  <c r="H34" i="93" s="1"/>
  <c r="D34" i="93"/>
  <c r="C34" i="93"/>
  <c r="H33" i="93"/>
  <c r="E33" i="93"/>
  <c r="H32" i="93"/>
  <c r="E32" i="93"/>
  <c r="H31" i="93"/>
  <c r="E31" i="93"/>
  <c r="H30" i="93"/>
  <c r="E30" i="93"/>
  <c r="G29" i="93"/>
  <c r="F29" i="93"/>
  <c r="H29" i="93" s="1"/>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H13" i="93" s="1"/>
  <c r="D13" i="93"/>
  <c r="C13" i="93"/>
  <c r="H12" i="93"/>
  <c r="E12" i="93"/>
  <c r="H11" i="93"/>
  <c r="E11" i="93"/>
  <c r="H10" i="93"/>
  <c r="E10" i="93"/>
  <c r="H9" i="93"/>
  <c r="E9" i="93"/>
  <c r="H8" i="93"/>
  <c r="E8" i="93"/>
  <c r="H7" i="93"/>
  <c r="E7" i="93"/>
  <c r="G6" i="93"/>
  <c r="F6" i="93"/>
  <c r="D6" i="93"/>
  <c r="C6" i="93"/>
  <c r="G68" i="92"/>
  <c r="F68" i="92"/>
  <c r="H67" i="92"/>
  <c r="E67" i="92"/>
  <c r="H66" i="92"/>
  <c r="E66" i="92"/>
  <c r="H65" i="92"/>
  <c r="E65" i="92"/>
  <c r="H64" i="92"/>
  <c r="E64" i="92"/>
  <c r="H63" i="92"/>
  <c r="D63" i="92"/>
  <c r="C63" i="92"/>
  <c r="H62" i="92"/>
  <c r="E62" i="92"/>
  <c r="H61" i="92"/>
  <c r="E61" i="92"/>
  <c r="H60" i="92"/>
  <c r="E60" i="92"/>
  <c r="H59" i="92"/>
  <c r="E59" i="92"/>
  <c r="D59" i="92"/>
  <c r="C59" i="92"/>
  <c r="C68" i="92" s="1"/>
  <c r="H58" i="92"/>
  <c r="E58" i="92"/>
  <c r="H57" i="92"/>
  <c r="E57" i="92"/>
  <c r="H56" i="92"/>
  <c r="E56" i="92"/>
  <c r="H55" i="92"/>
  <c r="E55" i="92"/>
  <c r="H52" i="92"/>
  <c r="E52" i="92"/>
  <c r="H51" i="92"/>
  <c r="E51" i="92"/>
  <c r="H50" i="92"/>
  <c r="E50" i="92"/>
  <c r="H49" i="92"/>
  <c r="E49" i="92"/>
  <c r="H48" i="92"/>
  <c r="E48" i="92"/>
  <c r="G47" i="92"/>
  <c r="F47" i="92"/>
  <c r="H47" i="92" s="1"/>
  <c r="D47" i="92"/>
  <c r="E47" i="92"/>
  <c r="H46" i="92"/>
  <c r="E46" i="92"/>
  <c r="H45" i="92"/>
  <c r="E45" i="92"/>
  <c r="H44" i="92"/>
  <c r="E44" i="92"/>
  <c r="H43" i="92"/>
  <c r="E43" i="92"/>
  <c r="H42" i="92"/>
  <c r="E42" i="92"/>
  <c r="G41" i="92"/>
  <c r="F41" i="92"/>
  <c r="D41" i="92"/>
  <c r="D53" i="92" s="1"/>
  <c r="C41" i="92"/>
  <c r="H40" i="92"/>
  <c r="E40" i="92"/>
  <c r="H39" i="92"/>
  <c r="E39" i="92"/>
  <c r="H38" i="92"/>
  <c r="E38" i="92"/>
  <c r="H35" i="92"/>
  <c r="E35" i="92"/>
  <c r="H34" i="92"/>
  <c r="E34" i="92"/>
  <c r="H33" i="92"/>
  <c r="E33" i="92"/>
  <c r="H32" i="92"/>
  <c r="E32" i="92"/>
  <c r="H31" i="92"/>
  <c r="E31" i="92"/>
  <c r="G30" i="92"/>
  <c r="F30" i="92"/>
  <c r="H30" i="92" s="1"/>
  <c r="D30" i="92"/>
  <c r="C30" i="92"/>
  <c r="E30" i="92" s="1"/>
  <c r="H29" i="92"/>
  <c r="E29" i="92"/>
  <c r="H28" i="92"/>
  <c r="E28" i="92"/>
  <c r="G27" i="92"/>
  <c r="F27" i="92"/>
  <c r="H27" i="92" s="1"/>
  <c r="D27" i="92"/>
  <c r="C27" i="92"/>
  <c r="E27" i="92" s="1"/>
  <c r="H26" i="92"/>
  <c r="E26" i="92"/>
  <c r="H25" i="92"/>
  <c r="E25" i="92"/>
  <c r="G24" i="92"/>
  <c r="F24" i="92"/>
  <c r="D24" i="92"/>
  <c r="C24" i="92"/>
  <c r="E24" i="92" s="1"/>
  <c r="H23" i="92"/>
  <c r="E23" i="92"/>
  <c r="H22" i="92"/>
  <c r="E22" i="92"/>
  <c r="H21" i="92"/>
  <c r="E21" i="92"/>
  <c r="H20" i="92"/>
  <c r="E20" i="92"/>
  <c r="H19" i="92"/>
  <c r="G19" i="92"/>
  <c r="F19" i="92"/>
  <c r="D19" i="92"/>
  <c r="C19" i="92"/>
  <c r="H18" i="92"/>
  <c r="E18" i="92"/>
  <c r="H17" i="92"/>
  <c r="E17" i="92"/>
  <c r="H16" i="92"/>
  <c r="E16" i="92"/>
  <c r="G15" i="92"/>
  <c r="F15" i="92"/>
  <c r="H15" i="92" s="1"/>
  <c r="D15" i="92"/>
  <c r="E15" i="92" s="1"/>
  <c r="C15" i="92"/>
  <c r="H14" i="92"/>
  <c r="E14" i="92"/>
  <c r="H13" i="92"/>
  <c r="E13" i="92"/>
  <c r="H12" i="92"/>
  <c r="E12" i="92"/>
  <c r="H11" i="92"/>
  <c r="E11" i="92"/>
  <c r="H10" i="92"/>
  <c r="E10" i="92"/>
  <c r="H9" i="92"/>
  <c r="E9" i="92"/>
  <c r="H8" i="92"/>
  <c r="E8" i="92"/>
  <c r="G7" i="92"/>
  <c r="F7" i="92"/>
  <c r="H7" i="92" s="1"/>
  <c r="D7" i="92"/>
  <c r="D36" i="92" s="1"/>
  <c r="C7" i="92"/>
  <c r="E13" i="93" l="1"/>
  <c r="C43" i="93"/>
  <c r="C45" i="93" s="1"/>
  <c r="H41" i="92"/>
  <c r="E37" i="93"/>
  <c r="H37" i="93"/>
  <c r="E19" i="92"/>
  <c r="E63" i="92"/>
  <c r="E41" i="92"/>
  <c r="E6" i="93"/>
  <c r="F36" i="92"/>
  <c r="D68" i="92"/>
  <c r="D69" i="92" s="1"/>
  <c r="F43" i="93"/>
  <c r="F45" i="93" s="1"/>
  <c r="G43" i="93"/>
  <c r="G36" i="92"/>
  <c r="C36" i="92"/>
  <c r="E36" i="92" s="1"/>
  <c r="G53" i="92"/>
  <c r="G69" i="92" s="1"/>
  <c r="E29" i="93"/>
  <c r="E34" i="93"/>
  <c r="H8" i="94"/>
  <c r="E8" i="94"/>
  <c r="E14" i="94"/>
  <c r="H38" i="94"/>
  <c r="E30" i="94"/>
  <c r="E11" i="94"/>
  <c r="E17" i="94"/>
  <c r="H11" i="94"/>
  <c r="H14" i="94"/>
  <c r="H6" i="93"/>
  <c r="D43" i="93"/>
  <c r="C53" i="92"/>
  <c r="H68" i="92"/>
  <c r="F53" i="92"/>
  <c r="F69" i="92" s="1"/>
  <c r="E7" i="92"/>
  <c r="H24" i="92"/>
  <c r="H45" i="93" l="1"/>
  <c r="H69" i="92"/>
  <c r="H53" i="92"/>
  <c r="E68" i="92"/>
  <c r="H43" i="93"/>
  <c r="H36" i="92"/>
  <c r="E45" i="93"/>
  <c r="E43" i="93"/>
  <c r="C69" i="92"/>
  <c r="E69" i="92" s="1"/>
  <c r="C6" i="79" s="1"/>
  <c r="C8" i="79" s="1"/>
  <c r="C32" i="79" s="1"/>
  <c r="C34" i="79" s="1"/>
  <c r="E53" i="92"/>
  <c r="B1" i="80" l="1"/>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G37" i="80" l="1"/>
  <c r="G21" i="80"/>
  <c r="G6" i="71"/>
  <c r="G13" i="71" s="1"/>
  <c r="F6" i="71"/>
  <c r="F13" i="71" s="1"/>
  <c r="E6" i="71"/>
  <c r="E13" i="71" s="1"/>
  <c r="D6" i="71"/>
  <c r="D13" i="71" s="1"/>
  <c r="C6" i="71"/>
  <c r="C13" i="71" s="1"/>
  <c r="B18" i="105" s="1"/>
  <c r="G39" i="80" l="1"/>
  <c r="B1" i="79"/>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V7" i="64" l="1"/>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B10" i="105" s="1"/>
  <c r="C36" i="28"/>
  <c r="C42" i="28" s="1"/>
  <c r="B9" i="105" s="1"/>
  <c r="C12" i="28"/>
  <c r="C6" i="28" l="1"/>
  <c r="C29" i="28" s="1"/>
  <c r="B8" i="105" s="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<sst xmlns="http://schemas.openxmlformats.org/spreadsheetml/2006/main" count="1653" uniqueCount="1040">
  <si>
    <t>a</t>
  </si>
  <si>
    <t>b</t>
  </si>
  <si>
    <t>c</t>
  </si>
  <si>
    <t>d</t>
  </si>
  <si>
    <t>e</t>
  </si>
  <si>
    <t xml:space="preserve"> </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</si>
  <si>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</si>
  <si>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</si>
  <si>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</si>
  <si>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</si>
  <si>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</si>
  <si>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</si>
  <si>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</si>
  <si>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</si>
  <si>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</si>
  <si>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</si>
  <si>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</si>
  <si>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</si>
  <si>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</si>
  <si>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</si>
  <si>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</si>
  <si>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</si>
  <si>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</si>
  <si>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</si>
  <si>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</si>
  <si>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</si>
  <si>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</si>
  <si>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</si>
  <si>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</si>
  <si>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</si>
  <si>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</si>
  <si>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</si>
  <si>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</si>
  <si>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</si>
  <si>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</si>
  <si>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</si>
  <si>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</si>
  <si>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</si>
  <si>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</si>
  <si>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</si>
  <si>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</si>
  <si>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</si>
  <si>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</si>
  <si>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</si>
  <si>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</si>
  <si>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</si>
  <si>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</si>
  <si>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</si>
  <si>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</si>
  <si>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</si>
  <si>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</si>
  <si>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</si>
  <si>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</si>
  <si>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</si>
  <si>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</si>
  <si>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</si>
  <si>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</si>
  <si>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</si>
  <si>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</si>
  <si>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</si>
  <si>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</si>
  <si>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</si>
  <si>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</si>
  <si>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</si>
  <si>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</si>
  <si>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</si>
  <si>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</si>
  <si>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</si>
  <si>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</si>
  <si>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</si>
  <si>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</si>
  <si>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</si>
  <si>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</si>
  <si>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</si>
  <si>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</si>
  <si>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</si>
  <si>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</si>
  <si>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</si>
  <si>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</si>
  <si>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</si>
  <si>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</si>
  <si>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</si>
  <si>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</si>
  <si>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</si>
  <si>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</si>
  <si>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</si>
  <si>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</si>
  <si>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</si>
  <si>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</si>
  <si>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</si>
  <si>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</si>
  <si>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</si>
  <si>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</si>
  <si>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</si>
  <si>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</si>
  <si>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</si>
  <si>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</si>
  <si>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</si>
  <si>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</si>
  <si>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</si>
  <si>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</si>
  <si>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</si>
  <si>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</si>
  <si>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</si>
  <si>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</si>
  <si>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</si>
  <si>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</si>
  <si>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</si>
  <si>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</si>
  <si>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</si>
  <si>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</si>
  <si>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</si>
  <si>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</si>
  <si>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</si>
  <si>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</si>
  <si>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</si>
  <si>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</si>
  <si>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</si>
  <si>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</si>
  <si>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</si>
  <si>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</si>
  <si>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</si>
  <si>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</si>
  <si>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</si>
  <si>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</si>
  <si>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</si>
  <si>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</si>
  <si>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</si>
  <si>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</si>
  <si>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</si>
  <si>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</si>
  <si>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</si>
  <si>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</si>
  <si>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</si>
  <si>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</si>
  <si>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</si>
  <si>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</si>
  <si>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</si>
  <si>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</si>
  <si>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</si>
  <si>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</si>
  <si>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</si>
  <si>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</si>
  <si>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</si>
  <si>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</si>
  <si>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</si>
  <si>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</si>
  <si>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</si>
  <si>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</si>
  <si>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</si>
  <si>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</si>
  <si>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</si>
  <si>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</si>
  <si>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</si>
  <si>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</si>
  <si>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</si>
  <si>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</si>
  <si>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</si>
  <si>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</si>
  <si>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</si>
  <si>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</si>
  <si>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</si>
  <si>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</si>
  <si>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</si>
  <si>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</si>
  <si>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</si>
  <si>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</si>
  <si>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</si>
  <si>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</si>
  <si>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</si>
  <si>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</si>
  <si>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</si>
  <si>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</si>
  <si>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</si>
  <si>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</si>
  <si>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</si>
  <si>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</si>
  <si>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</si>
  <si>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</si>
  <si>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</si>
  <si>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</si>
  <si>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</si>
  <si>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</si>
  <si>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</si>
  <si>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</si>
  <si>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</si>
  <si>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</si>
  <si>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</si>
  <si>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</si>
  <si>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</si>
  <si>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</si>
  <si>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</si>
  <si>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</si>
  <si>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</si>
  <si>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</si>
  <si>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</si>
  <si>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</si>
  <si>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</si>
  <si>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</si>
  <si>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</si>
  <si>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</si>
  <si>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</si>
  <si>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</si>
  <si>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</si>
  <si>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</si>
  <si>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</si>
  <si>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</si>
  <si>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</si>
  <si>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</si>
  <si>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</si>
  <si>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</si>
  <si>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</si>
  <si>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</si>
  <si>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</si>
  <si>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</si>
  <si>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</si>
  <si>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</si>
  <si>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</si>
  <si>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</si>
  <si>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</si>
  <si>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</si>
  <si>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</si>
  <si>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</si>
  <si>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</si>
  <si>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</si>
  <si>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</si>
  <si>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</si>
  <si>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</si>
  <si>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</si>
  <si>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</si>
  <si>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</si>
  <si>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</si>
  <si>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</si>
  <si>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</si>
  <si>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</si>
  <si>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</si>
  <si>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</si>
  <si>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</si>
  <si>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</si>
  <si>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</si>
  <si>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</si>
  <si>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</si>
  <si>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</si>
  <si>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</si>
  <si>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</si>
  <si>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</si>
  <si>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</si>
  <si>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</si>
  <si>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</si>
  <si>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</si>
  <si>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</si>
  <si>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</si>
  <si>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</si>
  <si>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</si>
  <si>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</si>
  <si>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</si>
  <si>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</si>
  <si>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</si>
  <si>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</si>
  <si>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</si>
  <si>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</si>
  <si>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</si>
  <si>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</si>
  <si>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</si>
  <si>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</si>
  <si>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</si>
  <si>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</si>
  <si>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</si>
  <si>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</si>
  <si>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</si>
  <si>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</si>
  <si>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</si>
  <si>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</si>
  <si>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</si>
  <si>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</si>
  <si>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</si>
  <si>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</si>
  <si>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</si>
  <si>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</si>
  <si>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</si>
  <si>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</si>
  <si>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</si>
  <si>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</si>
  <si>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</si>
  <si>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</si>
  <si>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</si>
  <si>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</si>
  <si>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</si>
  <si>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</si>
  <si>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</si>
  <si>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</si>
  <si>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</si>
  <si>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</si>
  <si>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</si>
  <si>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</si>
  <si>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</si>
  <si>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</si>
  <si>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</si>
  <si>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</si>
  <si>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</si>
  <si>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</si>
  <si>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</si>
  <si>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</si>
  <si>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</si>
  <si>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</si>
  <si>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</si>
  <si>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</si>
  <si>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</si>
  <si>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</si>
  <si>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</si>
  <si>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</si>
  <si>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</si>
  <si>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</si>
  <si>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</si>
  <si>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</si>
  <si>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</si>
  <si>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</si>
  <si>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</si>
  <si>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</si>
  <si>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</si>
  <si>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</si>
  <si>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</si>
  <si>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</si>
  <si>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</si>
  <si>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</si>
  <si>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</si>
  <si>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</si>
  <si>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</si>
  <si>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</si>
  <si>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</si>
  <si>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</si>
  <si>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</si>
  <si>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</si>
  <si>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</si>
  <si>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</si>
  <si>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</si>
  <si>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</si>
  <si>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</si>
  <si>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</si>
  <si>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</si>
  <si>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</si>
  <si>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</si>
  <si>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</si>
  <si>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</si>
  <si>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</si>
  <si>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</si>
  <si>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</si>
  <si>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</si>
  <si>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</si>
  <si>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</si>
  <si>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</si>
  <si>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</si>
  <si>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</si>
  <si>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</si>
  <si>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</si>
  <si>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</si>
  <si>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</si>
  <si>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</si>
  <si>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</si>
  <si>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</si>
  <si>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</si>
  <si>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</si>
  <si>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</si>
  <si>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</si>
  <si>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</si>
  <si>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</si>
  <si>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</si>
  <si>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</si>
  <si>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</si>
  <si>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</si>
  <si>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</si>
  <si>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</si>
  <si>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</si>
  <si>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</si>
  <si>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</si>
  <si>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</si>
  <si>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</si>
  <si>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</si>
  <si>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</si>
  <si>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</si>
  <si>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</si>
  <si>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</si>
  <si>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</si>
  <si>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</si>
  <si>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</si>
  <si>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</si>
  <si>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</si>
  <si>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</si>
  <si>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</si>
  <si>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</si>
  <si>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</si>
  <si>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</si>
  <si>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</si>
  <si>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</si>
  <si>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</si>
  <si>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</si>
  <si>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</si>
  <si>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</si>
  <si>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</si>
  <si>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</si>
  <si>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</si>
  <si>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</si>
  <si>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</si>
  <si>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</si>
  <si>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</si>
  <si>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</si>
  <si>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</si>
  <si>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</si>
  <si>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</si>
  <si>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</si>
  <si>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</si>
  <si>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</si>
  <si>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</si>
  <si>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</si>
  <si>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</si>
  <si>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</si>
  <si>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</si>
  <si>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</si>
  <si>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</si>
  <si>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</si>
  <si>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</si>
  <si>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</si>
  <si>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</si>
  <si>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</si>
  <si>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</si>
  <si>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</si>
  <si>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</si>
  <si>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</si>
  <si>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</si>
  <si>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</si>
  <si>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</si>
  <si>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</si>
  <si>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</si>
  <si>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</si>
  <si>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</si>
  <si>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</si>
  <si>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</si>
  <si>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</si>
  <si>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</si>
  <si>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</si>
  <si>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</si>
  <si>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</si>
  <si>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</si>
  <si>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</si>
  <si>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</si>
  <si>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</si>
  <si>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</si>
  <si>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</si>
  <si>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</si>
  <si>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</si>
  <si>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</si>
  <si>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</si>
  <si>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</si>
  <si>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</si>
  <si>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</si>
  <si>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</si>
  <si>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</si>
  <si>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</si>
  <si>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</si>
  <si>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</si>
  <si>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</si>
  <si>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</si>
  <si>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</si>
  <si>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</si>
  <si>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</si>
  <si>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</si>
  <si>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</si>
  <si>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</si>
  <si>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</si>
  <si>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</si>
  <si>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</si>
  <si>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</si>
  <si>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</si>
  <si>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</si>
  <si>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</si>
  <si>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</si>
  <si>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</si>
  <si>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</si>
  <si>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</si>
  <si>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</si>
  <si>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</si>
  <si>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</si>
  <si>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</si>
  <si>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</si>
  <si>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</si>
  <si>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</si>
  <si>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</si>
  <si>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</si>
  <si>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</si>
  <si>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</si>
  <si>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</si>
  <si>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</si>
  <si>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</si>
  <si>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</si>
  <si>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</si>
  <si>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</si>
  <si>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</si>
  <si>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</si>
  <si>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</si>
  <si>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</si>
  <si>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</si>
  <si>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</si>
  <si>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</si>
  <si>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</si>
  <si>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</si>
  <si>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</si>
  <si>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</si>
  <si>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</si>
  <si>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</si>
  <si>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</si>
  <si>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</si>
  <si>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</si>
  <si>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</si>
  <si>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</si>
  <si>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</si>
  <si>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</si>
  <si>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</si>
  <si>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</si>
  <si>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</si>
  <si>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</si>
  <si>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</si>
  <si>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</si>
  <si>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</si>
  <si>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</si>
  <si>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</si>
  <si>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</si>
  <si>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</si>
  <si>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</si>
  <si>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</si>
  <si>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</si>
  <si>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</si>
  <si>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</si>
  <si>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</si>
  <si>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</si>
  <si>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</si>
  <si>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</si>
  <si>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</si>
  <si>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</si>
  <si>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</si>
  <si>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</si>
  <si>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</si>
  <si>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</si>
  <si>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</si>
  <si>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</si>
  <si>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</si>
  <si>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</si>
  <si>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</si>
  <si>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</si>
  <si>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</si>
  <si>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</si>
  <si>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</si>
  <si>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</si>
  <si>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</si>
  <si>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</si>
  <si>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</si>
  <si>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</si>
  <si>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</si>
  <si>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</si>
  <si>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</si>
  <si>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</si>
  <si>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</si>
  <si>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</si>
  <si>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</si>
  <si>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</si>
  <si>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</si>
  <si>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</si>
  <si>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</si>
  <si>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</si>
  <si>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</si>
  <si>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</si>
  <si>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</si>
  <si>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</si>
  <si>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</si>
  <si>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</si>
  <si>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</si>
  <si>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</si>
  <si>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</si>
  <si>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</si>
  <si>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</si>
  <si>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</si>
  <si>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</si>
  <si>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</si>
  <si>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</si>
  <si>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</si>
  <si>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</si>
  <si>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</si>
  <si>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</si>
  <si>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</si>
  <si>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</si>
  <si>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</si>
  <si>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</si>
  <si>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</si>
  <si>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</si>
  <si>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</si>
  <si>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</si>
  <si>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</si>
  <si>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</si>
  <si>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</si>
  <si>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</si>
  <si>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</si>
  <si>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</si>
  <si>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</si>
  <si>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</si>
  <si>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</si>
  <si>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</si>
  <si>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</si>
  <si>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</si>
  <si>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</si>
  <si>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</si>
  <si>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</si>
  <si>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</si>
  <si>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</si>
  <si>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</si>
  <si>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</si>
  <si>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</si>
  <si>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</si>
  <si>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</si>
  <si>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</si>
  <si>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</si>
  <si>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</si>
  <si>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</si>
  <si>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</si>
  <si>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</si>
  <si>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</si>
  <si>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</si>
  <si>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</si>
  <si>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</si>
  <si>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</si>
  <si>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</si>
  <si>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</si>
  <si>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</si>
  <si>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</si>
  <si>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</si>
  <si>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</si>
  <si>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</si>
  <si>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</si>
  <si>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</si>
  <si>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</si>
  <si>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</si>
  <si>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</si>
  <si>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</si>
  <si>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</si>
  <si>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</si>
  <si>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</si>
  <si>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</si>
  <si>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</si>
  <si>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</si>
  <si>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</si>
  <si>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</si>
  <si>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</si>
  <si>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</si>
  <si>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</si>
  <si>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</si>
  <si>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</si>
  <si>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</si>
  <si>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</si>
  <si>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</si>
  <si>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</si>
  <si>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</si>
  <si>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</si>
  <si>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</si>
  <si>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</si>
  <si>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</si>
  <si>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</si>
  <si>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</si>
  <si>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</si>
  <si>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</si>
  <si>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</si>
  <si>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</si>
  <si>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</si>
  <si>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</si>
  <si>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</si>
  <si>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</si>
  <si>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</si>
  <si>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</si>
  <si>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</si>
  <si>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</si>
  <si>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</si>
  <si>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</si>
  <si>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</si>
  <si>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</si>
  <si>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</si>
  <si>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</si>
  <si>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</si>
  <si>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</si>
  <si>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</si>
  <si>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</si>
  <si>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</si>
  <si>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</si>
  <si>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</si>
  <si>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</si>
  <si>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</si>
  <si>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</si>
  <si>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</si>
  <si>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</si>
  <si>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</si>
  <si>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</si>
  <si>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</si>
  <si>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</si>
  <si>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</si>
  <si>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</si>
  <si>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</si>
  <si>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</si>
  <si>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</si>
  <si>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</si>
  <si>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</si>
  <si>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</si>
  <si>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</si>
  <si>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</si>
  <si>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</si>
  <si>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</si>
  <si>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</si>
  <si>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</si>
  <si>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</si>
  <si>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</si>
  <si>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</si>
  <si>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</si>
  <si>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</si>
  <si>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</si>
  <si>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</si>
  <si>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</si>
  <si>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</si>
  <si>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</si>
  <si>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</si>
  <si>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</si>
  <si>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</si>
  <si>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</si>
  <si>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</si>
  <si>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</si>
  <si>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</si>
  <si>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</si>
  <si>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</si>
  <si>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</si>
  <si>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</si>
  <si>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</si>
  <si>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</si>
  <si>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</si>
  <si>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</si>
  <si>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</si>
  <si>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</si>
  <si>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</si>
  <si>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</si>
  <si>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</si>
  <si>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</si>
  <si>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</si>
  <si>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</si>
  <si>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</si>
  <si>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</si>
  <si>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</si>
  <si>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</si>
  <si>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</si>
  <si>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</si>
  <si>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</si>
  <si>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</si>
  <si>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</si>
  <si>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</si>
  <si>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</si>
  <si>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</si>
  <si>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</si>
  <si>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</si>
  <si>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</si>
  <si>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</si>
  <si>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</si>
  <si>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</si>
  <si>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</si>
  <si>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</si>
  <si>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</si>
  <si>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</si>
  <si>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</si>
  <si>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</si>
  <si>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</si>
  <si>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</si>
  <si>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</si>
  <si>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</si>
  <si>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</si>
  <si>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</si>
  <si>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</si>
  <si>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</si>
  <si>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</si>
  <si>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</si>
  <si>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</si>
  <si>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</si>
  <si>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</si>
  <si>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</si>
  <si>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</si>
  <si>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</si>
  <si>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</si>
  <si>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</si>
  <si>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</si>
  <si>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</si>
  <si>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</si>
  <si>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</si>
  <si>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</si>
  <si>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</si>
  <si>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</si>
  <si>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</si>
  <si>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</si>
  <si>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</si>
  <si>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</si>
  <si>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</si>
  <si>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</si>
  <si>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</si>
  <si>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</si>
  <si>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</si>
  <si>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</si>
  <si>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</si>
  <si>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</si>
  <si>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</si>
  <si>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</si>
  <si>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</si>
  <si>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</si>
  <si>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</si>
  <si>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</si>
  <si>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</si>
  <si>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</si>
  <si>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</si>
  <si>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</si>
  <si>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</si>
  <si>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</si>
  <si>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</si>
  <si>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</si>
  <si>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</si>
  <si>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</si>
  <si>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</si>
  <si>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</si>
  <si>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</si>
  <si>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</si>
  <si>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</si>
  <si>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</si>
  <si>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</si>
  <si>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</si>
  <si>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</si>
  <si>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</si>
  <si>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</si>
  <si>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</si>
  <si>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</si>
  <si>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</si>
  <si>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</si>
  <si>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</si>
  <si>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</si>
  <si>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</si>
  <si>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</si>
  <si>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</si>
  <si>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</si>
  <si>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</si>
  <si>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</si>
  <si>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</si>
  <si>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</si>
  <si>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</si>
  <si>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</si>
  <si>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</si>
  <si>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</si>
  <si>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</si>
  <si>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</si>
  <si>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</si>
  <si>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</si>
  <si>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</si>
  <si>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</si>
  <si>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</si>
  <si>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</si>
  <si>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</si>
  <si>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</si>
  <si>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</si>
  <si>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</si>
  <si>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</si>
  <si>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</si>
  <si>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</si>
  <si>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</si>
  <si>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</si>
  <si>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</si>
  <si>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</si>
  <si>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</si>
  <si>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</si>
  <si>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</si>
  <si>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</si>
  <si>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</si>
  <si>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</si>
  <si>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</si>
  <si>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</si>
  <si>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</si>
  <si>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</si>
  <si>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</si>
  <si>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</si>
  <si>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</si>
  <si>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</si>
  <si>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</si>
  <si>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</si>
  <si>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</si>
  <si>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</si>
  <si>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</si>
  <si>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</si>
  <si>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</si>
  <si>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</si>
  <si>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</si>
  <si>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</si>
  <si>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</si>
  <si>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</si>
  <si>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</si>
  <si>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</si>
  <si>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</si>
  <si>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</si>
  <si>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</si>
  <si>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</si>
  <si>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</si>
  <si>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</si>
  <si>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</si>
  <si>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</si>
  <si>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</si>
  <si>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</si>
  <si>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</si>
  <si>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</si>
  <si>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</si>
  <si>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</si>
  <si>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</si>
  <si>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</si>
  <si>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</si>
  <si>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</si>
  <si>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</si>
  <si>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</si>
  <si>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</si>
  <si>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</si>
  <si>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</si>
  <si>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</si>
  <si>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</si>
  <si>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</si>
  <si>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</si>
  <si>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</si>
  <si>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</si>
  <si>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</si>
  <si>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</si>
  <si>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</si>
  <si>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</si>
  <si>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</si>
  <si>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</si>
  <si>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</si>
  <si>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</si>
  <si>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</si>
  <si>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</si>
  <si>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</si>
  <si>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</si>
  <si>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</si>
  <si>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</si>
  <si>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</si>
  <si>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</si>
  <si>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</si>
  <si>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</si>
  <si>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</si>
  <si>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</si>
  <si>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</si>
  <si>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</si>
  <si>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</si>
  <si>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</si>
  <si>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</si>
  <si>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</si>
  <si>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</si>
  <si>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</si>
  <si>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</si>
  <si>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</si>
  <si>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</si>
  <si>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</si>
  <si>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</si>
  <si>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</si>
  <si>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</si>
  <si>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</si>
  <si>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</si>
  <si>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</si>
  <si>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</si>
  <si>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</si>
  <si>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</si>
  <si>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</si>
  <si>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</si>
  <si>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</si>
  <si>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</si>
  <si>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</si>
  <si>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</si>
  <si>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</si>
  <si>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</si>
  <si>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</si>
  <si>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</si>
  <si>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</si>
  <si>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</si>
  <si>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</si>
  <si>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</si>
  <si>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</si>
  <si>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</si>
  <si>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</si>
  <si>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</si>
  <si>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</si>
  <si>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</si>
  <si>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</si>
  <si>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</si>
  <si>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</si>
  <si>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</si>
  <si>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</si>
  <si>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</si>
  <si>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</si>
  <si>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</si>
  <si>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</si>
  <si>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</si>
  <si>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</si>
  <si>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Thomas Engelhardt (Germany)</t>
  </si>
  <si>
    <t>არადამოუკიდებელ წევრი-თავმჯდომარე</t>
  </si>
  <si>
    <t>Farah, Katia Chams (Netherlands)</t>
  </si>
  <si>
    <t>არადამოუკიდებელ წევრი</t>
  </si>
  <si>
    <t>Johannes Mainhardt (Germany)</t>
  </si>
  <si>
    <t>Andrew Pospielovsky (Great Britain)</t>
  </si>
  <si>
    <t>დამოუკიდებელი წევრი</t>
  </si>
  <si>
    <t>ზაალ ფირცხელავა</t>
  </si>
  <si>
    <t>გენერალური დირექტორი</t>
  </si>
  <si>
    <t>ერეკლე ზათიაშვილი</t>
  </si>
  <si>
    <t>ფინანსური დირექტორი</t>
  </si>
  <si>
    <t>ზაზა ტყეშელაშვილი</t>
  </si>
  <si>
    <t>საკრედიტო ოპერაციების დირექტორი</t>
  </si>
  <si>
    <t>ნიკოლოზ ქუთათელაძე</t>
  </si>
  <si>
    <t>კომერციული დირექტორი</t>
  </si>
  <si>
    <t>ალექსანდრე ქუმსიაშვილი</t>
  </si>
  <si>
    <t>საინფორმაციო ტექნოლოგიების დირექტორი</t>
  </si>
  <si>
    <t>გიორგი ნადარეიშვილი</t>
  </si>
  <si>
    <t>რისკების დირექტორი</t>
  </si>
  <si>
    <t>Gojo &amp; C0mpant Inc.</t>
  </si>
  <si>
    <t>Societe de Promotion et de Participation pour la Cooperation Economique (Proparco)</t>
  </si>
  <si>
    <t xml:space="preserve">Triodos Custody B.V., Triodos Fair Share Fund (Netherlands) </t>
  </si>
  <si>
    <t xml:space="preserve">Triodos SICAV II, Triodos Microfinance Fund (Luxembourg) </t>
  </si>
  <si>
    <t>British International Investment PLC (UK)</t>
  </si>
  <si>
    <t xml:space="preserve">European Investment Bank (Luxembourg) </t>
  </si>
  <si>
    <t xml:space="preserve">International Finance Corporation (USA) </t>
  </si>
  <si>
    <t xml:space="preserve">Kreditanstalt für Wiederaufbau (Germany) </t>
  </si>
  <si>
    <t xml:space="preserve">LFS Advisory GmbH (Germany) </t>
  </si>
  <si>
    <t>Omidyar Tufts Active Citizenship Trust (USA)</t>
  </si>
  <si>
    <t>Agence Francaise de developpement</t>
  </si>
  <si>
    <t xml:space="preserve"> ცხრილი 9 (Capital), C2</t>
  </si>
  <si>
    <t xml:space="preserve"> ცხრილი 9 (Capital), C3</t>
  </si>
  <si>
    <t xml:space="preserve"> ცხრილი 9 (Capital), C6</t>
  </si>
  <si>
    <t xml:space="preserve"> ცხრილი 9 (Capital), C10 </t>
  </si>
  <si>
    <t>ტომას ენგელჰარდტი</t>
  </si>
  <si>
    <t>www.credo.ge</t>
  </si>
  <si>
    <t>სს "კრედო ბანკი"</t>
  </si>
  <si>
    <t xml:space="preserve">Access Credo GmbH (Germany) </t>
  </si>
  <si>
    <t xml:space="preserve"> ცხრილი 9 (Capital), C28 და C38</t>
  </si>
  <si>
    <t>Almira Zejnilagic (Great Britain)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</si>
</sst>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11"/>
      <color rgb="FFFF0000"/>
      <name val="Calibri"/>
      <family val="2"/>
      <scheme val="minor"/>
    </font>
    <font>
      <b/>
      <sz val="9"/>
      <name val="Calibri"/>
      <family val="2"/>
      <scheme val="minor"/>
    </font>
  </fonts>
  <fills count="8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9"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88" fontId="2" fillId="69" borderId="98" applyFont="0">
      <alignment horizontal="right" vertical="center"/>
    </xf>
    <xf numFmtId="3" fontId="2" fillId="69" borderId="98" applyFont="0">
      <alignment horizontal="right" vertical="center"/>
    </xf>
    <xf numFmtId="0" fontId="83"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9"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3" fontId="2" fillId="74" borderId="98" applyFont="0">
      <alignment horizontal="right" vertical="center"/>
      <protection locked="0"/>
    </xf>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3" fontId="2" fillId="71" borderId="98" applyFont="0">
      <alignment horizontal="right" vertical="center"/>
      <protection locked="0"/>
    </xf>
    <xf numFmtId="0" fontId="66"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9"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2" fillId="70" borderId="99" applyNumberFormat="0" applyFont="0" applyBorder="0" applyProtection="0">
      <alignment horizontal="left" vertical="center"/>
    </xf>
    <xf numFmtId="9" fontId="2" fillId="70" borderId="98" applyFont="0" applyProtection="0">
      <alignment horizontal="right" vertical="center"/>
    </xf>
    <xf numFmtId="3" fontId="2" fillId="70" borderId="98" applyFont="0" applyProtection="0">
      <alignment horizontal="right" vertical="center"/>
    </xf>
    <xf numFmtId="0" fontId="62" fillId="69" borderId="99" applyFont="0" applyBorder="0">
      <alignment horizontal="center" wrapText="1"/>
    </xf>
    <xf numFmtId="168" fontId="54" fillId="0" borderId="96">
      <alignment horizontal="left" vertical="center"/>
    </xf>
    <xf numFmtId="0" fontId="54" fillId="0" borderId="96">
      <alignment horizontal="left" vertical="center"/>
    </xf>
    <xf numFmtId="0" fontId="54" fillId="0" borderId="96">
      <alignment horizontal="left" vertical="center"/>
    </xf>
    <xf numFmtId="0" fontId="2" fillId="68" borderId="98" applyNumberFormat="0" applyFont="0" applyBorder="0" applyProtection="0">
      <alignment horizontal="center" vertical="center"/>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8"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9"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52">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6" xfId="0" applyNumberFormat="1" applyFont="1" applyBorder="1" applyAlignment="1">
      <alignment horizontal="right" vertical="center"/>
    </xf>
    <xf numFmtId="49" fontId="106" fillId="0" borderId="79" xfId="0" applyNumberFormat="1" applyFont="1" applyBorder="1" applyAlignment="1">
      <alignment horizontal="right" vertical="center"/>
    </xf>
    <xf numFmtId="49" fontId="106" fillId="0" borderId="84" xfId="0" applyNumberFormat="1" applyFont="1" applyBorder="1" applyAlignment="1">
      <alignment horizontal="right" vertical="center"/>
    </xf>
    <xf numFmtId="0" fontId="106" fillId="0" borderId="0" xfId="0" applyFont="1" applyAlignment="1">
      <alignment horizontal="left"/>
    </xf>
    <xf numFmtId="0" fontId="106" fillId="0" borderId="84"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9" fillId="0" borderId="13" xfId="0" applyNumberFormat="1" applyFont="1" applyBorder="1" applyAlignment="1">
      <alignment vertical="center"/>
    </xf>
    <xf numFmtId="193" fontId="4" fillId="0" borderId="3" xfId="0" applyNumberFormat="1" applyFont="1" applyBorder="1"/>
    <xf numFmtId="193" fontId="4" fillId="35" borderId="23" xfId="0" applyNumberFormat="1" applyFont="1" applyFill="1" applyBorder="1"/>
    <xf numFmtId="193" fontId="4" fillId="0" borderId="19" xfId="0" applyNumberFormat="1" applyFont="1" applyBorder="1"/>
    <xf numFmtId="193" fontId="4" fillId="0" borderId="20" xfId="0" applyNumberFormat="1" applyFont="1" applyBorder="1"/>
    <xf numFmtId="193" fontId="4" fillId="35" borderId="51" xfId="0" applyNumberFormat="1" applyFont="1" applyFill="1" applyBorder="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xf numFmtId="0" fontId="4" fillId="0" borderId="26" xfId="0" applyFont="1" applyBorder="1" applyAlignment="1">
      <alignment wrapText="1"/>
    </xf>
    <xf numFmtId="193" fontId="4" fillId="0" borderId="21" xfId="0" applyNumberFormat="1" applyFont="1" applyBorder="1"/>
    <xf numFmtId="193" fontId="4" fillId="0" borderId="21" xfId="0" applyNumberFormat="1"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5" borderId="24" xfId="20961" applyFont="1" applyFill="1" applyBorder="1"/>
    <xf numFmtId="167" fontId="4" fillId="0" borderId="20" xfId="0" applyNumberFormat="1" applyFont="1" applyBorder="1"/>
    <xf numFmtId="167" fontId="6" fillId="35"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69" fontId="26" fillId="36" borderId="0" xfId="20"/>
    <xf numFmtId="169" fontId="26" fillId="36" borderId="92" xfId="20" applyBorder="1"/>
    <xf numFmtId="0" fontId="4" fillId="0" borderId="7" xfId="0" applyFont="1" applyBorder="1" applyAlignment="1">
      <alignment vertical="center"/>
    </xf>
    <xf numFmtId="0" fontId="4" fillId="0" borderId="98" xfId="0" applyFont="1" applyBorder="1" applyAlignment="1">
      <alignment vertical="center"/>
    </xf>
    <xf numFmtId="0" fontId="6" fillId="0" borderId="98" xfId="0" applyFont="1" applyBorder="1" applyAlignment="1">
      <alignment vertical="center"/>
    </xf>
    <xf numFmtId="0" fontId="4" fillId="0" borderId="17" xfId="0" applyFont="1" applyBorder="1" applyAlignment="1">
      <alignment vertical="center"/>
    </xf>
    <xf numFmtId="0" fontId="4" fillId="0" borderId="94" xfId="0" applyFont="1" applyBorder="1" applyAlignment="1">
      <alignment vertical="center"/>
    </xf>
    <xf numFmtId="0" fontId="4" fillId="0" borderId="95" xfId="0" applyFont="1" applyBorder="1" applyAlignment="1">
      <alignment vertical="center"/>
    </xf>
    <xf numFmtId="0" fontId="4" fillId="0" borderId="16" xfId="0" applyFont="1" applyBorder="1" applyAlignment="1">
      <alignment horizontal="center" vertical="center"/>
    </xf>
    <xf numFmtId="0" fontId="4" fillId="0" borderId="106" xfId="0" applyFont="1" applyBorder="1" applyAlignment="1">
      <alignment horizontal="center" vertical="center"/>
    </xf>
    <xf numFmtId="0" fontId="4" fillId="0" borderId="108" xfId="0" applyFont="1" applyBorder="1" applyAlignment="1">
      <alignment horizontal="center" vertical="center"/>
    </xf>
    <xf numFmtId="169" fontId="26" fillId="36" borderId="29" xfId="20" applyBorder="1"/>
    <xf numFmtId="169" fontId="26" fillId="36" borderId="109" xfId="20" applyBorder="1"/>
    <xf numFmtId="169" fontId="26" fillId="36" borderId="100"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96"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8" xfId="0" applyFont="1" applyBorder="1" applyAlignment="1">
      <alignment horizontal="center" vertical="center" wrapText="1"/>
    </xf>
    <xf numFmtId="0" fontId="106" fillId="0" borderId="86"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Border="1" applyAlignment="1">
      <alignment horizontal="center" vertical="center"/>
    </xf>
    <xf numFmtId="0" fontId="6" fillId="0" borderId="23" xfId="0" applyFont="1" applyBorder="1" applyAlignment="1">
      <alignment vertical="center"/>
    </xf>
    <xf numFmtId="169" fontId="26"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4" xfId="0" applyBorder="1"/>
    <xf numFmtId="0" fontId="0" fillId="0" borderId="22"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8"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8"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8"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8"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8" xfId="8" quotePrefix="1" applyNumberFormat="1" applyFont="1" applyFill="1" applyBorder="1" applyAlignment="1" applyProtection="1">
      <alignment horizontal="left" vertical="center" wrapText="1" indent="2"/>
      <protection locked="0"/>
    </xf>
    <xf numFmtId="3" fontId="21" fillId="0" borderId="98" xfId="0" applyNumberFormat="1" applyFont="1" applyBorder="1" applyAlignment="1">
      <alignment vertical="center" wrapText="1"/>
    </xf>
    <xf numFmtId="14" fontId="7" fillId="3" borderId="98" xfId="8" quotePrefix="1" applyNumberFormat="1" applyFont="1" applyFill="1" applyBorder="1" applyAlignment="1" applyProtection="1">
      <alignment horizontal="left" vertical="center" wrapText="1" indent="3"/>
      <protection locked="0"/>
    </xf>
    <xf numFmtId="0" fontId="11" fillId="0" borderId="98" xfId="17" applyFill="1" applyBorder="1" applyAlignment="1" applyProtection="1"/>
    <xf numFmtId="49" fontId="109" fillId="0" borderId="114" xfId="0" applyNumberFormat="1" applyFont="1" applyBorder="1" applyAlignment="1">
      <alignment horizontal="right" vertical="center" wrapText="1"/>
    </xf>
    <xf numFmtId="0" fontId="7" fillId="3" borderId="98" xfId="20960" applyFont="1" applyFill="1" applyBorder="1"/>
    <xf numFmtId="0" fontId="103" fillId="0" borderId="98" xfId="20960" applyFont="1" applyBorder="1" applyAlignment="1">
      <alignment horizontal="center" vertical="center"/>
    </xf>
    <xf numFmtId="0" fontId="4" fillId="0" borderId="98" xfId="0" applyFont="1" applyBorder="1"/>
    <xf numFmtId="0" fontId="11" fillId="0" borderId="98" xfId="17" applyFill="1" applyBorder="1" applyAlignment="1" applyProtection="1">
      <alignment horizontal="left" vertical="center" wrapText="1"/>
    </xf>
    <xf numFmtId="49" fontId="109" fillId="0" borderId="98" xfId="0" applyNumberFormat="1" applyFont="1" applyBorder="1" applyAlignment="1">
      <alignment horizontal="right" vertical="center" wrapText="1"/>
    </xf>
    <xf numFmtId="0" fontId="11" fillId="0" borderId="98" xfId="17" applyFill="1" applyBorder="1" applyAlignment="1" applyProtection="1">
      <alignment horizontal="left" vertical="center"/>
    </xf>
    <xf numFmtId="10" fontId="7" fillId="0" borderId="98" xfId="20961" applyNumberFormat="1" applyFont="1" applyFill="1" applyBorder="1" applyAlignment="1">
      <alignment horizontal="left" vertical="center" wrapText="1"/>
    </xf>
    <xf numFmtId="10" fontId="4" fillId="0"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left" vertical="center" wrapText="1"/>
    </xf>
    <xf numFmtId="10" fontId="109" fillId="0" borderId="98" xfId="20961" applyNumberFormat="1" applyFont="1" applyFill="1" applyBorder="1" applyAlignment="1">
      <alignment horizontal="left" vertical="center" wrapText="1"/>
    </xf>
    <xf numFmtId="10" fontId="6" fillId="35"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8" xfId="0" applyFont="1" applyBorder="1" applyAlignment="1">
      <alignment vertical="center" wrapText="1"/>
    </xf>
    <xf numFmtId="0" fontId="4" fillId="0" borderId="98" xfId="0" applyFont="1" applyBorder="1" applyAlignment="1">
      <alignment vertical="center" wrapText="1"/>
    </xf>
    <xf numFmtId="0" fontId="4" fillId="0" borderId="98" xfId="0" applyFont="1" applyBorder="1" applyAlignment="1">
      <alignment horizontal="left" vertical="center" wrapText="1" indent="2"/>
    </xf>
    <xf numFmtId="3" fontId="21" fillId="35" borderId="99"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99" xfId="0" applyNumberFormat="1" applyFont="1" applyBorder="1" applyAlignment="1">
      <alignment vertical="center" wrapText="1"/>
    </xf>
    <xf numFmtId="3" fontId="21" fillId="0" borderId="21" xfId="0" applyNumberFormat="1" applyFont="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2" xfId="0" applyFont="1" applyBorder="1"/>
    <xf numFmtId="0" fontId="9" fillId="0" borderId="112" xfId="0" applyFont="1" applyBorder="1"/>
    <xf numFmtId="0" fontId="10" fillId="0" borderId="18" xfId="0" applyFont="1" applyBorder="1" applyAlignment="1">
      <alignment horizontal="center"/>
    </xf>
    <xf numFmtId="0" fontId="10" fillId="0" borderId="112"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8" xfId="0" applyFont="1" applyBorder="1" applyAlignment="1">
      <alignment horizontal="center" vertical="center" wrapText="1"/>
    </xf>
    <xf numFmtId="0" fontId="16" fillId="0" borderId="98" xfId="0" applyFont="1" applyBorder="1" applyAlignment="1">
      <alignment horizontal="left" vertical="center" wrapText="1"/>
    </xf>
    <xf numFmtId="193" fontId="7" fillId="0" borderId="98" xfId="0" applyNumberFormat="1" applyFont="1" applyBorder="1" applyAlignment="1" applyProtection="1">
      <alignment vertical="center" wrapText="1"/>
      <protection locked="0"/>
    </xf>
    <xf numFmtId="193" fontId="4" fillId="0" borderId="98" xfId="0" applyNumberFormat="1" applyFont="1" applyBorder="1" applyAlignment="1" applyProtection="1">
      <alignment vertical="center" wrapText="1"/>
      <protection locked="0"/>
    </xf>
    <xf numFmtId="193" fontId="4" fillId="0" borderId="112" xfId="0" applyNumberFormat="1" applyFont="1" applyBorder="1" applyAlignment="1" applyProtection="1">
      <alignment vertical="center" wrapText="1"/>
      <protection locked="0"/>
    </xf>
    <xf numFmtId="193" fontId="7" fillId="0" borderId="98" xfId="0" applyNumberFormat="1" applyFont="1" applyBorder="1" applyAlignment="1" applyProtection="1">
      <alignment horizontal="right" vertical="center" wrapText="1"/>
      <protection locked="0"/>
    </xf>
    <xf numFmtId="0" fontId="9" fillId="2" borderId="114" xfId="0" applyFont="1" applyFill="1" applyBorder="1" applyAlignment="1">
      <alignment horizontal="right" vertical="center"/>
    </xf>
    <xf numFmtId="0" fontId="9" fillId="2" borderId="98" xfId="0" applyFont="1" applyFill="1" applyBorder="1" applyAlignment="1">
      <alignment vertical="center"/>
    </xf>
    <xf numFmtId="193" fontId="9" fillId="2" borderId="98" xfId="0" applyNumberFormat="1" applyFont="1" applyFill="1" applyBorder="1" applyAlignment="1" applyProtection="1">
      <alignment vertical="center"/>
      <protection locked="0"/>
    </xf>
    <xf numFmtId="193" fontId="17" fillId="2" borderId="98" xfId="0" applyNumberFormat="1" applyFont="1" applyFill="1" applyBorder="1" applyAlignment="1" applyProtection="1">
      <alignment vertical="center"/>
      <protection locked="0"/>
    </xf>
    <xf numFmtId="193" fontId="17" fillId="2" borderId="112" xfId="0" applyNumberFormat="1" applyFont="1" applyFill="1" applyBorder="1" applyAlignment="1" applyProtection="1">
      <alignment vertical="center"/>
      <protection locked="0"/>
    </xf>
    <xf numFmtId="193" fontId="9" fillId="2" borderId="112"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10" fontId="4" fillId="0" borderId="98" xfId="20961" applyNumberFormat="1" applyFont="1" applyFill="1" applyBorder="1" applyAlignment="1" applyProtection="1">
      <alignment horizontal="right" vertical="center" wrapText="1"/>
      <protection locked="0"/>
    </xf>
    <xf numFmtId="10" fontId="4" fillId="0" borderId="98" xfId="20961" applyNumberFormat="1" applyFont="1" applyBorder="1" applyAlignment="1" applyProtection="1">
      <alignment vertical="center" wrapText="1"/>
      <protection locked="0"/>
    </xf>
    <xf numFmtId="10" fontId="4" fillId="0" borderId="112" xfId="20961" applyNumberFormat="1" applyFont="1" applyBorder="1" applyAlignment="1" applyProtection="1">
      <alignment vertical="center" wrapText="1"/>
      <protection locked="0"/>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8"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2" xfId="0" applyFont="1" applyFill="1" applyBorder="1" applyAlignment="1">
      <alignment horizontal="center" vertical="center" wrapText="1"/>
    </xf>
    <xf numFmtId="0" fontId="4" fillId="0" borderId="114" xfId="0" applyFont="1" applyBorder="1"/>
    <xf numFmtId="0" fontId="4" fillId="0" borderId="98" xfId="0" applyFont="1" applyBorder="1" applyAlignment="1">
      <alignment wrapText="1"/>
    </xf>
    <xf numFmtId="164" fontId="4" fillId="0" borderId="98" xfId="7" applyNumberFormat="1" applyFont="1" applyBorder="1"/>
    <xf numFmtId="164" fontId="4" fillId="0" borderId="112" xfId="7" applyNumberFormat="1" applyFont="1" applyBorder="1"/>
    <xf numFmtId="0" fontId="14" fillId="0" borderId="98" xfId="0" applyFont="1" applyBorder="1" applyAlignment="1">
      <alignment horizontal="left" wrapText="1" indent="2"/>
    </xf>
    <xf numFmtId="169" fontId="26" fillId="36" borderId="98" xfId="20" applyBorder="1"/>
    <xf numFmtId="164" fontId="4" fillId="0" borderId="98" xfId="7" applyNumberFormat="1" applyFont="1" applyBorder="1" applyAlignment="1">
      <alignment vertical="center"/>
    </xf>
    <xf numFmtId="0" fontId="6" fillId="0" borderId="114" xfId="0" applyFont="1" applyBorder="1"/>
    <xf numFmtId="0" fontId="6" fillId="0" borderId="98" xfId="0" applyFont="1" applyBorder="1" applyAlignment="1">
      <alignment wrapText="1"/>
    </xf>
    <xf numFmtId="164" fontId="6" fillId="0" borderId="112"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0" fontId="14" fillId="0" borderId="98" xfId="0" applyFont="1" applyBorder="1" applyAlignment="1">
      <alignment horizontal="left" wrapText="1" indent="4"/>
    </xf>
    <xf numFmtId="0" fontId="4" fillId="3" borderId="0" xfId="0" applyFont="1" applyFill="1" applyAlignment="1">
      <alignment wrapText="1"/>
    </xf>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5" xfId="20" applyBorder="1"/>
    <xf numFmtId="10" fontId="6" fillId="0" borderId="24" xfId="20961" applyNumberFormat="1" applyFont="1" applyBorder="1"/>
    <xf numFmtId="0" fontId="9" fillId="2" borderId="106"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7" xfId="0" applyNumberFormat="1" applyFont="1" applyFill="1" applyBorder="1" applyAlignment="1" applyProtection="1">
      <alignment vertical="center"/>
      <protection locked="0"/>
    </xf>
    <xf numFmtId="0" fontId="9" fillId="0" borderId="98" xfId="0" applyFont="1" applyBorder="1" applyAlignment="1">
      <alignment horizontal="left" vertical="center" wrapText="1"/>
    </xf>
    <xf numFmtId="0" fontId="6" fillId="3" borderId="0" xfId="0" applyFont="1" applyFill="1" applyAlignment="1">
      <alignment horizontal="center"/>
    </xf>
    <xf numFmtId="0" fontId="106" fillId="0" borderId="86" xfId="0" applyFont="1" applyBorder="1" applyAlignment="1">
      <alignment horizontal="left" vertical="center"/>
    </xf>
    <xf numFmtId="0" fontId="106" fillId="0" borderId="84" xfId="0" applyFont="1" applyBorder="1" applyAlignment="1">
      <alignment vertical="center" wrapText="1"/>
    </xf>
    <xf numFmtId="0" fontId="106" fillId="0" borderId="84"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49" fontId="106" fillId="0" borderId="98"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193" fontId="7" fillId="3" borderId="112" xfId="2" applyNumberFormat="1" applyFont="1" applyFill="1" applyBorder="1" applyAlignment="1" applyProtection="1">
      <alignment vertical="top" wrapText="1"/>
      <protection locked="0"/>
    </xf>
    <xf numFmtId="0" fontId="9" fillId="0" borderId="98" xfId="0" applyFont="1" applyBorder="1" applyAlignment="1">
      <alignment horizontal="center" vertical="center" wrapText="1"/>
    </xf>
    <xf numFmtId="0" fontId="3" fillId="0" borderId="98" xfId="0" applyFont="1" applyBorder="1" applyAlignment="1">
      <alignment horizontal="center" vertical="center"/>
    </xf>
    <xf numFmtId="0" fontId="130" fillId="3" borderId="98" xfId="21414" applyFont="1" applyFill="1" applyBorder="1" applyAlignment="1">
      <alignment horizontal="left" vertical="center" wrapText="1"/>
    </xf>
    <xf numFmtId="0" fontId="0" fillId="0" borderId="98" xfId="0" applyBorder="1"/>
    <xf numFmtId="0" fontId="0" fillId="35" borderId="98" xfId="0" applyFill="1" applyBorder="1"/>
    <xf numFmtId="0" fontId="131" fillId="0" borderId="98" xfId="21414" applyFont="1" applyBorder="1" applyAlignment="1">
      <alignment horizontal="left" vertical="center" wrapText="1" indent="1"/>
    </xf>
    <xf numFmtId="0" fontId="132" fillId="3" borderId="98" xfId="21414" applyFont="1" applyFill="1" applyBorder="1" applyAlignment="1">
      <alignment horizontal="left" vertical="center" wrapText="1"/>
    </xf>
    <xf numFmtId="0" fontId="131" fillId="3" borderId="98"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0" fillId="0" borderId="98" xfId="0" applyBorder="1" applyAlignment="1">
      <alignment vertical="center"/>
    </xf>
    <xf numFmtId="0" fontId="0" fillId="35" borderId="98" xfId="0" applyFill="1" applyBorder="1" applyAlignment="1">
      <alignment vertical="center"/>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8" xfId="21414" applyFont="1" applyBorder="1" applyAlignment="1">
      <alignment horizontal="left" vertical="center" wrapText="1" indent="1"/>
    </xf>
    <xf numFmtId="0" fontId="132" fillId="0" borderId="98" xfId="21414" applyFont="1" applyBorder="1" applyAlignment="1">
      <alignment horizontal="left" vertical="center" wrapText="1"/>
    </xf>
    <xf numFmtId="0" fontId="134" fillId="0" borderId="98" xfId="21414" applyFont="1" applyBorder="1" applyAlignment="1">
      <alignment horizontal="center" vertical="center" wrapText="1"/>
    </xf>
    <xf numFmtId="0" fontId="132" fillId="3" borderId="137" xfId="0" applyFont="1" applyFill="1" applyBorder="1" applyAlignment="1">
      <alignment horizontal="left" vertical="center" wrapText="1"/>
    </xf>
    <xf numFmtId="0" fontId="0" fillId="0" borderId="138" xfId="0" applyBorder="1"/>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9" fillId="0" borderId="138" xfId="0" applyFont="1" applyBorder="1" applyAlignment="1">
      <alignment horizontal="center" vertical="center" wrapText="1"/>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9" fillId="0" borderId="112" xfId="0" applyFont="1" applyBorder="1" applyAlignment="1">
      <alignment horizontal="center" vertical="center" wrapText="1"/>
    </xf>
    <xf numFmtId="0" fontId="0" fillId="0" borderId="138" xfId="0" applyBorder="1" applyAlignment="1">
      <alignment horizontal="center"/>
    </xf>
    <xf numFmtId="193" fontId="9" fillId="0" borderId="138" xfId="0" applyNumberFormat="1" applyFont="1" applyBorder="1" applyAlignment="1">
      <alignment horizontal="right"/>
    </xf>
    <xf numFmtId="193" fontId="9" fillId="35" borderId="138" xfId="0" applyNumberFormat="1" applyFont="1" applyFill="1" applyBorder="1" applyAlignment="1">
      <alignment horizontal="right"/>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193" fontId="9" fillId="0" borderId="0" xfId="0" applyNumberFormat="1" applyFont="1" applyAlignment="1">
      <alignment horizontal="right"/>
    </xf>
    <xf numFmtId="49" fontId="106" fillId="0" borderId="138" xfId="0" applyNumberFormat="1" applyFont="1" applyBorder="1" applyAlignment="1">
      <alignment horizontal="right" vertical="center"/>
    </xf>
    <xf numFmtId="0" fontId="0" fillId="0" borderId="138" xfId="0" applyBorder="1" applyAlignment="1">
      <alignment horizontal="center" vertical="center"/>
    </xf>
    <xf numFmtId="43" fontId="4" fillId="0" borderId="138" xfId="7" applyFont="1" applyFill="1" applyBorder="1" applyAlignment="1">
      <alignment vertical="center" wrapText="1"/>
    </xf>
    <xf numFmtId="43" fontId="4" fillId="0" borderId="98" xfId="7" applyFont="1" applyBorder="1" applyAlignment="1">
      <alignment vertical="center"/>
    </xf>
    <xf numFmtId="43" fontId="4" fillId="0" borderId="138" xfId="7" applyFont="1" applyBorder="1" applyAlignment="1">
      <alignment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167" fontId="23" fillId="0" borderId="138" xfId="0" applyNumberFormat="1" applyFont="1" applyBorder="1" applyAlignment="1">
      <alignment horizontal="center"/>
    </xf>
    <xf numFmtId="0" fontId="23" fillId="0" borderId="138" xfId="0" applyFont="1" applyBorder="1"/>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67" fontId="22" fillId="0" borderId="56" xfId="0" applyNumberFormat="1" applyFont="1" applyBorder="1" applyAlignment="1">
      <alignment horizontal="center"/>
    </xf>
    <xf numFmtId="167" fontId="18" fillId="0" borderId="58" xfId="0" applyNumberFormat="1" applyFont="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Border="1" applyAlignment="1">
      <alignment horizontal="center" vertical="center"/>
    </xf>
    <xf numFmtId="193" fontId="23" fillId="0" borderId="138" xfId="0" applyNumberFormat="1" applyFont="1" applyBorder="1" applyAlignment="1">
      <alignment horizontal="center" vertical="center"/>
    </xf>
    <xf numFmtId="0" fontId="23" fillId="0" borderId="138" xfId="0" applyFont="1" applyBorder="1" applyAlignment="1">
      <alignment horizontal="center"/>
    </xf>
    <xf numFmtId="0" fontId="23" fillId="0" borderId="138"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38" xfId="0" applyNumberFormat="1" applyFont="1" applyBorder="1" applyAlignment="1">
      <alignment horizontal="center" vertical="center"/>
    </xf>
    <xf numFmtId="0" fontId="22" fillId="0" borderId="138" xfId="0" applyFont="1" applyBorder="1" applyAlignment="1">
      <alignment horizontal="center" vertic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20" fillId="0" borderId="146" xfId="0" applyFont="1" applyBorder="1" applyAlignment="1">
      <alignment horizontal="center" vertical="center" wrapText="1"/>
    </xf>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9" fillId="80" borderId="146" xfId="0" applyFont="1" applyFill="1" applyBorder="1"/>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8"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5" xfId="7" applyNumberFormat="1" applyFont="1" applyFill="1" applyBorder="1" applyAlignment="1">
      <alignment horizontal="left" vertical="center"/>
    </xf>
    <xf numFmtId="194"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4" fontId="6" fillId="86" borderId="146" xfId="7" applyNumberFormat="1" applyFont="1" applyFill="1" applyBorder="1" applyAlignment="1">
      <alignment vertical="center"/>
    </xf>
    <xf numFmtId="194"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4"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4" fontId="153" fillId="83" borderId="146" xfId="7" applyNumberFormat="1" applyFont="1" applyFill="1" applyBorder="1" applyAlignment="1">
      <alignment vertical="center"/>
    </xf>
    <xf numFmtId="194" fontId="153" fillId="84" borderId="155" xfId="7" applyNumberFormat="1" applyFont="1" applyFill="1" applyBorder="1" applyAlignment="1">
      <alignment vertical="center"/>
    </xf>
    <xf numFmtId="194" fontId="154" fillId="82" borderId="146" xfId="7" applyNumberFormat="1" applyFont="1" applyFill="1" applyBorder="1" applyAlignment="1">
      <alignment vertical="center"/>
    </xf>
    <xf numFmtId="194"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4" fontId="154" fillId="82" borderId="153" xfId="7" applyNumberFormat="1" applyFont="1" applyFill="1" applyBorder="1" applyAlignment="1">
      <alignment vertical="center"/>
    </xf>
    <xf numFmtId="194"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8" xfId="0" applyNumberFormat="1" applyFont="1" applyBorder="1" applyAlignment="1">
      <alignment horizontal="right" vertical="center"/>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193" fontId="9" fillId="0" borderId="146" xfId="0" applyNumberFormat="1" applyFont="1" applyBorder="1" applyAlignment="1">
      <alignment horizontal="right"/>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4"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4"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4"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4"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4"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5" fontId="139" fillId="80" borderId="146" xfId="5" applyNumberFormat="1" applyFont="1" applyFill="1" applyBorder="1" applyProtection="1">
      <protection locked="0"/>
    </xf>
    <xf numFmtId="164"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10" fontId="4" fillId="87" borderId="98" xfId="20961" applyNumberFormat="1" applyFont="1" applyFill="1" applyBorder="1" applyAlignment="1" applyProtection="1">
      <alignment horizontal="right" vertical="center" wrapText="1"/>
      <protection locked="0"/>
    </xf>
    <xf numFmtId="10" fontId="4" fillId="87" borderId="98" xfId="20961" applyNumberFormat="1" applyFont="1" applyFill="1" applyBorder="1" applyAlignment="1" applyProtection="1">
      <alignment vertical="center" wrapText="1"/>
      <protection locked="0"/>
    </xf>
    <xf numFmtId="10" fontId="4" fillId="87" borderId="112" xfId="20961" applyNumberFormat="1" applyFont="1" applyFill="1" applyBorder="1" applyAlignment="1" applyProtection="1">
      <alignment vertical="center" wrapText="1"/>
      <protection locked="0"/>
    </xf>
    <xf numFmtId="10" fontId="17" fillId="2" borderId="98" xfId="20961" applyNumberFormat="1" applyFont="1" applyFill="1" applyBorder="1" applyAlignment="1" applyProtection="1">
      <alignment vertical="center"/>
      <protection locked="0"/>
    </xf>
    <xf numFmtId="10" fontId="17" fillId="2" borderId="112" xfId="20961" applyNumberFormat="1" applyFont="1" applyFill="1" applyBorder="1" applyAlignment="1" applyProtection="1">
      <alignment vertical="center"/>
      <protection locked="0"/>
    </xf>
    <xf numFmtId="10" fontId="9" fillId="2" borderId="98" xfId="20961" applyNumberFormat="1" applyFont="1" applyFill="1" applyBorder="1" applyAlignment="1" applyProtection="1">
      <alignment vertical="center"/>
      <protection locked="0"/>
    </xf>
    <xf numFmtId="10" fontId="9" fillId="2" borderId="112"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64" fontId="0" fillId="0" borderId="98" xfId="7" applyNumberFormat="1" applyFont="1" applyBorder="1"/>
    <xf numFmtId="164" fontId="0" fillId="35" borderId="98" xfId="7" applyNumberFormat="1" applyFont="1" applyFill="1" applyBorder="1"/>
    <xf numFmtId="164" fontId="0" fillId="0" borderId="138" xfId="7" applyNumberFormat="1" applyFont="1" applyBorder="1"/>
    <xf numFmtId="164" fontId="0" fillId="35" borderId="138" xfId="7" applyNumberFormat="1" applyFont="1" applyFill="1" applyBorder="1"/>
    <xf numFmtId="164" fontId="9" fillId="0" borderId="138" xfId="7" applyNumberFormat="1" applyFont="1" applyBorder="1" applyAlignment="1">
      <alignment horizontal="right"/>
    </xf>
    <xf numFmtId="164" fontId="9" fillId="35" borderId="112" xfId="7" applyNumberFormat="1" applyFont="1" applyFill="1" applyBorder="1" applyAlignment="1">
      <alignment horizontal="right"/>
    </xf>
    <xf numFmtId="164" fontId="0" fillId="0" borderId="0" xfId="7" applyNumberFormat="1" applyFont="1"/>
    <xf numFmtId="164" fontId="0" fillId="0" borderId="0" xfId="0" applyNumberFormat="1"/>
    <xf numFmtId="164" fontId="0" fillId="0" borderId="98" xfId="7" applyNumberFormat="1" applyFont="1" applyBorder="1" applyAlignment="1">
      <alignment vertical="center"/>
    </xf>
    <xf numFmtId="164" fontId="0" fillId="35" borderId="98" xfId="7" applyNumberFormat="1" applyFont="1" applyFill="1" applyBorder="1" applyAlignment="1">
      <alignment vertical="center"/>
    </xf>
    <xf numFmtId="10" fontId="9" fillId="2" borderId="23" xfId="20961" applyNumberFormat="1" applyFont="1" applyFill="1" applyBorder="1" applyAlignment="1" applyProtection="1">
      <alignment vertical="center"/>
      <protection locked="0"/>
    </xf>
    <xf numFmtId="0" fontId="9" fillId="0" borderId="156" xfId="0" applyFont="1" applyBorder="1" applyAlignment="1">
      <alignment vertical="center"/>
    </xf>
    <xf numFmtId="0" fontId="13" fillId="0" borderId="149" xfId="0" applyFont="1" applyBorder="1" applyAlignment="1">
      <alignment wrapText="1"/>
    </xf>
    <xf numFmtId="0" fontId="9" fillId="0" borderId="106" xfId="0" applyFont="1" applyBorder="1" applyAlignment="1">
      <alignment vertical="center"/>
    </xf>
    <xf numFmtId="0" fontId="13" fillId="0" borderId="145" xfId="0" applyFont="1" applyBorder="1" applyAlignment="1">
      <alignment wrapText="1"/>
    </xf>
    <xf numFmtId="10" fontId="4" fillId="0" borderId="155" xfId="20961" applyNumberFormat="1" applyFont="1" applyBorder="1"/>
    <xf numFmtId="164" fontId="4" fillId="0" borderId="138" xfId="7" applyNumberFormat="1" applyFont="1" applyBorder="1" applyAlignment="1">
      <alignment vertical="center"/>
    </xf>
    <xf numFmtId="164" fontId="4" fillId="0" borderId="138" xfId="7" applyNumberFormat="1" applyFont="1" applyFill="1" applyBorder="1" applyAlignment="1">
      <alignment vertical="center" wrapText="1"/>
    </xf>
    <xf numFmtId="164" fontId="6" fillId="0" borderId="138" xfId="7" applyNumberFormat="1" applyFont="1" applyFill="1" applyBorder="1" applyAlignment="1">
      <alignment vertical="center" wrapText="1"/>
    </xf>
    <xf numFmtId="164" fontId="6" fillId="0" borderId="138" xfId="7" applyNumberFormat="1" applyFont="1" applyBorder="1" applyAlignment="1">
      <alignment vertical="center"/>
    </xf>
    <xf numFmtId="164" fontId="6" fillId="0" borderId="98" xfId="7" applyNumberFormat="1" applyFont="1" applyBorder="1" applyAlignment="1">
      <alignment vertical="center"/>
    </xf>
    <xf numFmtId="3" fontId="163" fillId="3" borderId="146" xfId="2" applyNumberFormat="1" applyFont="1" applyFill="1" applyBorder="1" applyAlignment="1" applyProtection="1">
      <alignment vertical="top"/>
      <protection locked="0"/>
    </xf>
    <xf numFmtId="164" fontId="4"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9"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0" fontId="23" fillId="0" borderId="146" xfId="0" applyFont="1" applyBorder="1"/>
    <xf numFmtId="164" fontId="4" fillId="35" borderId="24" xfId="7" applyNumberFormat="1" applyFont="1" applyFill="1" applyBorder="1"/>
    <xf numFmtId="164" fontId="139" fillId="3" borderId="146" xfId="7" applyNumberFormat="1" applyFont="1" applyFill="1" applyBorder="1" applyProtection="1">
      <protection locked="0"/>
    </xf>
    <xf numFmtId="38" fontId="113" fillId="0" borderId="146" xfId="948" applyNumberFormat="1" applyFont="1" applyFill="1" applyBorder="1" applyAlignment="1" applyProtection="1">
      <alignment horizontal="right" vertical="center"/>
      <protection locked="0"/>
    </xf>
    <xf numFmtId="165" fontId="113" fillId="77" borderId="146" xfId="20961" applyNumberFormat="1" applyFont="1" applyFill="1" applyBorder="1" applyAlignment="1" applyProtection="1">
      <alignment horizontal="right" vertical="center"/>
    </xf>
    <xf numFmtId="164" fontId="4" fillId="0" borderId="98" xfId="7" applyNumberFormat="1" applyFont="1" applyBorder="1" applyAlignment="1"/>
    <xf numFmtId="164" fontId="6" fillId="0" borderId="98" xfId="7" applyNumberFormat="1" applyFont="1" applyBorder="1"/>
    <xf numFmtId="164" fontId="120" fillId="0" borderId="138" xfId="7" applyNumberFormat="1" applyFont="1" applyBorder="1"/>
    <xf numFmtId="164" fontId="116" fillId="0" borderId="146" xfId="7" applyNumberFormat="1" applyFont="1" applyBorder="1"/>
    <xf numFmtId="164" fontId="116" fillId="35" borderId="146" xfId="7" applyNumberFormat="1" applyFont="1" applyFill="1" applyBorder="1"/>
    <xf numFmtId="164" fontId="119" fillId="0" borderId="146" xfId="7" applyNumberFormat="1" applyFont="1" applyBorder="1"/>
    <xf numFmtId="164" fontId="4" fillId="0" borderId="99" xfId="7" applyNumberFormat="1" applyFont="1" applyBorder="1" applyAlignment="1">
      <alignment vertical="center"/>
    </xf>
    <xf numFmtId="164" fontId="4" fillId="0" borderId="112" xfId="7" applyNumberFormat="1" applyFont="1" applyBorder="1" applyAlignment="1">
      <alignment vertical="center"/>
    </xf>
    <xf numFmtId="164" fontId="4" fillId="3" borderId="96"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25" xfId="7" applyNumberFormat="1" applyFont="1" applyBorder="1" applyAlignment="1">
      <alignment vertical="center"/>
    </xf>
    <xf numFmtId="164" fontId="4" fillId="0" borderId="53" xfId="7" applyNumberFormat="1" applyFont="1" applyBorder="1" applyAlignment="1">
      <alignment vertical="center"/>
    </xf>
    <xf numFmtId="164" fontId="6" fillId="0" borderId="99" xfId="7" applyNumberFormat="1" applyFont="1" applyBorder="1" applyAlignment="1">
      <alignment vertical="center"/>
    </xf>
    <xf numFmtId="164" fontId="6" fillId="0" borderId="23" xfId="7" applyNumberFormat="1" applyFont="1" applyBorder="1" applyAlignment="1">
      <alignment vertical="center"/>
    </xf>
    <xf numFmtId="164" fontId="6" fillId="0" borderId="53" xfId="7" applyNumberFormat="1" applyFont="1" applyBorder="1" applyAlignment="1">
      <alignment vertical="center"/>
    </xf>
    <xf numFmtId="164" fontId="6" fillId="0" borderId="64" xfId="7" applyNumberFormat="1" applyFont="1" applyBorder="1" applyAlignment="1">
      <alignment vertical="center"/>
    </xf>
    <xf numFmtId="164" fontId="6" fillId="0" borderId="25" xfId="7" applyNumberFormat="1" applyFont="1" applyBorder="1" applyAlignment="1">
      <alignment vertical="center"/>
    </xf>
    <xf numFmtId="164" fontId="4" fillId="3" borderId="26" xfId="7" applyNumberFormat="1" applyFont="1" applyFill="1" applyBorder="1" applyAlignment="1">
      <alignment vertical="center"/>
    </xf>
    <xf numFmtId="164" fontId="6" fillId="3" borderId="26" xfId="0" applyNumberFormat="1" applyFont="1" applyFill="1" applyBorder="1" applyAlignment="1">
      <alignment vertical="center"/>
    </xf>
    <xf numFmtId="164" fontId="4" fillId="3" borderId="145" xfId="7" applyNumberFormat="1" applyFont="1" applyFill="1" applyBorder="1" applyAlignment="1">
      <alignment vertical="center"/>
    </xf>
    <xf numFmtId="10" fontId="4" fillId="3" borderId="93" xfId="20961" applyNumberFormat="1" applyFont="1" applyFill="1" applyBorder="1" applyAlignment="1">
      <alignment vertical="center"/>
    </xf>
    <xf numFmtId="164" fontId="6" fillId="3" borderId="146" xfId="0" applyNumberFormat="1" applyFont="1" applyFill="1" applyBorder="1" applyAlignment="1">
      <alignment vertical="center"/>
    </xf>
    <xf numFmtId="164" fontId="4" fillId="3" borderId="146" xfId="7" applyNumberFormat="1" applyFont="1" applyFill="1" applyBorder="1" applyAlignment="1">
      <alignment vertical="center"/>
    </xf>
    <xf numFmtId="10" fontId="4" fillId="3" borderId="146" xfId="20961" applyNumberFormat="1" applyFont="1" applyFill="1" applyBorder="1" applyAlignment="1">
      <alignment vertical="center"/>
    </xf>
    <xf numFmtId="164" fontId="119" fillId="35" borderId="146" xfId="7" applyNumberFormat="1" applyFont="1" applyFill="1" applyBorder="1"/>
    <xf numFmtId="164" fontId="117" fillId="0" borderId="146" xfId="7" applyNumberFormat="1" applyFont="1" applyBorder="1"/>
    <xf numFmtId="164" fontId="120" fillId="0" borderId="146" xfId="7" applyNumberFormat="1" applyFont="1" applyBorder="1"/>
    <xf numFmtId="164" fontId="116" fillId="78" borderId="146" xfId="7" applyNumberFormat="1" applyFont="1" applyFill="1" applyBorder="1"/>
    <xf numFmtId="164" fontId="116" fillId="0" borderId="146" xfId="0" applyNumberFormat="1" applyFont="1" applyBorder="1" applyAlignment="1">
      <alignment horizontal="left" indent="1"/>
    </xf>
    <xf numFmtId="164" fontId="119" fillId="0" borderId="146" xfId="0" applyNumberFormat="1" applyFont="1" applyBorder="1" applyAlignment="1">
      <alignment horizontal="left" indent="1"/>
    </xf>
    <xf numFmtId="164" fontId="119" fillId="0" borderId="146" xfId="0" applyNumberFormat="1" applyFont="1" applyBorder="1"/>
    <xf numFmtId="164" fontId="116" fillId="0" borderId="146" xfId="7" applyNumberFormat="1" applyFont="1" applyBorder="1" applyAlignment="1">
      <alignment horizontal="left" indent="1"/>
    </xf>
    <xf numFmtId="164" fontId="116" fillId="0" borderId="146" xfId="7" applyNumberFormat="1" applyFont="1" applyBorder="1" applyAlignment="1">
      <alignment horizontal="center" vertical="center" wrapText="1"/>
    </xf>
    <xf numFmtId="164" fontId="116" fillId="0" borderId="146" xfId="7" applyNumberFormat="1" applyFont="1" applyBorder="1" applyAlignment="1">
      <alignment horizontal="center" vertical="center"/>
    </xf>
    <xf numFmtId="164" fontId="119" fillId="0" borderId="146" xfId="7" applyNumberFormat="1" applyFont="1" applyBorder="1" applyAlignment="1">
      <alignment horizontal="left" vertical="center" wrapText="1"/>
    </xf>
    <xf numFmtId="164" fontId="119" fillId="0" borderId="146" xfId="0" applyNumberFormat="1" applyFont="1" applyBorder="1" applyAlignment="1">
      <alignment horizontal="center" vertical="center"/>
    </xf>
    <xf numFmtId="164" fontId="119" fillId="0" borderId="69" xfId="7" applyNumberFormat="1" applyFont="1" applyBorder="1"/>
    <xf numFmtId="164" fontId="116" fillId="0" borderId="155" xfId="7" applyNumberFormat="1" applyFont="1" applyBorder="1"/>
    <xf numFmtId="164" fontId="116" fillId="0" borderId="156" xfId="7" applyNumberFormat="1" applyFont="1" applyBorder="1" applyAlignment="1">
      <alignment horizontal="left" indent="1"/>
    </xf>
    <xf numFmtId="164" fontId="116" fillId="0" borderId="156" xfId="7" applyNumberFormat="1" applyFont="1" applyBorder="1" applyAlignment="1">
      <alignment horizontal="left" indent="3"/>
    </xf>
    <xf numFmtId="164" fontId="116" fillId="79" borderId="156" xfId="7" applyNumberFormat="1" applyFont="1" applyFill="1" applyBorder="1"/>
    <xf numFmtId="164" fontId="116" fillId="79" borderId="146" xfId="7" applyNumberFormat="1" applyFont="1" applyFill="1" applyBorder="1"/>
    <xf numFmtId="164" fontId="116" fillId="79" borderId="155" xfId="7" applyNumberFormat="1" applyFont="1" applyFill="1" applyBorder="1"/>
    <xf numFmtId="164" fontId="116" fillId="0" borderId="153" xfId="7" applyNumberFormat="1" applyFont="1" applyBorder="1"/>
    <xf numFmtId="164" fontId="116" fillId="0" borderId="152" xfId="7" applyNumberFormat="1" applyFont="1" applyBorder="1"/>
    <xf numFmtId="164" fontId="116" fillId="0" borderId="69" xfId="7" applyNumberFormat="1" applyFont="1" applyBorder="1"/>
    <xf numFmtId="164" fontId="119" fillId="0" borderId="156" xfId="7" applyNumberFormat="1" applyFont="1" applyBorder="1" applyAlignment="1">
      <alignment horizontal="left" indent="2"/>
    </xf>
    <xf numFmtId="43" fontId="121" fillId="0" borderId="146" xfId="7" applyFont="1" applyBorder="1"/>
    <xf numFmtId="164" fontId="121" fillId="0" borderId="146" xfId="7" applyNumberFormat="1" applyFont="1" applyBorder="1"/>
    <xf numFmtId="164" fontId="164" fillId="0" borderId="146" xfId="0" applyNumberFormat="1" applyFont="1" applyBorder="1"/>
    <xf numFmtId="10" fontId="121" fillId="0" borderId="146" xfId="20961" applyNumberFormat="1" applyFont="1" applyBorder="1"/>
    <xf numFmtId="164" fontId="164" fillId="0" borderId="146" xfId="7" applyNumberFormat="1" applyFont="1" applyBorder="1"/>
    <xf numFmtId="164" fontId="121" fillId="0" borderId="147" xfId="7" applyNumberFormat="1" applyFont="1" applyBorder="1"/>
    <xf numFmtId="164" fontId="121" fillId="0" borderId="146" xfId="0" applyNumberFormat="1" applyFont="1" applyBorder="1"/>
    <xf numFmtId="164" fontId="6" fillId="0" borderId="98" xfId="7" applyNumberFormat="1" applyFont="1" applyFill="1" applyBorder="1"/>
    <xf numFmtId="164" fontId="6" fillId="0" borderId="98" xfId="7" applyNumberFormat="1" applyFont="1" applyFill="1" applyBorder="1" applyAlignment="1">
      <alignment vertical="center"/>
    </xf>
    <xf numFmtId="164" fontId="4" fillId="0" borderId="0" xfId="0" applyNumberFormat="1" applyFont="1"/>
    <xf numFmtId="164" fontId="4" fillId="0" borderId="0" xfId="7" applyNumberFormat="1" applyFont="1" applyFill="1"/>
    <xf numFmtId="164" fontId="15" fillId="0" borderId="98" xfId="7" applyNumberFormat="1" applyFont="1" applyBorder="1"/>
    <xf numFmtId="164" fontId="4" fillId="0" borderId="0" xfId="7" applyNumberFormat="1" applyFont="1"/>
    <xf numFmtId="0" fontId="102" fillId="0" borderId="146" xfId="0" applyFont="1" applyBorder="1"/>
    <xf numFmtId="0" fontId="11" fillId="0" borderId="146" xfId="17" applyBorder="1" applyAlignment="1" applyProtection="1"/>
    <xf numFmtId="10" fontId="4" fillId="0" borderId="112" xfId="20961" applyNumberFormat="1" applyFont="1" applyBorder="1"/>
    <xf numFmtId="10" fontId="4" fillId="0" borderId="107" xfId="20961" applyNumberFormat="1" applyFont="1" applyBorder="1"/>
    <xf numFmtId="10" fontId="4" fillId="0" borderId="24" xfId="20961" applyNumberFormat="1" applyFont="1" applyBorder="1"/>
    <xf numFmtId="164" fontId="3" fillId="0" borderId="98" xfId="7" applyNumberFormat="1" applyFont="1" applyBorder="1"/>
    <xf numFmtId="0" fontId="3" fillId="0" borderId="98" xfId="0" applyFont="1" applyBorder="1"/>
    <xf numFmtId="164" fontId="3" fillId="0" borderId="138" xfId="7" applyNumberFormat="1" applyFont="1" applyBorder="1"/>
    <xf numFmtId="164" fontId="0" fillId="0" borderId="138" xfId="7" applyNumberFormat="1" applyFont="1" applyFill="1" applyBorder="1"/>
    <xf numFmtId="164" fontId="10" fillId="0" borderId="138" xfId="7" applyNumberFormat="1" applyFont="1" applyBorder="1" applyAlignment="1">
      <alignment horizontal="right"/>
    </xf>
    <xf numFmtId="193" fontId="10" fillId="0" borderId="138" xfId="0" applyNumberFormat="1" applyFont="1" applyBorder="1" applyAlignment="1">
      <alignment horizontal="right"/>
    </xf>
    <xf numFmtId="164" fontId="10" fillId="0" borderId="146" xfId="7" applyNumberFormat="1" applyFont="1" applyBorder="1" applyAlignment="1">
      <alignment horizontal="right"/>
    </xf>
    <xf numFmtId="10" fontId="0" fillId="0" borderId="0" xfId="20961" applyNumberFormat="1" applyFont="1"/>
    <xf numFmtId="164" fontId="4" fillId="0" borderId="0" xfId="7" applyNumberFormat="1" applyFont="1" applyAlignment="1">
      <alignment horizontal="left" vertical="center"/>
    </xf>
    <xf numFmtId="164" fontId="4" fillId="0" borderId="0" xfId="0" applyNumberFormat="1" applyFont="1" applyAlignment="1">
      <alignment horizontal="left" vertical="center"/>
    </xf>
    <xf numFmtId="3" fontId="4" fillId="0" borderId="0" xfId="0" applyNumberFormat="1" applyFont="1"/>
    <xf numFmtId="0" fontId="7" fillId="3" borderId="3" xfId="13" applyFont="1" applyFill="1" applyBorder="1" applyAlignment="1" applyProtection="1">
      <alignment horizontal="center" vertical="center" wrapText="1"/>
      <protection locked="0"/>
    </xf>
    <xf numFmtId="193" fontId="9" fillId="0" borderId="98" xfId="0" applyNumberFormat="1" applyFont="1" applyBorder="1" applyAlignment="1" applyProtection="1">
      <alignment vertical="center"/>
      <protection locked="0"/>
    </xf>
    <xf numFmtId="10" fontId="9" fillId="0" borderId="98" xfId="20961" applyNumberFormat="1" applyFont="1" applyFill="1" applyBorder="1" applyAlignment="1" applyProtection="1">
      <alignment vertical="center"/>
      <protection locked="0"/>
    </xf>
    <xf numFmtId="164" fontId="116" fillId="0" borderId="0" xfId="7" applyNumberFormat="1" applyFont="1"/>
    <xf numFmtId="164" fontId="4" fillId="0" borderId="98" xfId="7" applyNumberFormat="1" applyFont="1" applyFill="1" applyBorder="1" applyAlignment="1"/>
    <xf numFmtId="164" fontId="4" fillId="0" borderId="98" xfId="7" applyNumberFormat="1" applyFont="1" applyFill="1" applyBorder="1"/>
    <xf numFmtId="164" fontId="3" fillId="0" borderId="146" xfId="7" applyNumberFormat="1" applyFont="1" applyBorder="1"/>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59" xfId="0" applyFont="1" applyBorder="1" applyAlignment="1">
      <alignment horizontal="center" vertical="center"/>
    </xf>
    <xf numFmtId="0" fontId="141" fillId="0" borderId="29" xfId="0" applyFont="1" applyBorder="1" applyAlignment="1">
      <alignment horizontal="center" vertical="center"/>
    </xf>
    <xf numFmtId="0" fontId="141" fillId="0" borderId="160" xfId="0" applyFont="1" applyBorder="1" applyAlignment="1">
      <alignment horizontal="center" vertical="center"/>
    </xf>
    <xf numFmtId="0" fontId="0" fillId="0" borderId="99"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0" fontId="0" fillId="0" borderId="141" xfId="0" applyBorder="1" applyAlignment="1">
      <alignment horizontal="center"/>
    </xf>
    <xf numFmtId="0" fontId="0" fillId="0" borderId="138"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center"/>
    </xf>
    <xf numFmtId="0" fontId="4" fillId="0" borderId="21" xfId="0" applyFont="1" applyBorder="1" applyAlignment="1">
      <alignment horizontal="center"/>
    </xf>
    <xf numFmtId="0" fontId="6" fillId="35" borderId="11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7"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lignment horizontal="center" vertical="center" wrapText="1"/>
    </xf>
    <xf numFmtId="0" fontId="6" fillId="86" borderId="155" xfId="0" applyFont="1" applyFill="1" applyBorder="1" applyAlignment="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05"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48" xfId="0"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3" xfId="0" applyFont="1" applyBorder="1" applyAlignment="1">
      <alignment horizontal="center" vertical="center"/>
    </xf>
    <xf numFmtId="0" fontId="118" fillId="0" borderId="11" xfId="0" applyFont="1" applyBorder="1" applyAlignment="1">
      <alignment horizontal="center" vertical="center"/>
    </xf>
    <xf numFmtId="0" fontId="119" fillId="0" borderId="146"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3"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55" xfId="0" applyFont="1" applyBorder="1" applyAlignment="1">
      <alignment horizontal="center" vertical="center" wrapText="1"/>
    </xf>
    <xf numFmtId="0" fontId="116" fillId="0" borderId="105" xfId="0" applyFont="1" applyBorder="1" applyAlignment="1">
      <alignment horizontal="center" vertical="center" wrapText="1"/>
    </xf>
    <xf numFmtId="0" fontId="119" fillId="0" borderId="54" xfId="0" applyFont="1" applyBorder="1" applyAlignment="1">
      <alignment horizontal="left" vertical="top" wrapText="1"/>
    </xf>
    <xf numFmtId="0" fontId="119" fillId="0" borderId="105" xfId="0" applyFont="1" applyBorder="1" applyAlignment="1">
      <alignment horizontal="left" vertical="top" wrapText="1"/>
    </xf>
    <xf numFmtId="0" fontId="119" fillId="0" borderId="63" xfId="0" applyFont="1" applyBorder="1" applyAlignment="1">
      <alignment horizontal="left" vertical="top" wrapText="1"/>
    </xf>
    <xf numFmtId="0" fontId="119" fillId="0" borderId="92"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9"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9" xfId="0" applyFont="1" applyBorder="1" applyAlignment="1">
      <alignment horizontal="left" vertical="top" wrapText="1"/>
    </xf>
    <xf numFmtId="0" fontId="106" fillId="0" borderId="148" xfId="0" applyFont="1" applyBorder="1" applyAlignment="1">
      <alignment horizontal="left" vertical="top" wrapText="1"/>
    </xf>
    <xf numFmtId="49" fontId="106" fillId="0" borderId="0" xfId="0" applyNumberFormat="1" applyFont="1" applyAlignment="1">
      <alignment horizontal="center" vertical="center"/>
    </xf>
    <xf numFmtId="0" fontId="106" fillId="0" borderId="146" xfId="0" applyFont="1" applyBorder="1" applyAlignment="1">
      <alignment horizontal="left" vertical="top" wrapText="1"/>
    </xf>
    <xf numFmtId="0" fontId="106" fillId="0" borderId="146" xfId="0" applyFont="1" applyBorder="1" applyAlignment="1">
      <alignment horizontal="left" vertical="center" wrapText="1"/>
    </xf>
    <xf numFmtId="0" fontId="105" fillId="75" borderId="146" xfId="0" applyFont="1" applyFill="1" applyBorder="1" applyAlignment="1">
      <alignment horizontal="center" vertical="center" wrapText="1"/>
    </xf>
    <xf numFmtId="0" fontId="106" fillId="0" borderId="146" xfId="0" applyFont="1" applyBorder="1" applyAlignment="1">
      <alignment horizontal="center"/>
    </xf>
    <xf numFmtId="0" fontId="106" fillId="0" borderId="99" xfId="0" applyFont="1" applyBorder="1" applyAlignment="1">
      <alignment horizontal="left" vertical="center" wrapText="1"/>
    </xf>
    <xf numFmtId="0" fontId="106" fillId="0" borderId="97" xfId="0" applyFont="1" applyBorder="1" applyAlignment="1">
      <alignment horizontal="left" vertical="center" wrapText="1"/>
    </xf>
    <xf numFmtId="0" fontId="105" fillId="0" borderId="146" xfId="0" applyFont="1" applyBorder="1" applyAlignment="1">
      <alignment horizontal="center" vertical="center"/>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5" xfId="0" applyFont="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3" xfId="0" applyFont="1" applyFill="1" applyBorder="1" applyAlignment="1">
      <alignment horizontal="center" vertical="center" wrapText="1"/>
    </xf>
    <xf numFmtId="0" fontId="106" fillId="0" borderId="99" xfId="0" applyFont="1" applyBorder="1" applyAlignment="1">
      <alignment vertical="center" wrapText="1"/>
    </xf>
    <xf numFmtId="0" fontId="106" fillId="0" borderId="97" xfId="0" applyFont="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99" xfId="0" applyFont="1" applyFill="1" applyBorder="1" applyAlignment="1">
      <alignment horizontal="left" vertical="center" wrapText="1"/>
    </xf>
    <xf numFmtId="0" fontId="106" fillId="3" borderId="97" xfId="0" applyFont="1" applyFill="1" applyBorder="1" applyAlignment="1">
      <alignment horizontal="left" vertical="center" wrapText="1"/>
    </xf>
    <xf numFmtId="0" fontId="106" fillId="0" borderId="77" xfId="0" applyFont="1" applyBorder="1" applyAlignment="1">
      <alignment horizontal="left" vertical="center" wrapText="1"/>
    </xf>
    <xf numFmtId="0" fontId="106" fillId="0" borderId="78" xfId="0" applyFont="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Border="1" applyAlignment="1">
      <alignment horizontal="left" vertical="center" wrapText="1"/>
    </xf>
    <xf numFmtId="0" fontId="106" fillId="0" borderId="11" xfId="0" applyFont="1" applyBorder="1" applyAlignment="1">
      <alignment horizontal="left" vertical="center" wrapText="1"/>
    </xf>
    <xf numFmtId="0" fontId="155" fillId="3" borderId="99" xfId="0" applyFont="1" applyFill="1" applyBorder="1" applyAlignment="1">
      <alignment horizontal="left" vertical="center" wrapText="1"/>
    </xf>
    <xf numFmtId="0" fontId="155" fillId="3" borderId="97" xfId="0" applyFont="1" applyFill="1" applyBorder="1" applyAlignment="1">
      <alignment horizontal="left" vertical="center" wrapText="1"/>
    </xf>
    <xf numFmtId="0" fontId="106" fillId="0" borderId="139" xfId="0" applyFont="1" applyBorder="1" applyAlignment="1">
      <alignment horizontal="left" vertical="center" wrapText="1"/>
    </xf>
    <xf numFmtId="0" fontId="106" fillId="0" borderId="140" xfId="0" applyFont="1" applyBorder="1" applyAlignment="1">
      <alignment horizontal="left" vertical="center" wrapText="1"/>
    </xf>
    <xf numFmtId="0" fontId="106" fillId="0" borderId="141" xfId="0" applyFont="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Border="1" applyAlignment="1">
      <alignment horizontal="left" vertical="center" wrapText="1"/>
    </xf>
    <xf numFmtId="0" fontId="106" fillId="0" borderId="81" xfId="0" applyFont="1" applyBorder="1" applyAlignment="1">
      <alignment horizontal="left" vertical="center" wrapText="1"/>
    </xf>
    <xf numFmtId="0" fontId="106" fillId="0" borderId="53" xfId="0" applyFont="1" applyBorder="1" applyAlignment="1">
      <alignment vertical="center" wrapText="1"/>
    </xf>
    <xf numFmtId="0" fontId="106" fillId="0" borderId="11" xfId="0" applyFont="1" applyBorder="1" applyAlignment="1">
      <alignment vertical="center" wrapText="1"/>
    </xf>
    <xf numFmtId="0" fontId="106" fillId="3" borderId="99" xfId="0" applyFont="1" applyFill="1" applyBorder="1" applyAlignment="1">
      <alignment vertical="center" wrapText="1"/>
    </xf>
    <xf numFmtId="0" fontId="106" fillId="3" borderId="97" xfId="0" applyFont="1" applyFill="1" applyBorder="1" applyAlignment="1">
      <alignment vertical="center" wrapText="1"/>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5" fillId="0" borderId="72" xfId="0" applyFont="1" applyBorder="1" applyAlignment="1">
      <alignment horizontal="center" vertical="center"/>
    </xf>
    <xf numFmtId="0" fontId="106" fillId="0" borderId="98" xfId="0" applyFont="1" applyBorder="1" applyAlignment="1">
      <alignment horizontal="left" vertical="center" wrapText="1"/>
    </xf>
    <xf numFmtId="0" fontId="155" fillId="3" borderId="99" xfId="0" applyFont="1" applyFill="1" applyBorder="1" applyAlignment="1">
      <alignment vertical="center" wrapText="1"/>
    </xf>
    <xf numFmtId="0" fontId="155" fillId="3" borderId="97" xfId="0" applyFont="1" applyFill="1" applyBorder="1" applyAlignment="1">
      <alignment vertical="center" wrapText="1"/>
    </xf>
    <xf numFmtId="0" fontId="106" fillId="0" borderId="99" xfId="0" applyFont="1" applyBorder="1" applyAlignment="1">
      <alignment horizontal="left"/>
    </xf>
    <xf numFmtId="0" fontId="106" fillId="0" borderId="97"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G1_I-BBB-QQ-YYYYMMDD-From2025-Q1%20&#4315;&#4312;&#4313;&#4320;&#4317;&#4305;&#4304;&#4316;&#4313;&#4308;&#4305;&#4312;%20-%20&#4313;&#4309;&#4304;&#4320;&#4322;&#4304;&#4314;&#4323;&#4320;&#4312;%20&#4318;&#4312;&#4314;&#4304;&#4320;%203%20(&#4325;&#4304;&#4320;&#4311;&#4323;&#4314;&#4308;&#4316;&#4317;&#4309;&#4304;&#4316;&#43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E34" t="b">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redo.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3" sqref="C3"/>
    </sheetView>
  </sheetViews>
  <sheetFormatPr defaultRowHeight="14.4"/>
  <cols>
    <col min="1" max="1" width="10.21875" style="1" customWidth="1"/>
    <col min="2" max="2" width="153" bestFit="1" customWidth="1"/>
    <col min="3" max="3" width="39.44140625" customWidth="1"/>
    <col min="7" max="7" width="25" customWidth="1"/>
  </cols>
  <sheetData>
    <row r="1" spans="1:3">
      <c r="A1" s="6"/>
      <c r="B1" s="93" t="s">
        <v>149</v>
      </c>
      <c r="C1" s="45"/>
    </row>
    <row r="2" spans="1:3" s="90" customFormat="1">
      <c r="A2" s="134">
        <v>1</v>
      </c>
      <c r="B2" s="91" t="s">
        <v>150</v>
      </c>
      <c r="C2" s="748" t="s">
        <v>1036</v>
      </c>
    </row>
    <row r="3" spans="1:3" s="90" customFormat="1">
      <c r="A3" s="134">
        <v>2</v>
      </c>
      <c r="B3" s="92" t="s">
        <v>151</v>
      </c>
      <c r="C3" s="748" t="s">
        <v>1034</v>
      </c>
    </row>
    <row r="4" spans="1:3" s="90" customFormat="1">
      <c r="A4" s="134">
        <v>3</v>
      </c>
      <c r="B4" s="92" t="s">
        <v>152</v>
      </c>
      <c r="C4" s="748" t="s">
        <v>1007</v>
      </c>
    </row>
    <row r="5" spans="1:3" s="90" customFormat="1">
      <c r="A5" s="135">
        <v>4</v>
      </c>
      <c r="B5" s="95" t="s">
        <v>153</v>
      </c>
      <c r="C5" s="749" t="s">
        <v>1035</v>
      </c>
    </row>
    <row r="6" spans="1:3" s="94" customFormat="1" ht="65.25" customHeight="1">
      <c r="A6" s="771" t="s">
        <v>310</v>
      </c>
      <c r="B6" s="772"/>
      <c r="C6" s="772"/>
    </row>
    <row r="7" spans="1:3">
      <c r="A7" s="234" t="s">
        <v>241</v>
      </c>
      <c r="B7" s="235" t="s">
        <v>154</v>
      </c>
    </row>
    <row r="8" spans="1:3">
      <c r="A8" s="236">
        <v>1</v>
      </c>
      <c r="B8" s="232" t="s">
        <v>129</v>
      </c>
    </row>
    <row r="9" spans="1:3">
      <c r="A9" s="236">
        <v>2</v>
      </c>
      <c r="B9" s="232" t="s">
        <v>155</v>
      </c>
    </row>
    <row r="10" spans="1:3">
      <c r="A10" s="236">
        <v>3</v>
      </c>
      <c r="B10" s="232" t="s">
        <v>156</v>
      </c>
    </row>
    <row r="11" spans="1:3">
      <c r="A11" s="236">
        <v>4</v>
      </c>
      <c r="B11" s="232" t="s">
        <v>157</v>
      </c>
    </row>
    <row r="12" spans="1:3">
      <c r="A12" s="236">
        <v>5</v>
      </c>
      <c r="B12" s="232" t="s">
        <v>97</v>
      </c>
    </row>
    <row r="13" spans="1:3">
      <c r="A13" s="236">
        <v>6</v>
      </c>
      <c r="B13" s="237" t="s">
        <v>81</v>
      </c>
    </row>
    <row r="14" spans="1:3">
      <c r="A14" s="236">
        <v>7</v>
      </c>
      <c r="B14" s="232" t="s">
        <v>158</v>
      </c>
    </row>
    <row r="15" spans="1:3">
      <c r="A15" s="236">
        <v>8</v>
      </c>
      <c r="B15" s="232" t="s">
        <v>161</v>
      </c>
    </row>
    <row r="16" spans="1:3">
      <c r="A16" s="236">
        <v>9</v>
      </c>
      <c r="B16" s="232" t="s">
        <v>75</v>
      </c>
    </row>
    <row r="17" spans="1:2">
      <c r="A17" s="238" t="s">
        <v>367</v>
      </c>
      <c r="B17" s="232" t="s">
        <v>347</v>
      </c>
    </row>
    <row r="18" spans="1:2">
      <c r="A18" s="236">
        <v>9.1999999999999993</v>
      </c>
      <c r="B18" s="599" t="s">
        <v>946</v>
      </c>
    </row>
    <row r="19" spans="1:2">
      <c r="A19" s="236">
        <v>9.3000000000000007</v>
      </c>
      <c r="B19" s="599" t="s">
        <v>947</v>
      </c>
    </row>
    <row r="20" spans="1:2">
      <c r="A20" s="236">
        <v>10</v>
      </c>
      <c r="B20" s="232" t="s">
        <v>162</v>
      </c>
    </row>
    <row r="21" spans="1:2">
      <c r="A21" s="236">
        <v>11</v>
      </c>
      <c r="B21" s="237" t="s">
        <v>145</v>
      </c>
    </row>
    <row r="22" spans="1:2">
      <c r="A22" s="236">
        <v>12</v>
      </c>
      <c r="B22" s="237" t="s">
        <v>142</v>
      </c>
    </row>
    <row r="23" spans="1:2">
      <c r="A23" s="236">
        <v>13</v>
      </c>
      <c r="B23" s="239" t="s">
        <v>286</v>
      </c>
    </row>
    <row r="24" spans="1:2">
      <c r="A24" s="236">
        <v>14</v>
      </c>
      <c r="B24" s="232" t="s">
        <v>340</v>
      </c>
    </row>
    <row r="25" spans="1:2">
      <c r="A25" s="236">
        <v>15</v>
      </c>
      <c r="B25" s="232" t="s">
        <v>74</v>
      </c>
    </row>
    <row r="26" spans="1:2">
      <c r="A26" s="236">
        <v>15.1</v>
      </c>
      <c r="B26" s="232" t="s">
        <v>376</v>
      </c>
    </row>
    <row r="27" spans="1:2">
      <c r="A27" s="598">
        <v>15.2</v>
      </c>
      <c r="B27" s="599" t="s">
        <v>970</v>
      </c>
    </row>
    <row r="28" spans="1:2">
      <c r="A28" s="236">
        <v>16</v>
      </c>
      <c r="B28" s="232" t="s">
        <v>423</v>
      </c>
    </row>
    <row r="29" spans="1:2">
      <c r="A29" s="236">
        <v>17</v>
      </c>
      <c r="B29" s="232" t="s">
        <v>647</v>
      </c>
    </row>
    <row r="30" spans="1:2">
      <c r="A30" s="236">
        <v>18</v>
      </c>
      <c r="B30" s="232" t="s">
        <v>906</v>
      </c>
    </row>
    <row r="31" spans="1:2">
      <c r="A31" s="236">
        <v>19</v>
      </c>
      <c r="B31" s="232" t="s">
        <v>907</v>
      </c>
    </row>
    <row r="32" spans="1:2">
      <c r="A32" s="236">
        <v>20</v>
      </c>
      <c r="B32" s="232" t="s">
        <v>908</v>
      </c>
    </row>
    <row r="33" spans="1:2">
      <c r="A33" s="236">
        <v>21</v>
      </c>
      <c r="B33" s="232" t="s">
        <v>516</v>
      </c>
    </row>
    <row r="34" spans="1:2">
      <c r="A34" s="236">
        <v>22</v>
      </c>
      <c r="B34" s="232" t="s">
        <v>909</v>
      </c>
    </row>
    <row r="35" spans="1:2" ht="26.4">
      <c r="A35" s="236">
        <v>23</v>
      </c>
      <c r="B35" s="555" t="s">
        <v>905</v>
      </c>
    </row>
    <row r="36" spans="1:2">
      <c r="A36" s="236">
        <v>24</v>
      </c>
      <c r="B36" s="232" t="s">
        <v>910</v>
      </c>
    </row>
    <row r="37" spans="1:2">
      <c r="A37" s="236">
        <v>25</v>
      </c>
      <c r="B37" s="232" t="s">
        <v>911</v>
      </c>
    </row>
    <row r="38" spans="1:2">
      <c r="A38" s="236">
        <v>26</v>
      </c>
      <c r="B38" s="232" t="s">
        <v>692</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2C363948-805E-4844-8C56-2FB5D78A676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38" activePane="bottomRight" state="frozen"/>
      <selection pane="topRight" activeCell="B1" sqref="B1"/>
      <selection pane="bottomLeft" activeCell="A5" sqref="A5"/>
      <selection pane="bottomRight" activeCell="C45" sqref="C45"/>
    </sheetView>
  </sheetViews>
  <sheetFormatPr defaultRowHeight="14.4"/>
  <cols>
    <col min="1" max="1" width="9.5546875" style="1" bestFit="1" customWidth="1"/>
    <col min="2" max="2" width="132.44140625" style="1" customWidth="1"/>
    <col min="3" max="3" width="18.44140625" style="1" customWidth="1"/>
  </cols>
  <sheetData>
    <row r="1" spans="1:6">
      <c r="A1" s="12" t="s">
        <v>98</v>
      </c>
      <c r="B1" s="11" t="str">
        <f>Info!C2</f>
        <v>სს "კრედო ბანკი"</v>
      </c>
      <c r="D1" s="1"/>
      <c r="E1" s="1"/>
      <c r="F1" s="1"/>
    </row>
    <row r="2" spans="1:6" s="12" customFormat="1" ht="15.75" customHeight="1">
      <c r="A2" s="12" t="s">
        <v>99</v>
      </c>
      <c r="B2" s="282">
        <f>'1. key ratios'!B2</f>
        <v>45838</v>
      </c>
    </row>
    <row r="3" spans="1:6" s="12" customFormat="1" ht="15.75" customHeight="1"/>
    <row r="4" spans="1:6" ht="15" thickBot="1">
      <c r="A4" s="1" t="s">
        <v>247</v>
      </c>
      <c r="B4" s="21" t="s">
        <v>75</v>
      </c>
    </row>
    <row r="5" spans="1:6">
      <c r="A5" s="64" t="s">
        <v>26</v>
      </c>
      <c r="B5" s="65"/>
      <c r="C5" s="66" t="s">
        <v>27</v>
      </c>
    </row>
    <row r="6" spans="1:6">
      <c r="A6" s="67">
        <v>1</v>
      </c>
      <c r="B6" s="41" t="s">
        <v>28</v>
      </c>
      <c r="C6" s="144">
        <f>SUM(C7:C11)</f>
        <v>421240024.48000002</v>
      </c>
    </row>
    <row r="7" spans="1:6">
      <c r="A7" s="67">
        <v>2</v>
      </c>
      <c r="B7" s="38" t="s">
        <v>29</v>
      </c>
      <c r="C7" s="145">
        <v>5270620</v>
      </c>
    </row>
    <row r="8" spans="1:6">
      <c r="A8" s="67">
        <v>3</v>
      </c>
      <c r="B8" s="33" t="s">
        <v>30</v>
      </c>
      <c r="C8" s="145">
        <v>41797125.479999997</v>
      </c>
    </row>
    <row r="9" spans="1:6">
      <c r="A9" s="67">
        <v>4</v>
      </c>
      <c r="B9" s="33" t="s">
        <v>31</v>
      </c>
      <c r="C9" s="145"/>
    </row>
    <row r="10" spans="1:6">
      <c r="A10" s="67">
        <v>5</v>
      </c>
      <c r="B10" s="33" t="s">
        <v>32</v>
      </c>
      <c r="C10" s="145"/>
    </row>
    <row r="11" spans="1:6">
      <c r="A11" s="67">
        <v>6</v>
      </c>
      <c r="B11" s="39" t="s">
        <v>33</v>
      </c>
      <c r="C11" s="145">
        <v>374172279</v>
      </c>
    </row>
    <row r="12" spans="1:6" s="2" customFormat="1">
      <c r="A12" s="67">
        <v>7</v>
      </c>
      <c r="B12" s="41" t="s">
        <v>34</v>
      </c>
      <c r="C12" s="146">
        <f>SUM(C13:C28)</f>
        <v>33263478</v>
      </c>
    </row>
    <row r="13" spans="1:6" s="2" customFormat="1">
      <c r="A13" s="67">
        <v>8</v>
      </c>
      <c r="B13" s="40" t="s">
        <v>35</v>
      </c>
      <c r="C13" s="147"/>
    </row>
    <row r="14" spans="1:6" s="2" customFormat="1" ht="27.6">
      <c r="A14" s="67">
        <v>9</v>
      </c>
      <c r="B14" s="34" t="s">
        <v>36</v>
      </c>
      <c r="C14" s="147"/>
    </row>
    <row r="15" spans="1:6" s="2" customFormat="1">
      <c r="A15" s="67">
        <v>10</v>
      </c>
      <c r="B15" s="35" t="s">
        <v>37</v>
      </c>
      <c r="C15" s="677">
        <v>33263478</v>
      </c>
    </row>
    <row r="16" spans="1:6" s="2" customFormat="1">
      <c r="A16" s="67">
        <v>11</v>
      </c>
      <c r="B16" s="36" t="s">
        <v>38</v>
      </c>
      <c r="C16" s="147"/>
    </row>
    <row r="17" spans="1:3" s="2" customFormat="1">
      <c r="A17" s="67">
        <v>12</v>
      </c>
      <c r="B17" s="35" t="s">
        <v>39</v>
      </c>
      <c r="C17" s="147"/>
    </row>
    <row r="18" spans="1:3" s="2" customFormat="1">
      <c r="A18" s="67">
        <v>13</v>
      </c>
      <c r="B18" s="35" t="s">
        <v>40</v>
      </c>
      <c r="C18" s="147"/>
    </row>
    <row r="19" spans="1:3" s="2" customFormat="1">
      <c r="A19" s="67">
        <v>14</v>
      </c>
      <c r="B19" s="35" t="s">
        <v>41</v>
      </c>
      <c r="C19" s="147"/>
    </row>
    <row r="20" spans="1:3" s="2" customFormat="1" ht="27.6">
      <c r="A20" s="67">
        <v>15</v>
      </c>
      <c r="B20" s="35" t="s">
        <v>42</v>
      </c>
      <c r="C20" s="147"/>
    </row>
    <row r="21" spans="1:3" s="2" customFormat="1" ht="27.6">
      <c r="A21" s="67">
        <v>16</v>
      </c>
      <c r="B21" s="34" t="s">
        <v>43</v>
      </c>
      <c r="C21" s="147"/>
    </row>
    <row r="22" spans="1:3" s="2" customFormat="1">
      <c r="A22" s="67">
        <v>17</v>
      </c>
      <c r="B22" s="68" t="s">
        <v>44</v>
      </c>
      <c r="C22" s="147"/>
    </row>
    <row r="23" spans="1:3" s="2" customFormat="1">
      <c r="A23" s="67">
        <v>18</v>
      </c>
      <c r="B23" s="590" t="s">
        <v>695</v>
      </c>
      <c r="C23" s="345"/>
    </row>
    <row r="24" spans="1:3" s="2" customFormat="1" ht="27.6">
      <c r="A24" s="67">
        <v>19</v>
      </c>
      <c r="B24" s="34" t="s">
        <v>45</v>
      </c>
      <c r="C24" s="147"/>
    </row>
    <row r="25" spans="1:3" s="2" customFormat="1" ht="27.6">
      <c r="A25" s="67">
        <v>20</v>
      </c>
      <c r="B25" s="34" t="s">
        <v>46</v>
      </c>
      <c r="C25" s="147"/>
    </row>
    <row r="26" spans="1:3" s="2" customFormat="1" ht="27.6">
      <c r="A26" s="67">
        <v>21</v>
      </c>
      <c r="B26" s="36" t="s">
        <v>47</v>
      </c>
      <c r="C26" s="147"/>
    </row>
    <row r="27" spans="1:3" s="2" customFormat="1">
      <c r="A27" s="67">
        <v>22</v>
      </c>
      <c r="B27" s="36" t="s">
        <v>48</v>
      </c>
      <c r="C27" s="147"/>
    </row>
    <row r="28" spans="1:3" s="2" customFormat="1" ht="27.6">
      <c r="A28" s="67">
        <v>23</v>
      </c>
      <c r="B28" s="36" t="s">
        <v>49</v>
      </c>
      <c r="C28" s="147"/>
    </row>
    <row r="29" spans="1:3" s="2" customFormat="1">
      <c r="A29" s="67">
        <v>24</v>
      </c>
      <c r="B29" s="42" t="s">
        <v>23</v>
      </c>
      <c r="C29" s="146">
        <f>C6-C12</f>
        <v>387976546.48000002</v>
      </c>
    </row>
    <row r="30" spans="1:3" s="2" customFormat="1">
      <c r="A30" s="69"/>
      <c r="B30" s="37"/>
      <c r="C30" s="147"/>
    </row>
    <row r="31" spans="1:3" s="2" customFormat="1">
      <c r="A31" s="69">
        <v>25</v>
      </c>
      <c r="B31" s="42" t="s">
        <v>50</v>
      </c>
      <c r="C31" s="146">
        <f>C32+C35</f>
        <v>13617999.999999998</v>
      </c>
    </row>
    <row r="32" spans="1:3" s="2" customFormat="1">
      <c r="A32" s="69">
        <v>26</v>
      </c>
      <c r="B32" s="33" t="s">
        <v>51</v>
      </c>
      <c r="C32" s="148">
        <f>C33+C34</f>
        <v>13617999.999999998</v>
      </c>
    </row>
    <row r="33" spans="1:3" s="2" customFormat="1">
      <c r="A33" s="69">
        <v>27</v>
      </c>
      <c r="B33" s="88" t="s">
        <v>52</v>
      </c>
      <c r="C33" s="147"/>
    </row>
    <row r="34" spans="1:3" s="2" customFormat="1">
      <c r="A34" s="69">
        <v>28</v>
      </c>
      <c r="B34" s="88" t="s">
        <v>53</v>
      </c>
      <c r="C34" s="147">
        <v>13617999.999999998</v>
      </c>
    </row>
    <row r="35" spans="1:3" s="2" customFormat="1">
      <c r="A35" s="69">
        <v>29</v>
      </c>
      <c r="B35" s="33" t="s">
        <v>54</v>
      </c>
      <c r="C35" s="147"/>
    </row>
    <row r="36" spans="1:3" s="2" customFormat="1">
      <c r="A36" s="69">
        <v>30</v>
      </c>
      <c r="B36" s="42" t="s">
        <v>55</v>
      </c>
      <c r="C36" s="146">
        <f>SUM(C37:C41)</f>
        <v>0</v>
      </c>
    </row>
    <row r="37" spans="1:3" s="2" customFormat="1">
      <c r="A37" s="69">
        <v>31</v>
      </c>
      <c r="B37" s="34" t="s">
        <v>56</v>
      </c>
      <c r="C37" s="147"/>
    </row>
    <row r="38" spans="1:3" s="2" customFormat="1">
      <c r="A38" s="69">
        <v>32</v>
      </c>
      <c r="B38" s="35" t="s">
        <v>57</v>
      </c>
      <c r="C38" s="147"/>
    </row>
    <row r="39" spans="1:3" s="2" customFormat="1" ht="27.6">
      <c r="A39" s="69">
        <v>33</v>
      </c>
      <c r="B39" s="34" t="s">
        <v>58</v>
      </c>
      <c r="C39" s="147"/>
    </row>
    <row r="40" spans="1:3" s="2" customFormat="1" ht="27.6">
      <c r="A40" s="69">
        <v>34</v>
      </c>
      <c r="B40" s="34" t="s">
        <v>46</v>
      </c>
      <c r="C40" s="147"/>
    </row>
    <row r="41" spans="1:3" s="2" customFormat="1" ht="27.6">
      <c r="A41" s="69">
        <v>35</v>
      </c>
      <c r="B41" s="36" t="s">
        <v>59</v>
      </c>
      <c r="C41" s="147"/>
    </row>
    <row r="42" spans="1:3" s="2" customFormat="1">
      <c r="A42" s="69">
        <v>36</v>
      </c>
      <c r="B42" s="42" t="s">
        <v>24</v>
      </c>
      <c r="C42" s="146">
        <f>C31-C36</f>
        <v>13617999.999999998</v>
      </c>
    </row>
    <row r="43" spans="1:3" s="2" customFormat="1">
      <c r="A43" s="69"/>
      <c r="B43" s="37"/>
      <c r="C43" s="147"/>
    </row>
    <row r="44" spans="1:3" s="2" customFormat="1">
      <c r="A44" s="69">
        <v>37</v>
      </c>
      <c r="B44" s="43" t="s">
        <v>60</v>
      </c>
      <c r="C44" s="146">
        <f>SUM(C45:C47)</f>
        <v>96200328.719999999</v>
      </c>
    </row>
    <row r="45" spans="1:3" s="2" customFormat="1">
      <c r="A45" s="69">
        <v>38</v>
      </c>
      <c r="B45" s="33" t="s">
        <v>61</v>
      </c>
      <c r="C45" s="147">
        <v>96200328.719999999</v>
      </c>
    </row>
    <row r="46" spans="1:3" s="2" customFormat="1">
      <c r="A46" s="69">
        <v>39</v>
      </c>
      <c r="B46" s="33" t="s">
        <v>62</v>
      </c>
      <c r="C46" s="147"/>
    </row>
    <row r="47" spans="1:3" s="2" customFormat="1">
      <c r="A47" s="69">
        <v>40</v>
      </c>
      <c r="B47" s="591" t="s">
        <v>694</v>
      </c>
      <c r="C47" s="147"/>
    </row>
    <row r="48" spans="1:3" s="2" customFormat="1">
      <c r="A48" s="69">
        <v>41</v>
      </c>
      <c r="B48" s="43" t="s">
        <v>63</v>
      </c>
      <c r="C48" s="146">
        <f>SUM(C49:C52)</f>
        <v>0</v>
      </c>
    </row>
    <row r="49" spans="1:3" s="2" customFormat="1">
      <c r="A49" s="69">
        <v>42</v>
      </c>
      <c r="B49" s="34" t="s">
        <v>64</v>
      </c>
      <c r="C49" s="147"/>
    </row>
    <row r="50" spans="1:3" s="2" customFormat="1">
      <c r="A50" s="69">
        <v>43</v>
      </c>
      <c r="B50" s="35" t="s">
        <v>65</v>
      </c>
      <c r="C50" s="147"/>
    </row>
    <row r="51" spans="1:3" s="2" customFormat="1" ht="27.6">
      <c r="A51" s="69">
        <v>44</v>
      </c>
      <c r="B51" s="34" t="s">
        <v>66</v>
      </c>
      <c r="C51" s="147"/>
    </row>
    <row r="52" spans="1:3" s="2" customFormat="1" ht="27.6">
      <c r="A52" s="69">
        <v>45</v>
      </c>
      <c r="B52" s="34" t="s">
        <v>46</v>
      </c>
      <c r="C52" s="147"/>
    </row>
    <row r="53" spans="1:3" s="2" customFormat="1" ht="15" thickBot="1">
      <c r="A53" s="69">
        <v>46</v>
      </c>
      <c r="B53" s="70" t="s">
        <v>25</v>
      </c>
      <c r="C53" s="149">
        <f>C44-C48</f>
        <v>96200328.719999999</v>
      </c>
    </row>
    <row r="56" spans="1:3">
      <c r="B56" s="1" t="s">
        <v>131</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G23"/>
  <sheetViews>
    <sheetView zoomScale="80" zoomScaleNormal="80" workbookViewId="0">
      <selection activeCell="C15" sqref="C15:C17"/>
    </sheetView>
  </sheetViews>
  <sheetFormatPr defaultColWidth="9.21875" defaultRowHeight="13.8"/>
  <cols>
    <col min="1" max="1" width="10.77734375" style="1" bestFit="1" customWidth="1"/>
    <col min="2" max="2" width="59" style="1" customWidth="1"/>
    <col min="3" max="3" width="16.77734375" style="1" bestFit="1" customWidth="1"/>
    <col min="4" max="4" width="22.21875" style="1" customWidth="1"/>
    <col min="5" max="5" width="22.5546875" style="1" customWidth="1"/>
    <col min="6" max="6" width="9.21875" style="1"/>
    <col min="7" max="7" width="19" style="1" customWidth="1"/>
    <col min="8" max="16384" width="9.21875" style="1"/>
  </cols>
  <sheetData>
    <row r="1" spans="1:4">
      <c r="A1" s="12" t="s">
        <v>98</v>
      </c>
      <c r="B1" s="11" t="str">
        <f>Info!C2</f>
        <v>სს "კრედო ბანკი"</v>
      </c>
    </row>
    <row r="2" spans="1:4" s="12" customFormat="1" ht="15.75" customHeight="1">
      <c r="A2" s="12" t="s">
        <v>99</v>
      </c>
      <c r="B2" s="282">
        <f>'1. key ratios'!B2</f>
        <v>45838</v>
      </c>
    </row>
    <row r="3" spans="1:4" s="12" customFormat="1" ht="15.75" customHeight="1"/>
    <row r="4" spans="1:4" ht="14.4" thickBot="1">
      <c r="A4" s="1" t="s">
        <v>346</v>
      </c>
      <c r="B4" s="221" t="s">
        <v>347</v>
      </c>
    </row>
    <row r="5" spans="1:4" s="29" customFormat="1">
      <c r="A5" s="801" t="s">
        <v>348</v>
      </c>
      <c r="B5" s="802"/>
      <c r="C5" s="211" t="s">
        <v>349</v>
      </c>
      <c r="D5" s="212" t="s">
        <v>350</v>
      </c>
    </row>
    <row r="6" spans="1:4" s="222" customFormat="1">
      <c r="A6" s="213">
        <v>1</v>
      </c>
      <c r="B6" s="214" t="s">
        <v>351</v>
      </c>
      <c r="C6" s="214"/>
      <c r="D6" s="215"/>
    </row>
    <row r="7" spans="1:4" s="222" customFormat="1">
      <c r="A7" s="216" t="s">
        <v>352</v>
      </c>
      <c r="B7" s="217" t="s">
        <v>353</v>
      </c>
      <c r="C7" s="240">
        <v>4.4999999999999998E-2</v>
      </c>
      <c r="D7" s="678">
        <f>C7*'5. RWA'!$C$13</f>
        <v>127876559.83344753</v>
      </c>
    </row>
    <row r="8" spans="1:4" s="222" customFormat="1">
      <c r="A8" s="216" t="s">
        <v>354</v>
      </c>
      <c r="B8" s="217" t="s">
        <v>355</v>
      </c>
      <c r="C8" s="241">
        <v>0.06</v>
      </c>
      <c r="D8" s="678">
        <f>C8*'5. RWA'!$C$13</f>
        <v>170502079.77793002</v>
      </c>
    </row>
    <row r="9" spans="1:4" s="222" customFormat="1">
      <c r="A9" s="216" t="s">
        <v>356</v>
      </c>
      <c r="B9" s="217" t="s">
        <v>357</v>
      </c>
      <c r="C9" s="241">
        <v>0.08</v>
      </c>
      <c r="D9" s="678">
        <f>C9*'5. RWA'!$C$13</f>
        <v>227336106.3705734</v>
      </c>
    </row>
    <row r="10" spans="1:4" s="222" customFormat="1">
      <c r="A10" s="213" t="s">
        <v>358</v>
      </c>
      <c r="B10" s="214" t="s">
        <v>359</v>
      </c>
      <c r="C10" s="242"/>
      <c r="D10" s="679"/>
    </row>
    <row r="11" spans="1:4" s="223" customFormat="1">
      <c r="A11" s="218" t="s">
        <v>360</v>
      </c>
      <c r="B11" s="219" t="s">
        <v>997</v>
      </c>
      <c r="C11" s="243">
        <v>2.5000000000000001E-2</v>
      </c>
      <c r="D11" s="680">
        <f>C11*'5. RWA'!$C$13</f>
        <v>71042533.240804181</v>
      </c>
    </row>
    <row r="12" spans="1:4" s="223" customFormat="1">
      <c r="A12" s="218" t="s">
        <v>361</v>
      </c>
      <c r="B12" s="219" t="s">
        <v>362</v>
      </c>
      <c r="C12" s="243">
        <v>5.0000000000000001E-3</v>
      </c>
      <c r="D12" s="680">
        <f>C12*'5. RWA'!$C$13</f>
        <v>14208506.648160838</v>
      </c>
    </row>
    <row r="13" spans="1:4" s="223" customFormat="1">
      <c r="A13" s="218" t="s">
        <v>363</v>
      </c>
      <c r="B13" s="219" t="s">
        <v>364</v>
      </c>
      <c r="C13" s="243"/>
      <c r="D13" s="680">
        <f>C13*'5. RWA'!$C$13</f>
        <v>0</v>
      </c>
    </row>
    <row r="14" spans="1:4" s="222" customFormat="1">
      <c r="A14" s="213" t="s">
        <v>365</v>
      </c>
      <c r="B14" s="214" t="s">
        <v>410</v>
      </c>
      <c r="C14" s="244"/>
      <c r="D14" s="679"/>
    </row>
    <row r="15" spans="1:4" s="222" customFormat="1">
      <c r="A15" s="233" t="s">
        <v>368</v>
      </c>
      <c r="B15" s="219" t="s">
        <v>411</v>
      </c>
      <c r="C15" s="243">
        <v>4.0082673511069714E-2</v>
      </c>
      <c r="D15" s="680">
        <f>C15*'5. RWA'!$C$13</f>
        <v>113902986.61161886</v>
      </c>
    </row>
    <row r="16" spans="1:4" s="222" customFormat="1">
      <c r="A16" s="233" t="s">
        <v>369</v>
      </c>
      <c r="B16" s="219" t="s">
        <v>371</v>
      </c>
      <c r="C16" s="243">
        <v>4.6020205738896564E-2</v>
      </c>
      <c r="D16" s="680">
        <f>C16*'5. RWA'!$C$13</f>
        <v>130775679.83816826</v>
      </c>
    </row>
    <row r="17" spans="1:7" s="222" customFormat="1">
      <c r="A17" s="233" t="s">
        <v>370</v>
      </c>
      <c r="B17" s="219" t="s">
        <v>408</v>
      </c>
      <c r="C17" s="243">
        <v>5.3832748143931894E-2</v>
      </c>
      <c r="D17" s="680">
        <f>C17*'5. RWA'!$C$13</f>
        <v>152976591.97836486</v>
      </c>
    </row>
    <row r="18" spans="1:7" s="29" customFormat="1">
      <c r="A18" s="803" t="s">
        <v>409</v>
      </c>
      <c r="B18" s="804"/>
      <c r="C18" s="245" t="s">
        <v>349</v>
      </c>
      <c r="D18" s="681" t="s">
        <v>350</v>
      </c>
    </row>
    <row r="19" spans="1:7" s="222" customFormat="1">
      <c r="A19" s="220">
        <v>4</v>
      </c>
      <c r="B19" s="219" t="s">
        <v>23</v>
      </c>
      <c r="C19" s="243">
        <f>C7+C11+C12+C13+C15</f>
        <v>0.11508267351106972</v>
      </c>
      <c r="D19" s="678">
        <f>C19*'5. RWA'!$C$13</f>
        <v>327030586.33403146</v>
      </c>
      <c r="E19" s="761"/>
      <c r="F19" s="762"/>
      <c r="G19" s="761"/>
    </row>
    <row r="20" spans="1:7" s="222" customFormat="1">
      <c r="A20" s="220">
        <v>5</v>
      </c>
      <c r="B20" s="219" t="s">
        <v>76</v>
      </c>
      <c r="C20" s="243">
        <f>C8+C11+C12+C13+C16</f>
        <v>0.13602020573889656</v>
      </c>
      <c r="D20" s="678">
        <f>C20*'5. RWA'!$C$13</f>
        <v>386528799.5050633</v>
      </c>
      <c r="E20" s="761"/>
      <c r="F20" s="762"/>
      <c r="G20" s="761"/>
    </row>
    <row r="21" spans="1:7" s="222" customFormat="1" ht="14.4" thickBot="1">
      <c r="A21" s="224" t="s">
        <v>366</v>
      </c>
      <c r="B21" s="225" t="s">
        <v>75</v>
      </c>
      <c r="C21" s="246">
        <f>C9+C11+C12+C13+C17</f>
        <v>0.16383274814393189</v>
      </c>
      <c r="D21" s="682">
        <f>C21*'5. RWA'!$C$13</f>
        <v>465563738.23790324</v>
      </c>
      <c r="E21" s="761"/>
      <c r="F21" s="762"/>
      <c r="G21" s="761"/>
    </row>
    <row r="23" spans="1:7">
      <c r="B23" s="16"/>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topLeftCell="B4" zoomScaleNormal="100" workbookViewId="0">
      <selection activeCell="B20" sqref="B20"/>
    </sheetView>
  </sheetViews>
  <sheetFormatPr defaultRowHeight="14.4"/>
  <cols>
    <col min="1" max="1" width="107.109375" bestFit="1" customWidth="1"/>
    <col min="2" max="2" width="50.88671875" bestFit="1" customWidth="1"/>
    <col min="3" max="3" width="28.109375" bestFit="1" customWidth="1"/>
    <col min="4" max="4" width="28.21875" customWidth="1"/>
    <col min="5" max="7" width="28.109375" customWidth="1"/>
  </cols>
  <sheetData>
    <row r="1" spans="1:2">
      <c r="A1" s="561" t="s">
        <v>98</v>
      </c>
      <c r="B1" s="11" t="str">
        <f>Info!C2</f>
        <v>სს "კრედო ბანკი"</v>
      </c>
    </row>
    <row r="2" spans="1:2">
      <c r="A2" s="561" t="s">
        <v>99</v>
      </c>
      <c r="B2" s="282">
        <f>'1. key ratios'!B2</f>
        <v>45838</v>
      </c>
    </row>
    <row r="3" spans="1:2">
      <c r="A3" s="562" t="s">
        <v>948</v>
      </c>
      <c r="B3" s="557" t="s">
        <v>919</v>
      </c>
    </row>
    <row r="4" spans="1:2" ht="15" thickBot="1"/>
    <row r="5" spans="1:2">
      <c r="A5" s="567"/>
      <c r="B5" s="568" t="s">
        <v>920</v>
      </c>
    </row>
    <row r="6" spans="1:2">
      <c r="A6" s="563" t="s">
        <v>921</v>
      </c>
      <c r="B6" s="569">
        <f>SUM(B7,B11)</f>
        <v>497794875.20000005</v>
      </c>
    </row>
    <row r="7" spans="1:2" ht="15.6">
      <c r="A7" s="563" t="s">
        <v>954</v>
      </c>
      <c r="B7" s="569">
        <f>SUM(B8:B10)</f>
        <v>497794875.20000005</v>
      </c>
    </row>
    <row r="8" spans="1:2">
      <c r="A8" s="564" t="s">
        <v>922</v>
      </c>
      <c r="B8" s="570">
        <f>'9. Capital'!C29</f>
        <v>387976546.48000002</v>
      </c>
    </row>
    <row r="9" spans="1:2">
      <c r="A9" s="564" t="s">
        <v>923</v>
      </c>
      <c r="B9" s="570">
        <f>'9. Capital'!C42</f>
        <v>13617999.999999998</v>
      </c>
    </row>
    <row r="10" spans="1:2">
      <c r="A10" s="564" t="s">
        <v>924</v>
      </c>
      <c r="B10" s="570">
        <f>'9. Capital'!C53</f>
        <v>96200328.719999999</v>
      </c>
    </row>
    <row r="11" spans="1:2">
      <c r="A11" s="563" t="s">
        <v>925</v>
      </c>
      <c r="B11" s="569">
        <f>SUM(B12:B13)</f>
        <v>0</v>
      </c>
    </row>
    <row r="12" spans="1:2" ht="15.6">
      <c r="A12" s="564" t="s">
        <v>955</v>
      </c>
      <c r="B12" s="570"/>
    </row>
    <row r="13" spans="1:2" ht="15.6">
      <c r="A13" s="564" t="s">
        <v>956</v>
      </c>
      <c r="B13" s="570"/>
    </row>
    <row r="14" spans="1:2">
      <c r="A14" s="563" t="s">
        <v>926</v>
      </c>
      <c r="B14" s="569">
        <f>SUM(B15:B16)</f>
        <v>497794875.20000005</v>
      </c>
    </row>
    <row r="15" spans="1:2">
      <c r="A15" s="565" t="s">
        <v>927</v>
      </c>
      <c r="B15" s="570"/>
    </row>
    <row r="16" spans="1:2">
      <c r="A16" s="565" t="s">
        <v>75</v>
      </c>
      <c r="B16" s="570">
        <f>B7</f>
        <v>497794875.20000005</v>
      </c>
    </row>
    <row r="17" spans="1:5">
      <c r="A17" s="563" t="s">
        <v>928</v>
      </c>
      <c r="B17" s="569"/>
    </row>
    <row r="18" spans="1:5">
      <c r="A18" s="565" t="s">
        <v>929</v>
      </c>
      <c r="B18" s="570">
        <f>'5. RWA'!C13</f>
        <v>2841701329.6321673</v>
      </c>
    </row>
    <row r="19" spans="1:5">
      <c r="A19" s="565" t="s">
        <v>930</v>
      </c>
      <c r="B19" s="570">
        <f>'15.1. LR'!C32</f>
        <v>3500561070.9323459</v>
      </c>
    </row>
    <row r="20" spans="1:5">
      <c r="A20" s="563" t="s">
        <v>931</v>
      </c>
      <c r="B20" s="569"/>
    </row>
    <row r="21" spans="1:5">
      <c r="A21" s="566" t="s">
        <v>932</v>
      </c>
      <c r="B21" s="571">
        <f>IFERROR(B6/B18,0)</f>
        <v>0.17517494537838538</v>
      </c>
    </row>
    <row r="22" spans="1:5">
      <c r="A22" s="566" t="s">
        <v>933</v>
      </c>
      <c r="B22" s="571">
        <f>IFERROR(B6/B19,0)</f>
        <v>0.14220431099846986</v>
      </c>
    </row>
    <row r="23" spans="1:5" ht="15" thickBot="1">
      <c r="A23" s="572" t="s">
        <v>934</v>
      </c>
      <c r="B23" s="573">
        <f>IFERROR(B6/B14,0)</f>
        <v>1</v>
      </c>
    </row>
    <row r="24" spans="1:5" ht="16.5" customHeight="1">
      <c r="A24" s="560" t="s">
        <v>957</v>
      </c>
      <c r="B24" s="558"/>
      <c r="C24" s="558"/>
      <c r="D24" s="558"/>
      <c r="E24" s="558"/>
    </row>
    <row r="25" spans="1:5" ht="25.5" customHeight="1">
      <c r="A25" s="560" t="s">
        <v>958</v>
      </c>
    </row>
    <row r="26" spans="1:5" ht="57" customHeight="1">
      <c r="A26" s="560" t="s">
        <v>959</v>
      </c>
    </row>
    <row r="27" spans="1:5">
      <c r="A27" s="559"/>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A9" sqref="A9"/>
    </sheetView>
  </sheetViews>
  <sheetFormatPr defaultRowHeight="14.4"/>
  <cols>
    <col min="1" max="1" width="82" customWidth="1"/>
    <col min="2" max="2" width="28.109375" bestFit="1" customWidth="1"/>
    <col min="3" max="3" width="28.21875" customWidth="1"/>
    <col min="4" max="6" width="28.109375" customWidth="1"/>
  </cols>
  <sheetData>
    <row r="1" spans="1:6">
      <c r="A1" s="561" t="s">
        <v>98</v>
      </c>
      <c r="B1" s="11" t="str">
        <f>Info!C2</f>
        <v>სს "კრედო ბანკი"</v>
      </c>
      <c r="C1" s="1"/>
    </row>
    <row r="2" spans="1:6">
      <c r="A2" s="561" t="s">
        <v>99</v>
      </c>
      <c r="B2" s="282">
        <f>'1. key ratios'!B2</f>
        <v>45838</v>
      </c>
      <c r="C2" s="1"/>
    </row>
    <row r="3" spans="1:6">
      <c r="A3" s="562" t="s">
        <v>949</v>
      </c>
      <c r="B3" s="557" t="s">
        <v>919</v>
      </c>
      <c r="C3" s="1"/>
    </row>
    <row r="5" spans="1:6">
      <c r="A5" s="559"/>
    </row>
    <row r="6" spans="1:6" ht="15" thickBot="1">
      <c r="A6" s="574"/>
      <c r="B6" s="574"/>
      <c r="C6" s="574"/>
      <c r="D6" s="574"/>
      <c r="E6" s="574"/>
      <c r="F6" s="574"/>
    </row>
    <row r="7" spans="1:6">
      <c r="A7" s="805"/>
      <c r="B7" s="807" t="s">
        <v>935</v>
      </c>
      <c r="C7" s="807"/>
      <c r="D7" s="807"/>
      <c r="E7" s="807"/>
      <c r="F7" s="808" t="s">
        <v>936</v>
      </c>
    </row>
    <row r="8" spans="1:6" ht="27.6">
      <c r="A8" s="806"/>
      <c r="B8" s="575" t="s">
        <v>937</v>
      </c>
      <c r="C8" s="575" t="s">
        <v>938</v>
      </c>
      <c r="D8" s="575" t="s">
        <v>939</v>
      </c>
      <c r="E8" s="575" t="s">
        <v>940</v>
      </c>
      <c r="F8" s="809"/>
    </row>
    <row r="9" spans="1:6">
      <c r="A9" s="576" t="s">
        <v>941</v>
      </c>
      <c r="B9" s="577">
        <f>B13+B17</f>
        <v>0</v>
      </c>
      <c r="C9" s="577">
        <f t="shared" ref="C9:E9" si="0">C13+C17</f>
        <v>0</v>
      </c>
      <c r="D9" s="577">
        <f t="shared" si="0"/>
        <v>0</v>
      </c>
      <c r="E9" s="577">
        <f t="shared" si="0"/>
        <v>0</v>
      </c>
      <c r="F9" s="578">
        <f>F13+F17</f>
        <v>0</v>
      </c>
    </row>
    <row r="10" spans="1:6">
      <c r="A10" s="579" t="s">
        <v>942</v>
      </c>
      <c r="B10" s="580">
        <f t="shared" ref="B10:E12" si="1">B14+B18</f>
        <v>0</v>
      </c>
      <c r="C10" s="580">
        <f t="shared" si="1"/>
        <v>0</v>
      </c>
      <c r="D10" s="580">
        <f t="shared" si="1"/>
        <v>0</v>
      </c>
      <c r="E10" s="580">
        <f t="shared" si="1"/>
        <v>0</v>
      </c>
      <c r="F10" s="578">
        <f>SUM(B10:E10)</f>
        <v>0</v>
      </c>
    </row>
    <row r="11" spans="1:6">
      <c r="A11" s="579" t="s">
        <v>943</v>
      </c>
      <c r="B11" s="580">
        <f t="shared" si="1"/>
        <v>0</v>
      </c>
      <c r="C11" s="580">
        <f t="shared" si="1"/>
        <v>0</v>
      </c>
      <c r="D11" s="580">
        <f t="shared" si="1"/>
        <v>0</v>
      </c>
      <c r="E11" s="580">
        <f t="shared" si="1"/>
        <v>0</v>
      </c>
      <c r="F11" s="578">
        <f t="shared" ref="F11:F12" si="2">SUM(B11:E11)</f>
        <v>0</v>
      </c>
    </row>
    <row r="12" spans="1:6">
      <c r="A12" s="581" t="s">
        <v>944</v>
      </c>
      <c r="B12" s="580">
        <f t="shared" si="1"/>
        <v>0</v>
      </c>
      <c r="C12" s="580">
        <f t="shared" si="1"/>
        <v>0</v>
      </c>
      <c r="D12" s="580">
        <f t="shared" si="1"/>
        <v>0</v>
      </c>
      <c r="E12" s="580">
        <f t="shared" si="1"/>
        <v>0</v>
      </c>
      <c r="F12" s="578">
        <f t="shared" si="2"/>
        <v>0</v>
      </c>
    </row>
    <row r="13" spans="1:6">
      <c r="A13" s="582" t="s">
        <v>945</v>
      </c>
      <c r="B13" s="583"/>
      <c r="C13" s="583"/>
      <c r="D13" s="583"/>
      <c r="E13" s="583"/>
      <c r="F13" s="584"/>
    </row>
    <row r="14" spans="1:6">
      <c r="A14" s="579" t="s">
        <v>942</v>
      </c>
      <c r="B14" s="585"/>
      <c r="C14" s="585"/>
      <c r="D14" s="585"/>
      <c r="E14" s="585"/>
      <c r="F14" s="586"/>
    </row>
    <row r="15" spans="1:6">
      <c r="A15" s="579" t="s">
        <v>943</v>
      </c>
      <c r="B15" s="585"/>
      <c r="C15" s="585"/>
      <c r="D15" s="585"/>
      <c r="E15" s="585"/>
      <c r="F15" s="586"/>
    </row>
    <row r="16" spans="1:6">
      <c r="A16" s="581" t="s">
        <v>944</v>
      </c>
      <c r="B16" s="585"/>
      <c r="C16" s="585"/>
      <c r="D16" s="585"/>
      <c r="E16" s="585"/>
      <c r="F16" s="586"/>
    </row>
    <row r="17" spans="1:6">
      <c r="A17" s="582" t="s">
        <v>925</v>
      </c>
      <c r="B17" s="583"/>
      <c r="C17" s="583"/>
      <c r="D17" s="583"/>
      <c r="E17" s="583"/>
      <c r="F17" s="586"/>
    </row>
    <row r="18" spans="1:6">
      <c r="A18" s="579" t="s">
        <v>942</v>
      </c>
      <c r="B18" s="585"/>
      <c r="C18" s="585"/>
      <c r="D18" s="585"/>
      <c r="E18" s="585"/>
      <c r="F18" s="586"/>
    </row>
    <row r="19" spans="1:6">
      <c r="A19" s="579" t="s">
        <v>943</v>
      </c>
      <c r="B19" s="585"/>
      <c r="C19" s="585"/>
      <c r="D19" s="585"/>
      <c r="E19" s="585"/>
      <c r="F19" s="586"/>
    </row>
    <row r="20" spans="1:6" ht="15" thickBot="1">
      <c r="A20" s="587" t="s">
        <v>944</v>
      </c>
      <c r="B20" s="588"/>
      <c r="C20" s="588"/>
      <c r="D20" s="588"/>
      <c r="E20" s="588"/>
      <c r="F20" s="589"/>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28" sqref="C28"/>
    </sheetView>
  </sheetViews>
  <sheetFormatPr defaultRowHeight="14.4"/>
  <cols>
    <col min="1" max="1" width="10.77734375" style="30" customWidth="1"/>
    <col min="2" max="2" width="91.77734375" style="30" customWidth="1"/>
    <col min="3" max="3" width="53.21875" style="30" customWidth="1"/>
    <col min="4" max="4" width="32.21875" style="30" customWidth="1"/>
    <col min="5" max="5" width="9.44140625" customWidth="1"/>
  </cols>
  <sheetData>
    <row r="1" spans="1:6">
      <c r="A1" s="12" t="s">
        <v>98</v>
      </c>
      <c r="B1" s="13" t="str">
        <f>Info!C2</f>
        <v>სს "კრედო ბანკი"</v>
      </c>
      <c r="E1" s="1"/>
      <c r="F1" s="1"/>
    </row>
    <row r="2" spans="1:6" s="12" customFormat="1" ht="15.75" customHeight="1">
      <c r="A2" s="12" t="s">
        <v>99</v>
      </c>
      <c r="B2" s="282">
        <f>'1. key ratios'!B2</f>
        <v>45838</v>
      </c>
    </row>
    <row r="3" spans="1:6" s="12" customFormat="1" ht="15.75" customHeight="1">
      <c r="A3" s="18"/>
    </row>
    <row r="4" spans="1:6" s="12" customFormat="1" ht="15.75" customHeight="1" thickBot="1">
      <c r="A4" s="12" t="s">
        <v>248</v>
      </c>
      <c r="B4" s="110" t="s">
        <v>162</v>
      </c>
      <c r="D4" s="112" t="s">
        <v>77</v>
      </c>
    </row>
    <row r="5" spans="1:6" ht="27.6">
      <c r="A5" s="76" t="s">
        <v>26</v>
      </c>
      <c r="B5" s="77" t="s">
        <v>134</v>
      </c>
      <c r="C5" s="78" t="s">
        <v>827</v>
      </c>
      <c r="D5" s="111" t="s">
        <v>163</v>
      </c>
    </row>
    <row r="6" spans="1:6">
      <c r="A6" s="392">
        <v>1</v>
      </c>
      <c r="B6" s="348" t="s">
        <v>812</v>
      </c>
      <c r="C6" s="426">
        <f>SUM(C7:C9)</f>
        <v>491148885.90338242</v>
      </c>
      <c r="D6" s="71"/>
      <c r="E6" s="4"/>
    </row>
    <row r="7" spans="1:6">
      <c r="A7" s="392">
        <v>1.1000000000000001</v>
      </c>
      <c r="B7" s="351" t="s">
        <v>86</v>
      </c>
      <c r="C7" s="419">
        <v>104906069.83</v>
      </c>
      <c r="D7" s="72"/>
      <c r="E7" s="4"/>
    </row>
    <row r="8" spans="1:6">
      <c r="A8" s="392">
        <v>1.2</v>
      </c>
      <c r="B8" s="351" t="s">
        <v>87</v>
      </c>
      <c r="C8" s="419">
        <v>296997573.04999995</v>
      </c>
      <c r="D8" s="72"/>
      <c r="E8" s="4"/>
    </row>
    <row r="9" spans="1:6">
      <c r="A9" s="392">
        <v>1.3</v>
      </c>
      <c r="B9" s="351" t="s">
        <v>88</v>
      </c>
      <c r="C9" s="419">
        <v>89245243.023382485</v>
      </c>
      <c r="D9" s="72"/>
      <c r="E9" s="4"/>
    </row>
    <row r="10" spans="1:6">
      <c r="A10" s="392">
        <v>2</v>
      </c>
      <c r="B10" s="352" t="s">
        <v>699</v>
      </c>
      <c r="C10" s="428">
        <v>2958401.69</v>
      </c>
      <c r="D10" s="72"/>
      <c r="E10" s="4"/>
    </row>
    <row r="11" spans="1:6">
      <c r="A11" s="392">
        <v>2.1</v>
      </c>
      <c r="B11" s="353" t="s">
        <v>700</v>
      </c>
      <c r="C11" s="420">
        <v>2958401.69</v>
      </c>
      <c r="D11" s="73"/>
      <c r="E11" s="5"/>
    </row>
    <row r="12" spans="1:6" ht="23.55" customHeight="1">
      <c r="A12" s="392">
        <v>3</v>
      </c>
      <c r="B12" s="354" t="s">
        <v>701</v>
      </c>
      <c r="C12" s="427"/>
      <c r="D12" s="73"/>
      <c r="E12" s="5"/>
    </row>
    <row r="13" spans="1:6" ht="22.95" customHeight="1">
      <c r="A13" s="392">
        <v>4</v>
      </c>
      <c r="B13" s="355" t="s">
        <v>702</v>
      </c>
      <c r="C13" s="427"/>
      <c r="D13" s="73"/>
      <c r="E13" s="5"/>
    </row>
    <row r="14" spans="1:6">
      <c r="A14" s="392">
        <v>5</v>
      </c>
      <c r="B14" s="355" t="s">
        <v>703</v>
      </c>
      <c r="C14" s="427">
        <f>SUM(C15:C17)</f>
        <v>0</v>
      </c>
      <c r="D14" s="73"/>
      <c r="E14" s="5"/>
    </row>
    <row r="15" spans="1:6">
      <c r="A15" s="392">
        <v>5.0999999999999996</v>
      </c>
      <c r="B15" s="358" t="s">
        <v>704</v>
      </c>
      <c r="C15" s="419"/>
      <c r="D15" s="73"/>
      <c r="E15" s="4"/>
    </row>
    <row r="16" spans="1:6">
      <c r="A16" s="392">
        <v>5.2</v>
      </c>
      <c r="B16" s="358" t="s">
        <v>539</v>
      </c>
      <c r="C16" s="419"/>
      <c r="D16" s="72"/>
      <c r="E16" s="4"/>
    </row>
    <row r="17" spans="1:5">
      <c r="A17" s="392">
        <v>5.3</v>
      </c>
      <c r="B17" s="358" t="s">
        <v>705</v>
      </c>
      <c r="C17" s="419"/>
      <c r="D17" s="72"/>
      <c r="E17" s="4"/>
    </row>
    <row r="18" spans="1:5">
      <c r="A18" s="392">
        <v>6</v>
      </c>
      <c r="B18" s="354" t="s">
        <v>706</v>
      </c>
      <c r="C18" s="428">
        <f>SUM(C19:C20)</f>
        <v>2781684951.8897529</v>
      </c>
      <c r="D18" s="72"/>
      <c r="E18" s="4"/>
    </row>
    <row r="19" spans="1:5">
      <c r="A19" s="392">
        <v>6.1</v>
      </c>
      <c r="B19" s="358" t="s">
        <v>539</v>
      </c>
      <c r="C19" s="420">
        <v>73312067.549999997</v>
      </c>
      <c r="D19" s="72"/>
      <c r="E19" s="4"/>
    </row>
    <row r="20" spans="1:5">
      <c r="A20" s="392">
        <v>6.2</v>
      </c>
      <c r="B20" s="358" t="s">
        <v>705</v>
      </c>
      <c r="C20" s="420">
        <v>2708372884.3397527</v>
      </c>
      <c r="D20" s="72"/>
      <c r="E20" s="4"/>
    </row>
    <row r="21" spans="1:5">
      <c r="A21" s="392">
        <v>7</v>
      </c>
      <c r="B21" s="359" t="s">
        <v>707</v>
      </c>
      <c r="C21" s="427">
        <v>2202413.5</v>
      </c>
      <c r="D21" s="72"/>
      <c r="E21" s="4"/>
    </row>
    <row r="22" spans="1:5">
      <c r="A22" s="392">
        <v>8</v>
      </c>
      <c r="B22" s="360" t="s">
        <v>708</v>
      </c>
      <c r="C22" s="428"/>
      <c r="D22" s="72"/>
      <c r="E22" s="4"/>
    </row>
    <row r="23" spans="1:5">
      <c r="A23" s="392">
        <v>9</v>
      </c>
      <c r="B23" s="355" t="s">
        <v>709</v>
      </c>
      <c r="C23" s="428">
        <f>SUM(C24:C25)</f>
        <v>53619535.339999974</v>
      </c>
      <c r="D23" s="418"/>
      <c r="E23" s="4"/>
    </row>
    <row r="24" spans="1:5">
      <c r="A24" s="392">
        <v>9.1</v>
      </c>
      <c r="B24" s="361" t="s">
        <v>710</v>
      </c>
      <c r="C24" s="421">
        <v>53619535.339999974</v>
      </c>
      <c r="D24" s="74"/>
      <c r="E24" s="4"/>
    </row>
    <row r="25" spans="1:5">
      <c r="A25" s="392">
        <v>9.1999999999999993</v>
      </c>
      <c r="B25" s="361" t="s">
        <v>711</v>
      </c>
      <c r="C25" s="422"/>
      <c r="D25" s="417"/>
      <c r="E25" s="3"/>
    </row>
    <row r="26" spans="1:5">
      <c r="A26" s="392">
        <v>10</v>
      </c>
      <c r="B26" s="355" t="s">
        <v>37</v>
      </c>
      <c r="C26" s="429">
        <f>SUM(C27:C28)</f>
        <v>33263478.05999998</v>
      </c>
      <c r="D26" s="554" t="s">
        <v>1033</v>
      </c>
      <c r="E26" s="4"/>
    </row>
    <row r="27" spans="1:5">
      <c r="A27" s="392">
        <v>10.1</v>
      </c>
      <c r="B27" s="361" t="s">
        <v>712</v>
      </c>
      <c r="C27" s="419"/>
      <c r="D27" s="72"/>
      <c r="E27" s="4"/>
    </row>
    <row r="28" spans="1:5">
      <c r="A28" s="392">
        <v>10.199999999999999</v>
      </c>
      <c r="B28" s="361" t="s">
        <v>713</v>
      </c>
      <c r="C28" s="419">
        <v>33263478.05999998</v>
      </c>
      <c r="D28" s="72"/>
      <c r="E28" s="4"/>
    </row>
    <row r="29" spans="1:5">
      <c r="A29" s="392">
        <v>11</v>
      </c>
      <c r="B29" s="355" t="s">
        <v>714</v>
      </c>
      <c r="C29" s="428">
        <f>SUM(C30:C31)</f>
        <v>0</v>
      </c>
      <c r="D29" s="72"/>
      <c r="E29" s="4"/>
    </row>
    <row r="30" spans="1:5">
      <c r="A30" s="392">
        <v>11.1</v>
      </c>
      <c r="B30" s="361" t="s">
        <v>715</v>
      </c>
      <c r="C30" s="419"/>
      <c r="D30" s="72"/>
      <c r="E30" s="4"/>
    </row>
    <row r="31" spans="1:5">
      <c r="A31" s="392">
        <v>11.2</v>
      </c>
      <c r="B31" s="361" t="s">
        <v>716</v>
      </c>
      <c r="C31" s="419"/>
      <c r="D31" s="72"/>
      <c r="E31" s="4"/>
    </row>
    <row r="32" spans="1:5">
      <c r="A32" s="392">
        <v>13</v>
      </c>
      <c r="B32" s="355" t="s">
        <v>89</v>
      </c>
      <c r="C32" s="428">
        <v>59929540.920000009</v>
      </c>
      <c r="D32" s="72"/>
      <c r="E32" s="4"/>
    </row>
    <row r="33" spans="1:5">
      <c r="A33" s="392">
        <v>13.1</v>
      </c>
      <c r="B33" s="362" t="s">
        <v>717</v>
      </c>
      <c r="C33" s="419">
        <v>26038814.609999999</v>
      </c>
      <c r="D33" s="72"/>
      <c r="E33" s="4"/>
    </row>
    <row r="34" spans="1:5">
      <c r="A34" s="392">
        <v>13.2</v>
      </c>
      <c r="B34" s="362" t="s">
        <v>718</v>
      </c>
      <c r="C34" s="421"/>
      <c r="D34" s="74"/>
      <c r="E34" s="4"/>
    </row>
    <row r="35" spans="1:5">
      <c r="A35" s="392">
        <v>14</v>
      </c>
      <c r="B35" s="363" t="s">
        <v>719</v>
      </c>
      <c r="C35" s="430">
        <f>SUM(C6,C10,C12,C13,C14,C18,C21,C22,C23,C26,C29,C32)</f>
        <v>3424807207.3031354</v>
      </c>
      <c r="D35" s="74"/>
      <c r="E35" s="4"/>
    </row>
    <row r="36" spans="1:5">
      <c r="A36" s="392"/>
      <c r="B36" s="364" t="s">
        <v>94</v>
      </c>
      <c r="C36" s="150"/>
      <c r="D36" s="75"/>
      <c r="E36" s="4"/>
    </row>
    <row r="37" spans="1:5">
      <c r="A37" s="392">
        <v>15</v>
      </c>
      <c r="B37" s="365" t="s">
        <v>720</v>
      </c>
      <c r="C37" s="422">
        <v>3962499.94</v>
      </c>
      <c r="D37" s="417"/>
      <c r="E37" s="3"/>
    </row>
    <row r="38" spans="1:5">
      <c r="A38" s="392">
        <v>15.1</v>
      </c>
      <c r="B38" s="367" t="s">
        <v>700</v>
      </c>
      <c r="C38" s="419">
        <v>3962499.94</v>
      </c>
      <c r="D38" s="72"/>
      <c r="E38" s="4"/>
    </row>
    <row r="39" spans="1:5" ht="20.399999999999999">
      <c r="A39" s="392">
        <v>16</v>
      </c>
      <c r="B39" s="359" t="s">
        <v>721</v>
      </c>
      <c r="C39" s="428"/>
      <c r="D39" s="72"/>
      <c r="E39" s="4"/>
    </row>
    <row r="40" spans="1:5">
      <c r="A40" s="392">
        <v>17</v>
      </c>
      <c r="B40" s="359" t="s">
        <v>722</v>
      </c>
      <c r="C40" s="428">
        <f>SUM(C41:C44)</f>
        <v>2766704533.4571967</v>
      </c>
      <c r="D40" s="72"/>
      <c r="E40" s="4"/>
    </row>
    <row r="41" spans="1:5">
      <c r="A41" s="392">
        <v>17.100000000000001</v>
      </c>
      <c r="B41" s="368" t="s">
        <v>723</v>
      </c>
      <c r="C41" s="419">
        <v>1401596724.9671969</v>
      </c>
      <c r="D41" s="72"/>
      <c r="E41" s="4"/>
    </row>
    <row r="42" spans="1:5">
      <c r="A42" s="409">
        <v>17.2</v>
      </c>
      <c r="B42" s="410" t="s">
        <v>90</v>
      </c>
      <c r="C42" s="421">
        <v>1341848481.9699998</v>
      </c>
      <c r="D42" s="74"/>
      <c r="E42" s="4"/>
    </row>
    <row r="43" spans="1:5">
      <c r="A43" s="392">
        <v>17.3</v>
      </c>
      <c r="B43" s="411" t="s">
        <v>724</v>
      </c>
      <c r="C43" s="423">
        <v>0</v>
      </c>
      <c r="D43" s="412"/>
      <c r="E43" s="4"/>
    </row>
    <row r="44" spans="1:5">
      <c r="A44" s="392">
        <v>17.399999999999999</v>
      </c>
      <c r="B44" s="411" t="s">
        <v>725</v>
      </c>
      <c r="C44" s="423">
        <v>23259326.52</v>
      </c>
      <c r="D44" s="412"/>
      <c r="E44" s="4"/>
    </row>
    <row r="45" spans="1:5">
      <c r="A45" s="392">
        <v>18</v>
      </c>
      <c r="B45" s="376" t="s">
        <v>726</v>
      </c>
      <c r="C45" s="431">
        <v>1768709.2000000002</v>
      </c>
      <c r="D45" s="412"/>
      <c r="E45" s="3"/>
    </row>
    <row r="46" spans="1:5">
      <c r="A46" s="392">
        <v>19</v>
      </c>
      <c r="B46" s="376" t="s">
        <v>727</v>
      </c>
      <c r="C46" s="431">
        <f>SUM(C47:C48)</f>
        <v>9217250.7799999937</v>
      </c>
      <c r="D46" s="413"/>
    </row>
    <row r="47" spans="1:5">
      <c r="A47" s="392">
        <v>19.100000000000001</v>
      </c>
      <c r="B47" s="414" t="s">
        <v>728</v>
      </c>
      <c r="C47" s="423">
        <v>3651432.5699999947</v>
      </c>
      <c r="D47" s="413"/>
    </row>
    <row r="48" spans="1:5">
      <c r="A48" s="392">
        <v>19.2</v>
      </c>
      <c r="B48" s="414" t="s">
        <v>729</v>
      </c>
      <c r="C48" s="423">
        <v>5565818.21</v>
      </c>
      <c r="D48" s="413"/>
    </row>
    <row r="49" spans="1:4">
      <c r="A49" s="392">
        <v>20</v>
      </c>
      <c r="B49" s="372" t="s">
        <v>91</v>
      </c>
      <c r="C49" s="431">
        <v>170976919.25</v>
      </c>
      <c r="D49" s="554" t="s">
        <v>1038</v>
      </c>
    </row>
    <row r="50" spans="1:4">
      <c r="A50" s="392">
        <v>21</v>
      </c>
      <c r="B50" s="373" t="s">
        <v>79</v>
      </c>
      <c r="C50" s="431">
        <v>50937270.93999999</v>
      </c>
      <c r="D50" s="413"/>
    </row>
    <row r="51" spans="1:4">
      <c r="A51" s="392">
        <v>21.1</v>
      </c>
      <c r="B51" s="369" t="s">
        <v>730</v>
      </c>
      <c r="C51" s="424"/>
      <c r="D51" s="413"/>
    </row>
    <row r="52" spans="1:4">
      <c r="A52" s="392">
        <v>22</v>
      </c>
      <c r="B52" s="372" t="s">
        <v>731</v>
      </c>
      <c r="C52" s="431">
        <f>SUM(C37,C39,C40,C45,C46,C49,C50)</f>
        <v>3003567183.5671968</v>
      </c>
      <c r="D52" s="413"/>
    </row>
    <row r="53" spans="1:4">
      <c r="A53" s="392"/>
      <c r="B53" s="374" t="s">
        <v>732</v>
      </c>
      <c r="C53" s="413"/>
      <c r="D53" s="413"/>
    </row>
    <row r="54" spans="1:4">
      <c r="A54" s="392">
        <v>23</v>
      </c>
      <c r="B54" s="372" t="s">
        <v>95</v>
      </c>
      <c r="C54" s="431">
        <v>5270620</v>
      </c>
      <c r="D54" s="554" t="s">
        <v>1030</v>
      </c>
    </row>
    <row r="55" spans="1:4">
      <c r="A55" s="392">
        <v>24</v>
      </c>
      <c r="B55" s="372" t="s">
        <v>733</v>
      </c>
      <c r="C55" s="432"/>
      <c r="D55" s="683"/>
    </row>
    <row r="56" spans="1:4">
      <c r="A56" s="392">
        <v>25</v>
      </c>
      <c r="B56" s="372" t="s">
        <v>92</v>
      </c>
      <c r="C56" s="431">
        <v>41797125.18</v>
      </c>
      <c r="D56" s="554" t="s">
        <v>1031</v>
      </c>
    </row>
    <row r="57" spans="1:4">
      <c r="A57" s="392">
        <v>26</v>
      </c>
      <c r="B57" s="376" t="s">
        <v>734</v>
      </c>
      <c r="C57" s="432"/>
      <c r="D57" s="683"/>
    </row>
    <row r="58" spans="1:4">
      <c r="A58" s="392">
        <v>27</v>
      </c>
      <c r="B58" s="376" t="s">
        <v>735</v>
      </c>
      <c r="C58" s="432">
        <f>SUM(C59:C60)</f>
        <v>0</v>
      </c>
      <c r="D58" s="683"/>
    </row>
    <row r="59" spans="1:4">
      <c r="A59" s="392">
        <v>27.1</v>
      </c>
      <c r="B59" s="414" t="s">
        <v>736</v>
      </c>
      <c r="C59" s="425"/>
      <c r="D59" s="683"/>
    </row>
    <row r="60" spans="1:4">
      <c r="A60" s="392">
        <v>27.2</v>
      </c>
      <c r="B60" s="411" t="s">
        <v>737</v>
      </c>
      <c r="C60" s="425"/>
      <c r="D60" s="683"/>
    </row>
    <row r="61" spans="1:4">
      <c r="A61" s="392">
        <v>28</v>
      </c>
      <c r="B61" s="373" t="s">
        <v>738</v>
      </c>
      <c r="C61" s="432"/>
      <c r="D61" s="683"/>
    </row>
    <row r="62" spans="1:4">
      <c r="A62" s="392">
        <v>29</v>
      </c>
      <c r="B62" s="376" t="s">
        <v>739</v>
      </c>
      <c r="C62" s="432">
        <f>SUM(C63:C65)</f>
        <v>0</v>
      </c>
      <c r="D62" s="683"/>
    </row>
    <row r="63" spans="1:4">
      <c r="A63" s="392">
        <v>29.1</v>
      </c>
      <c r="B63" s="415" t="s">
        <v>740</v>
      </c>
      <c r="C63" s="425"/>
      <c r="D63" s="683"/>
    </row>
    <row r="64" spans="1:4" ht="24" customHeight="1">
      <c r="A64" s="392">
        <v>29.2</v>
      </c>
      <c r="B64" s="414" t="s">
        <v>741</v>
      </c>
      <c r="C64" s="425"/>
      <c r="D64" s="683"/>
    </row>
    <row r="65" spans="1:4" ht="22.05" customHeight="1">
      <c r="A65" s="392">
        <v>29.3</v>
      </c>
      <c r="B65" s="416" t="s">
        <v>742</v>
      </c>
      <c r="C65" s="425"/>
      <c r="D65" s="683"/>
    </row>
    <row r="66" spans="1:4">
      <c r="A66" s="392">
        <v>30</v>
      </c>
      <c r="B66" s="376" t="s">
        <v>93</v>
      </c>
      <c r="C66" s="431">
        <v>374172278.06696802</v>
      </c>
      <c r="D66" s="554" t="s">
        <v>1032</v>
      </c>
    </row>
    <row r="67" spans="1:4">
      <c r="A67" s="392">
        <v>31</v>
      </c>
      <c r="B67" s="375" t="s">
        <v>743</v>
      </c>
      <c r="C67" s="431">
        <f>SUM(C54,C55,C56,C57,C58,C61,C62,C66)</f>
        <v>421240023.24696803</v>
      </c>
      <c r="D67" s="413"/>
    </row>
    <row r="68" spans="1:4">
      <c r="A68" s="392">
        <v>32</v>
      </c>
      <c r="B68" s="376" t="s">
        <v>744</v>
      </c>
      <c r="C68" s="431">
        <f>SUM(C52,C67)</f>
        <v>3424807206.8141651</v>
      </c>
      <c r="D68" s="413"/>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13" activePane="bottomRight" state="frozen"/>
      <selection pane="topRight" activeCell="C1" sqref="C1"/>
      <selection pane="bottomLeft" activeCell="A8" sqref="A8"/>
      <selection pane="bottomRight" activeCell="N25" sqref="N25"/>
    </sheetView>
  </sheetViews>
  <sheetFormatPr defaultColWidth="9.21875" defaultRowHeight="13.8"/>
  <cols>
    <col min="1" max="1" width="10.5546875" style="1" bestFit="1" customWidth="1"/>
    <col min="2" max="2" width="51.6640625" style="1" customWidth="1"/>
    <col min="3" max="3" width="11.33203125" style="1" bestFit="1" customWidth="1"/>
    <col min="4" max="4" width="13.21875" style="1" bestFit="1" customWidth="1"/>
    <col min="5" max="5" width="10.33203125" style="1" bestFit="1" customWidth="1"/>
    <col min="6" max="6" width="13.21875" style="1" bestFit="1" customWidth="1"/>
    <col min="7" max="7" width="11.33203125" style="1" bestFit="1" customWidth="1"/>
    <col min="8" max="8" width="13.21875" style="1" bestFit="1" customWidth="1"/>
    <col min="9" max="9" width="10.33203125" style="1" bestFit="1" customWidth="1"/>
    <col min="10" max="10" width="13.21875" style="1" bestFit="1" customWidth="1"/>
    <col min="11" max="11" width="12.77734375" style="1" bestFit="1" customWidth="1"/>
    <col min="12" max="12" width="13.21875" style="1" bestFit="1" customWidth="1"/>
    <col min="13" max="13" width="11.33203125" style="1" bestFit="1" customWidth="1"/>
    <col min="14" max="14" width="13.21875" style="1" bestFit="1" customWidth="1"/>
    <col min="15" max="15" width="9.44140625" style="1" bestFit="1" customWidth="1"/>
    <col min="16" max="16" width="13.21875" style="1" bestFit="1" customWidth="1"/>
    <col min="17" max="17" width="9.44140625" style="1" bestFit="1" customWidth="1"/>
    <col min="18" max="18" width="13.21875" style="1" bestFit="1" customWidth="1"/>
    <col min="19" max="19" width="31.5546875" style="1" bestFit="1" customWidth="1"/>
    <col min="20" max="16384" width="9.21875" style="8"/>
  </cols>
  <sheetData>
    <row r="1" spans="1:19">
      <c r="A1" s="1" t="s">
        <v>98</v>
      </c>
      <c r="B1" s="1" t="str">
        <f>Info!C2</f>
        <v>სს "კრედო ბანკი"</v>
      </c>
    </row>
    <row r="2" spans="1:19">
      <c r="A2" s="1" t="s">
        <v>99</v>
      </c>
      <c r="B2" s="282">
        <f>'1. key ratios'!B2</f>
        <v>45838</v>
      </c>
    </row>
    <row r="4" spans="1:19" ht="55.8" thickBot="1">
      <c r="A4" s="29" t="s">
        <v>249</v>
      </c>
      <c r="B4" s="166" t="s">
        <v>283</v>
      </c>
    </row>
    <row r="5" spans="1:19">
      <c r="A5" s="61"/>
      <c r="B5" s="63"/>
      <c r="C5" s="55" t="s">
        <v>0</v>
      </c>
      <c r="D5" s="55" t="s">
        <v>1</v>
      </c>
      <c r="E5" s="55" t="s">
        <v>2</v>
      </c>
      <c r="F5" s="55" t="s">
        <v>3</v>
      </c>
      <c r="G5" s="55" t="s">
        <v>4</v>
      </c>
      <c r="H5" s="55" t="s">
        <v>6</v>
      </c>
      <c r="I5" s="55" t="s">
        <v>135</v>
      </c>
      <c r="J5" s="55" t="s">
        <v>136</v>
      </c>
      <c r="K5" s="55" t="s">
        <v>137</v>
      </c>
      <c r="L5" s="55" t="s">
        <v>138</v>
      </c>
      <c r="M5" s="55" t="s">
        <v>139</v>
      </c>
      <c r="N5" s="55" t="s">
        <v>140</v>
      </c>
      <c r="O5" s="55" t="s">
        <v>270</v>
      </c>
      <c r="P5" s="55" t="s">
        <v>271</v>
      </c>
      <c r="Q5" s="55" t="s">
        <v>272</v>
      </c>
      <c r="R5" s="159" t="s">
        <v>273</v>
      </c>
      <c r="S5" s="56" t="s">
        <v>274</v>
      </c>
    </row>
    <row r="6" spans="1:19" ht="46.5" customHeight="1">
      <c r="A6" s="79"/>
      <c r="B6" s="814" t="s">
        <v>275</v>
      </c>
      <c r="C6" s="812">
        <v>0</v>
      </c>
      <c r="D6" s="813"/>
      <c r="E6" s="812">
        <v>0.2</v>
      </c>
      <c r="F6" s="813"/>
      <c r="G6" s="812">
        <v>0.35</v>
      </c>
      <c r="H6" s="813"/>
      <c r="I6" s="812">
        <v>0.5</v>
      </c>
      <c r="J6" s="813"/>
      <c r="K6" s="812">
        <v>0.75</v>
      </c>
      <c r="L6" s="813"/>
      <c r="M6" s="812">
        <v>1</v>
      </c>
      <c r="N6" s="813"/>
      <c r="O6" s="812">
        <v>1.5</v>
      </c>
      <c r="P6" s="813"/>
      <c r="Q6" s="812">
        <v>2.5</v>
      </c>
      <c r="R6" s="813"/>
      <c r="S6" s="810" t="s">
        <v>146</v>
      </c>
    </row>
    <row r="7" spans="1:19">
      <c r="A7" s="79"/>
      <c r="B7" s="815"/>
      <c r="C7" s="165" t="s">
        <v>268</v>
      </c>
      <c r="D7" s="165" t="s">
        <v>269</v>
      </c>
      <c r="E7" s="165" t="s">
        <v>268</v>
      </c>
      <c r="F7" s="165" t="s">
        <v>269</v>
      </c>
      <c r="G7" s="165" t="s">
        <v>268</v>
      </c>
      <c r="H7" s="165" t="s">
        <v>269</v>
      </c>
      <c r="I7" s="165" t="s">
        <v>268</v>
      </c>
      <c r="J7" s="165" t="s">
        <v>269</v>
      </c>
      <c r="K7" s="165" t="s">
        <v>268</v>
      </c>
      <c r="L7" s="165" t="s">
        <v>269</v>
      </c>
      <c r="M7" s="165" t="s">
        <v>268</v>
      </c>
      <c r="N7" s="165" t="s">
        <v>269</v>
      </c>
      <c r="O7" s="165" t="s">
        <v>268</v>
      </c>
      <c r="P7" s="165" t="s">
        <v>269</v>
      </c>
      <c r="Q7" s="165" t="s">
        <v>268</v>
      </c>
      <c r="R7" s="165" t="s">
        <v>269</v>
      </c>
      <c r="S7" s="811"/>
    </row>
    <row r="8" spans="1:19" ht="27.6">
      <c r="A8" s="59">
        <v>1</v>
      </c>
      <c r="B8" s="34" t="s">
        <v>124</v>
      </c>
      <c r="C8" s="151">
        <v>304881886.04406643</v>
      </c>
      <c r="D8" s="151"/>
      <c r="E8" s="151"/>
      <c r="F8" s="160"/>
      <c r="G8" s="151"/>
      <c r="H8" s="151"/>
      <c r="I8" s="151"/>
      <c r="J8" s="151"/>
      <c r="K8" s="151"/>
      <c r="L8" s="151"/>
      <c r="M8" s="151">
        <v>65427754.55526901</v>
      </c>
      <c r="N8" s="151"/>
      <c r="O8" s="151"/>
      <c r="P8" s="151"/>
      <c r="Q8" s="151"/>
      <c r="R8" s="160"/>
      <c r="S8" s="169">
        <f>$C$6*SUM(C8:D8)+$E$6*SUM(E8:F8)+$G$6*SUM(G8:H8)+$I$6*SUM(I8:J8)+$K$6*SUM(K8:L8)+$M$6*SUM(M8:N8)+$O$6*SUM(O8:P8)+$Q$6*SUM(Q8:R8)</f>
        <v>65427754.55526901</v>
      </c>
    </row>
    <row r="9" spans="1:19" ht="41.4">
      <c r="A9" s="59">
        <v>2</v>
      </c>
      <c r="B9" s="34" t="s">
        <v>125</v>
      </c>
      <c r="C9" s="151"/>
      <c r="D9" s="151"/>
      <c r="E9" s="151"/>
      <c r="F9" s="151"/>
      <c r="G9" s="151"/>
      <c r="H9" s="151"/>
      <c r="I9" s="151"/>
      <c r="J9" s="151"/>
      <c r="K9" s="151"/>
      <c r="L9" s="151"/>
      <c r="M9" s="151"/>
      <c r="N9" s="151"/>
      <c r="O9" s="151"/>
      <c r="P9" s="151"/>
      <c r="Q9" s="151"/>
      <c r="R9" s="160"/>
      <c r="S9" s="169">
        <f t="shared" ref="S9:S21" si="0">$C$6*SUM(C9:D9)+$E$6*SUM(E9:F9)+$G$6*SUM(G9:H9)+$I$6*SUM(I9:J9)+$K$6*SUM(K9:L9)+$M$6*SUM(M9:N9)+$O$6*SUM(O9:P9)+$Q$6*SUM(Q9:R9)</f>
        <v>0</v>
      </c>
    </row>
    <row r="10" spans="1:19">
      <c r="A10" s="59">
        <v>3</v>
      </c>
      <c r="B10" s="87" t="s">
        <v>126</v>
      </c>
      <c r="C10" s="151"/>
      <c r="D10" s="151"/>
      <c r="E10" s="151"/>
      <c r="F10" s="151"/>
      <c r="G10" s="151"/>
      <c r="H10" s="151"/>
      <c r="I10" s="151"/>
      <c r="J10" s="151"/>
      <c r="K10" s="151"/>
      <c r="L10" s="151"/>
      <c r="M10" s="151"/>
      <c r="N10" s="151"/>
      <c r="O10" s="151"/>
      <c r="P10" s="151"/>
      <c r="Q10" s="151"/>
      <c r="R10" s="160"/>
      <c r="S10" s="169">
        <f t="shared" si="0"/>
        <v>0</v>
      </c>
    </row>
    <row r="11" spans="1:19" ht="27.6">
      <c r="A11" s="59">
        <v>4</v>
      </c>
      <c r="B11" s="34" t="s">
        <v>127</v>
      </c>
      <c r="C11" s="151"/>
      <c r="D11" s="151"/>
      <c r="E11" s="151"/>
      <c r="F11" s="151"/>
      <c r="G11" s="151"/>
      <c r="H11" s="151"/>
      <c r="I11" s="151"/>
      <c r="J11" s="151"/>
      <c r="K11" s="151"/>
      <c r="L11" s="151"/>
      <c r="M11" s="151"/>
      <c r="N11" s="151"/>
      <c r="O11" s="151"/>
      <c r="P11" s="151"/>
      <c r="Q11" s="151"/>
      <c r="R11" s="160"/>
      <c r="S11" s="169">
        <f t="shared" si="0"/>
        <v>0</v>
      </c>
    </row>
    <row r="12" spans="1:19" ht="27.6">
      <c r="A12" s="59">
        <v>5</v>
      </c>
      <c r="B12" s="764" t="s">
        <v>912</v>
      </c>
      <c r="C12" s="151"/>
      <c r="D12" s="151"/>
      <c r="E12" s="151"/>
      <c r="F12" s="151"/>
      <c r="G12" s="151"/>
      <c r="H12" s="151"/>
      <c r="I12" s="151"/>
      <c r="J12" s="151"/>
      <c r="K12" s="151"/>
      <c r="L12" s="151"/>
      <c r="M12" s="151"/>
      <c r="N12" s="151"/>
      <c r="O12" s="151"/>
      <c r="P12" s="151"/>
      <c r="Q12" s="151"/>
      <c r="R12" s="160"/>
      <c r="S12" s="169">
        <f t="shared" si="0"/>
        <v>0</v>
      </c>
    </row>
    <row r="13" spans="1:19">
      <c r="A13" s="59">
        <v>6</v>
      </c>
      <c r="B13" s="87" t="s">
        <v>128</v>
      </c>
      <c r="C13" s="151"/>
      <c r="D13" s="151"/>
      <c r="E13" s="151">
        <v>72845583.518263176</v>
      </c>
      <c r="F13" s="151"/>
      <c r="G13" s="151"/>
      <c r="H13" s="151"/>
      <c r="I13" s="151">
        <v>16220467.740835134</v>
      </c>
      <c r="J13" s="151"/>
      <c r="K13" s="151"/>
      <c r="L13" s="151"/>
      <c r="M13" s="151">
        <v>165913.6881978552</v>
      </c>
      <c r="N13" s="151"/>
      <c r="O13" s="151">
        <v>13277.395413608419</v>
      </c>
      <c r="P13" s="151"/>
      <c r="Q13" s="151"/>
      <c r="R13" s="160"/>
      <c r="S13" s="169">
        <f t="shared" si="0"/>
        <v>22865180.355388466</v>
      </c>
    </row>
    <row r="14" spans="1:19">
      <c r="A14" s="59">
        <v>7</v>
      </c>
      <c r="B14" s="87" t="s">
        <v>72</v>
      </c>
      <c r="C14" s="151"/>
      <c r="D14" s="151"/>
      <c r="E14" s="151"/>
      <c r="F14" s="151"/>
      <c r="G14" s="151"/>
      <c r="H14" s="151"/>
      <c r="I14" s="151"/>
      <c r="J14" s="151"/>
      <c r="K14" s="151"/>
      <c r="L14" s="151"/>
      <c r="M14" s="151">
        <v>81481985.298495144</v>
      </c>
      <c r="N14" s="151">
        <v>9991505.5</v>
      </c>
      <c r="O14" s="151"/>
      <c r="P14" s="151"/>
      <c r="Q14" s="151"/>
      <c r="R14" s="160"/>
      <c r="S14" s="169">
        <f t="shared" si="0"/>
        <v>91473490.798495144</v>
      </c>
    </row>
    <row r="15" spans="1:19">
      <c r="A15" s="59">
        <v>8</v>
      </c>
      <c r="B15" s="87" t="s">
        <v>73</v>
      </c>
      <c r="C15" s="151"/>
      <c r="D15" s="151"/>
      <c r="E15" s="151"/>
      <c r="F15" s="151"/>
      <c r="G15" s="151"/>
      <c r="H15" s="151"/>
      <c r="I15" s="151" t="s">
        <v>5</v>
      </c>
      <c r="J15" s="151"/>
      <c r="K15" s="151">
        <v>2473405340.9546461</v>
      </c>
      <c r="L15" s="151">
        <v>90110430.5</v>
      </c>
      <c r="M15" s="151"/>
      <c r="N15" s="151"/>
      <c r="O15" s="151"/>
      <c r="P15" s="151"/>
      <c r="Q15" s="151"/>
      <c r="R15" s="160"/>
      <c r="S15" s="169">
        <f t="shared" si="0"/>
        <v>1922636828.5909846</v>
      </c>
    </row>
    <row r="16" spans="1:19" ht="27.6">
      <c r="A16" s="59">
        <v>9</v>
      </c>
      <c r="B16" s="34" t="s">
        <v>913</v>
      </c>
      <c r="C16" s="151"/>
      <c r="D16" s="151"/>
      <c r="E16" s="151"/>
      <c r="F16" s="151"/>
      <c r="G16" s="151">
        <v>148142297.72909498</v>
      </c>
      <c r="H16" s="151"/>
      <c r="I16" s="151"/>
      <c r="J16" s="151"/>
      <c r="K16" s="151"/>
      <c r="L16" s="151"/>
      <c r="M16" s="151"/>
      <c r="N16" s="151"/>
      <c r="O16" s="151"/>
      <c r="P16" s="151"/>
      <c r="Q16" s="151"/>
      <c r="R16" s="160"/>
      <c r="S16" s="169">
        <f t="shared" si="0"/>
        <v>51849804.205183238</v>
      </c>
    </row>
    <row r="17" spans="1:19">
      <c r="A17" s="59">
        <v>10</v>
      </c>
      <c r="B17" s="87" t="s">
        <v>68</v>
      </c>
      <c r="C17" s="151"/>
      <c r="D17" s="151"/>
      <c r="E17" s="151"/>
      <c r="F17" s="151"/>
      <c r="G17" s="151"/>
      <c r="H17" s="151"/>
      <c r="I17" s="151">
        <v>174971.9514109529</v>
      </c>
      <c r="J17" s="151"/>
      <c r="K17" s="151"/>
      <c r="L17" s="151"/>
      <c r="M17" s="151">
        <v>5168288.4388712049</v>
      </c>
      <c r="N17" s="151"/>
      <c r="O17" s="151"/>
      <c r="P17" s="151"/>
      <c r="Q17" s="151"/>
      <c r="R17" s="160"/>
      <c r="S17" s="169">
        <f t="shared" si="0"/>
        <v>5255774.4145766813</v>
      </c>
    </row>
    <row r="18" spans="1:19">
      <c r="A18" s="59">
        <v>11</v>
      </c>
      <c r="B18" s="87" t="s">
        <v>69</v>
      </c>
      <c r="C18" s="151"/>
      <c r="D18" s="151"/>
      <c r="E18" s="151"/>
      <c r="F18" s="151"/>
      <c r="G18" s="151"/>
      <c r="H18" s="151"/>
      <c r="I18" s="151"/>
      <c r="J18" s="151"/>
      <c r="K18" s="151"/>
      <c r="L18" s="151"/>
      <c r="M18" s="151"/>
      <c r="N18" s="151"/>
      <c r="O18" s="151"/>
      <c r="P18" s="151"/>
      <c r="Q18" s="151"/>
      <c r="R18" s="160"/>
      <c r="S18" s="169">
        <f t="shared" si="0"/>
        <v>0</v>
      </c>
    </row>
    <row r="19" spans="1:19">
      <c r="A19" s="59">
        <v>12</v>
      </c>
      <c r="B19" s="87" t="s">
        <v>70</v>
      </c>
      <c r="C19" s="151"/>
      <c r="D19" s="151"/>
      <c r="E19" s="151"/>
      <c r="F19" s="151"/>
      <c r="G19" s="151"/>
      <c r="H19" s="151"/>
      <c r="I19" s="151"/>
      <c r="J19" s="151"/>
      <c r="K19" s="151"/>
      <c r="L19" s="151"/>
      <c r="M19" s="151"/>
      <c r="N19" s="151"/>
      <c r="O19" s="151"/>
      <c r="P19" s="151"/>
      <c r="Q19" s="151"/>
      <c r="R19" s="160"/>
      <c r="S19" s="169">
        <f t="shared" si="0"/>
        <v>0</v>
      </c>
    </row>
    <row r="20" spans="1:19">
      <c r="A20" s="59">
        <v>13</v>
      </c>
      <c r="B20" s="87" t="s">
        <v>71</v>
      </c>
      <c r="C20" s="151"/>
      <c r="D20" s="151"/>
      <c r="E20" s="151"/>
      <c r="F20" s="151"/>
      <c r="G20" s="151"/>
      <c r="H20" s="151"/>
      <c r="I20" s="151"/>
      <c r="J20" s="151"/>
      <c r="K20" s="151"/>
      <c r="L20" s="151"/>
      <c r="M20" s="151"/>
      <c r="N20" s="151"/>
      <c r="O20" s="151"/>
      <c r="P20" s="151"/>
      <c r="Q20" s="151"/>
      <c r="R20" s="160"/>
      <c r="S20" s="169">
        <f t="shared" si="0"/>
        <v>0</v>
      </c>
    </row>
    <row r="21" spans="1:19">
      <c r="A21" s="59">
        <v>14</v>
      </c>
      <c r="B21" s="87" t="s">
        <v>144</v>
      </c>
      <c r="C21" s="151">
        <v>104906069.83</v>
      </c>
      <c r="D21" s="151"/>
      <c r="E21" s="151"/>
      <c r="F21" s="151"/>
      <c r="G21" s="151"/>
      <c r="H21" s="151"/>
      <c r="I21" s="151"/>
      <c r="J21" s="151"/>
      <c r="K21" s="151"/>
      <c r="L21" s="151"/>
      <c r="M21" s="151">
        <v>116507477.94999999</v>
      </c>
      <c r="N21" s="151"/>
      <c r="O21" s="151"/>
      <c r="P21" s="151"/>
      <c r="Q21" s="151">
        <v>2202413.5</v>
      </c>
      <c r="R21" s="160"/>
      <c r="S21" s="169">
        <f t="shared" si="0"/>
        <v>122013511.69999999</v>
      </c>
    </row>
    <row r="22" spans="1:19" ht="14.4" thickBot="1">
      <c r="A22" s="53"/>
      <c r="B22" s="83" t="s">
        <v>67</v>
      </c>
      <c r="C22" s="152">
        <f>SUM(C8:C21)</f>
        <v>409787955.87406641</v>
      </c>
      <c r="D22" s="152">
        <f t="shared" ref="D22:S22" si="1">SUM(D8:D21)</f>
        <v>0</v>
      </c>
      <c r="E22" s="152">
        <f t="shared" si="1"/>
        <v>72845583.518263176</v>
      </c>
      <c r="F22" s="152">
        <f t="shared" si="1"/>
        <v>0</v>
      </c>
      <c r="G22" s="152">
        <f t="shared" si="1"/>
        <v>148142297.72909498</v>
      </c>
      <c r="H22" s="152">
        <f t="shared" si="1"/>
        <v>0</v>
      </c>
      <c r="I22" s="152">
        <f t="shared" si="1"/>
        <v>16395439.692246087</v>
      </c>
      <c r="J22" s="152">
        <f t="shared" si="1"/>
        <v>0</v>
      </c>
      <c r="K22" s="152">
        <f t="shared" si="1"/>
        <v>2473405340.9546461</v>
      </c>
      <c r="L22" s="152">
        <f t="shared" si="1"/>
        <v>90110430.5</v>
      </c>
      <c r="M22" s="152">
        <f t="shared" si="1"/>
        <v>268751419.93083322</v>
      </c>
      <c r="N22" s="152">
        <f t="shared" si="1"/>
        <v>9991505.5</v>
      </c>
      <c r="O22" s="152">
        <f t="shared" si="1"/>
        <v>13277.395413608419</v>
      </c>
      <c r="P22" s="152">
        <f t="shared" si="1"/>
        <v>0</v>
      </c>
      <c r="Q22" s="152">
        <f t="shared" si="1"/>
        <v>2202413.5</v>
      </c>
      <c r="R22" s="152">
        <f t="shared" si="1"/>
        <v>0</v>
      </c>
      <c r="S22" s="684">
        <f t="shared" si="1"/>
        <v>2281522344.6198969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D14" sqref="D14"/>
    </sheetView>
  </sheetViews>
  <sheetFormatPr defaultColWidth="9.21875" defaultRowHeight="13.8"/>
  <cols>
    <col min="1" max="1" width="10.5546875" style="1" bestFit="1" customWidth="1"/>
    <col min="2" max="2" width="97" style="1" bestFit="1" customWidth="1"/>
    <col min="3" max="3" width="19" style="1" customWidth="1"/>
    <col min="4" max="4" width="19.5546875" style="1" customWidth="1"/>
    <col min="5" max="5" width="31.21875" style="1" customWidth="1"/>
    <col min="6" max="6" width="29.21875" style="1" customWidth="1"/>
    <col min="7" max="7" width="28.5546875" style="1" customWidth="1"/>
    <col min="8" max="8" width="26.44140625" style="1" customWidth="1"/>
    <col min="9" max="9" width="23.77734375" style="1" customWidth="1"/>
    <col min="10" max="10" width="21.5546875" style="1" customWidth="1"/>
    <col min="11" max="11" width="15.77734375" style="1" customWidth="1"/>
    <col min="12" max="12" width="13.21875" style="1" customWidth="1"/>
    <col min="13" max="13" width="20.77734375" style="1" customWidth="1"/>
    <col min="14" max="14" width="19.21875" style="1" customWidth="1"/>
    <col min="15" max="15" width="18.44140625" style="1" customWidth="1"/>
    <col min="16" max="16" width="19" style="1" customWidth="1"/>
    <col min="17" max="17" width="20.21875" style="1" customWidth="1"/>
    <col min="18" max="18" width="18" style="1" customWidth="1"/>
    <col min="19" max="19" width="36" style="1" customWidth="1"/>
    <col min="20" max="20" width="19.44140625" style="1" customWidth="1"/>
    <col min="21" max="21" width="19.21875" style="1" customWidth="1"/>
    <col min="22" max="22" width="20" style="1" customWidth="1"/>
    <col min="23" max="16384" width="9.21875" style="8"/>
  </cols>
  <sheetData>
    <row r="1" spans="1:22">
      <c r="A1" s="1" t="s">
        <v>98</v>
      </c>
      <c r="B1" s="1" t="str">
        <f>Info!C2</f>
        <v>სს "კრედო ბანკი"</v>
      </c>
    </row>
    <row r="2" spans="1:22">
      <c r="A2" s="1" t="s">
        <v>99</v>
      </c>
      <c r="B2" s="282">
        <f>'1. key ratios'!B2</f>
        <v>45838</v>
      </c>
    </row>
    <row r="4" spans="1:22" ht="28.2" thickBot="1">
      <c r="A4" s="1" t="s">
        <v>250</v>
      </c>
      <c r="B4" s="166" t="s">
        <v>284</v>
      </c>
      <c r="V4" s="112" t="s">
        <v>77</v>
      </c>
    </row>
    <row r="5" spans="1:22">
      <c r="A5" s="51"/>
      <c r="B5" s="52"/>
      <c r="C5" s="816" t="s">
        <v>106</v>
      </c>
      <c r="D5" s="817"/>
      <c r="E5" s="817"/>
      <c r="F5" s="817"/>
      <c r="G5" s="817"/>
      <c r="H5" s="817"/>
      <c r="I5" s="817"/>
      <c r="J5" s="817"/>
      <c r="K5" s="817"/>
      <c r="L5" s="818"/>
      <c r="M5" s="816" t="s">
        <v>107</v>
      </c>
      <c r="N5" s="817"/>
      <c r="O5" s="817"/>
      <c r="P5" s="817"/>
      <c r="Q5" s="817"/>
      <c r="R5" s="817"/>
      <c r="S5" s="818"/>
      <c r="T5" s="821" t="s">
        <v>282</v>
      </c>
      <c r="U5" s="821" t="s">
        <v>281</v>
      </c>
      <c r="V5" s="819" t="s">
        <v>108</v>
      </c>
    </row>
    <row r="6" spans="1:22" s="29" customFormat="1" ht="138">
      <c r="A6" s="57"/>
      <c r="B6" s="89"/>
      <c r="C6" s="49" t="s">
        <v>109</v>
      </c>
      <c r="D6" s="48" t="s">
        <v>110</v>
      </c>
      <c r="E6" s="46" t="s">
        <v>111</v>
      </c>
      <c r="F6" s="46" t="s">
        <v>276</v>
      </c>
      <c r="G6" s="48" t="s">
        <v>112</v>
      </c>
      <c r="H6" s="48" t="s">
        <v>113</v>
      </c>
      <c r="I6" s="48" t="s">
        <v>114</v>
      </c>
      <c r="J6" s="48" t="s">
        <v>143</v>
      </c>
      <c r="K6" s="48" t="s">
        <v>115</v>
      </c>
      <c r="L6" s="50" t="s">
        <v>116</v>
      </c>
      <c r="M6" s="49" t="s">
        <v>117</v>
      </c>
      <c r="N6" s="48" t="s">
        <v>118</v>
      </c>
      <c r="O6" s="48" t="s">
        <v>119</v>
      </c>
      <c r="P6" s="48" t="s">
        <v>120</v>
      </c>
      <c r="Q6" s="48" t="s">
        <v>121</v>
      </c>
      <c r="R6" s="48" t="s">
        <v>122</v>
      </c>
      <c r="S6" s="50" t="s">
        <v>123</v>
      </c>
      <c r="T6" s="822"/>
      <c r="U6" s="822"/>
      <c r="V6" s="820"/>
    </row>
    <row r="7" spans="1:22">
      <c r="A7" s="82">
        <v>1</v>
      </c>
      <c r="B7" s="87" t="s">
        <v>124</v>
      </c>
      <c r="C7" s="153"/>
      <c r="D7" s="151"/>
      <c r="E7" s="151"/>
      <c r="F7" s="151"/>
      <c r="G7" s="151"/>
      <c r="H7" s="151"/>
      <c r="I7" s="151"/>
      <c r="J7" s="151"/>
      <c r="K7" s="151"/>
      <c r="L7" s="154"/>
      <c r="M7" s="153"/>
      <c r="N7" s="151"/>
      <c r="O7" s="151"/>
      <c r="P7" s="151"/>
      <c r="Q7" s="151"/>
      <c r="R7" s="151"/>
      <c r="S7" s="154"/>
      <c r="T7" s="163"/>
      <c r="U7" s="162"/>
      <c r="V7" s="155">
        <f>SUM(C7:S7)</f>
        <v>0</v>
      </c>
    </row>
    <row r="8" spans="1:22">
      <c r="A8" s="82">
        <v>2</v>
      </c>
      <c r="B8" s="87" t="s">
        <v>125</v>
      </c>
      <c r="C8" s="153"/>
      <c r="D8" s="151"/>
      <c r="E8" s="151"/>
      <c r="F8" s="151"/>
      <c r="G8" s="151"/>
      <c r="H8" s="151"/>
      <c r="I8" s="151"/>
      <c r="J8" s="151"/>
      <c r="K8" s="151"/>
      <c r="L8" s="154"/>
      <c r="M8" s="153"/>
      <c r="N8" s="151"/>
      <c r="O8" s="151"/>
      <c r="P8" s="151"/>
      <c r="Q8" s="151"/>
      <c r="R8" s="151"/>
      <c r="S8" s="154"/>
      <c r="T8" s="162"/>
      <c r="U8" s="162"/>
      <c r="V8" s="155">
        <f t="shared" ref="V8:V20" si="0">SUM(C8:S8)</f>
        <v>0</v>
      </c>
    </row>
    <row r="9" spans="1:22">
      <c r="A9" s="82">
        <v>3</v>
      </c>
      <c r="B9" s="87" t="s">
        <v>126</v>
      </c>
      <c r="C9" s="153"/>
      <c r="D9" s="151"/>
      <c r="E9" s="151"/>
      <c r="F9" s="151"/>
      <c r="G9" s="151"/>
      <c r="H9" s="151"/>
      <c r="I9" s="151"/>
      <c r="J9" s="151"/>
      <c r="K9" s="151"/>
      <c r="L9" s="154"/>
      <c r="M9" s="153"/>
      <c r="N9" s="151"/>
      <c r="O9" s="151"/>
      <c r="P9" s="151"/>
      <c r="Q9" s="151"/>
      <c r="R9" s="151"/>
      <c r="S9" s="154"/>
      <c r="T9" s="162"/>
      <c r="U9" s="162"/>
      <c r="V9" s="155">
        <f>SUM(C9:S9)</f>
        <v>0</v>
      </c>
    </row>
    <row r="10" spans="1:22">
      <c r="A10" s="82">
        <v>4</v>
      </c>
      <c r="B10" s="87" t="s">
        <v>127</v>
      </c>
      <c r="C10" s="153"/>
      <c r="D10" s="151"/>
      <c r="E10" s="151"/>
      <c r="F10" s="151"/>
      <c r="G10" s="151"/>
      <c r="H10" s="151"/>
      <c r="I10" s="151"/>
      <c r="J10" s="151"/>
      <c r="K10" s="151"/>
      <c r="L10" s="154"/>
      <c r="M10" s="153"/>
      <c r="N10" s="151"/>
      <c r="O10" s="151"/>
      <c r="P10" s="151"/>
      <c r="Q10" s="151"/>
      <c r="R10" s="151"/>
      <c r="S10" s="154"/>
      <c r="T10" s="162"/>
      <c r="U10" s="162"/>
      <c r="V10" s="155">
        <f t="shared" si="0"/>
        <v>0</v>
      </c>
    </row>
    <row r="11" spans="1:22">
      <c r="A11" s="82">
        <v>5</v>
      </c>
      <c r="B11" s="87" t="s">
        <v>912</v>
      </c>
      <c r="C11" s="153"/>
      <c r="D11" s="151"/>
      <c r="E11" s="151"/>
      <c r="F11" s="151"/>
      <c r="G11" s="151"/>
      <c r="H11" s="151"/>
      <c r="I11" s="151"/>
      <c r="J11" s="151"/>
      <c r="K11" s="151"/>
      <c r="L11" s="154"/>
      <c r="M11" s="153"/>
      <c r="N11" s="151"/>
      <c r="O11" s="151"/>
      <c r="P11" s="151"/>
      <c r="Q11" s="151"/>
      <c r="R11" s="151"/>
      <c r="S11" s="154"/>
      <c r="T11" s="162"/>
      <c r="U11" s="162"/>
      <c r="V11" s="155">
        <f t="shared" si="0"/>
        <v>0</v>
      </c>
    </row>
    <row r="12" spans="1:22">
      <c r="A12" s="82">
        <v>6</v>
      </c>
      <c r="B12" s="87" t="s">
        <v>128</v>
      </c>
      <c r="C12" s="153"/>
      <c r="D12" s="151"/>
      <c r="E12" s="151"/>
      <c r="F12" s="151"/>
      <c r="G12" s="151"/>
      <c r="H12" s="151"/>
      <c r="I12" s="151"/>
      <c r="J12" s="151"/>
      <c r="K12" s="151"/>
      <c r="L12" s="154"/>
      <c r="M12" s="153"/>
      <c r="N12" s="151"/>
      <c r="O12" s="151"/>
      <c r="P12" s="151"/>
      <c r="Q12" s="151"/>
      <c r="R12" s="151"/>
      <c r="S12" s="154"/>
      <c r="T12" s="162"/>
      <c r="U12" s="162"/>
      <c r="V12" s="155">
        <f t="shared" si="0"/>
        <v>0</v>
      </c>
    </row>
    <row r="13" spans="1:22">
      <c r="A13" s="82">
        <v>7</v>
      </c>
      <c r="B13" s="87" t="s">
        <v>72</v>
      </c>
      <c r="C13" s="153"/>
      <c r="D13" s="151"/>
      <c r="E13" s="151"/>
      <c r="F13" s="151"/>
      <c r="G13" s="151"/>
      <c r="H13" s="151"/>
      <c r="I13" s="151"/>
      <c r="J13" s="151"/>
      <c r="K13" s="151"/>
      <c r="L13" s="154"/>
      <c r="M13" s="153"/>
      <c r="N13" s="151"/>
      <c r="O13" s="151"/>
      <c r="P13" s="151"/>
      <c r="Q13" s="151"/>
      <c r="R13" s="151"/>
      <c r="S13" s="154"/>
      <c r="T13" s="162"/>
      <c r="U13" s="162"/>
      <c r="V13" s="155">
        <f t="shared" si="0"/>
        <v>0</v>
      </c>
    </row>
    <row r="14" spans="1:22">
      <c r="A14" s="82">
        <v>8</v>
      </c>
      <c r="B14" s="87" t="s">
        <v>73</v>
      </c>
      <c r="C14" s="153"/>
      <c r="D14" s="151">
        <v>5682700.9230000013</v>
      </c>
      <c r="E14" s="151"/>
      <c r="F14" s="151"/>
      <c r="G14" s="151"/>
      <c r="H14" s="151"/>
      <c r="I14" s="151"/>
      <c r="J14" s="151"/>
      <c r="K14" s="151"/>
      <c r="L14" s="154"/>
      <c r="M14" s="153"/>
      <c r="N14" s="151"/>
      <c r="O14" s="151"/>
      <c r="P14" s="151"/>
      <c r="Q14" s="151"/>
      <c r="R14" s="151"/>
      <c r="S14" s="154"/>
      <c r="T14" s="162"/>
      <c r="U14" s="162"/>
      <c r="V14" s="155">
        <f t="shared" si="0"/>
        <v>5682700.9230000013</v>
      </c>
    </row>
    <row r="15" spans="1:22">
      <c r="A15" s="82">
        <v>9</v>
      </c>
      <c r="B15" s="87" t="s">
        <v>913</v>
      </c>
      <c r="C15" s="153"/>
      <c r="D15" s="151"/>
      <c r="E15" s="151"/>
      <c r="F15" s="151"/>
      <c r="G15" s="151"/>
      <c r="H15" s="151"/>
      <c r="I15" s="151"/>
      <c r="J15" s="151"/>
      <c r="K15" s="151"/>
      <c r="L15" s="154"/>
      <c r="M15" s="153"/>
      <c r="N15" s="151"/>
      <c r="O15" s="151"/>
      <c r="P15" s="151"/>
      <c r="Q15" s="151"/>
      <c r="R15" s="151"/>
      <c r="S15" s="154"/>
      <c r="T15" s="162"/>
      <c r="U15" s="162"/>
      <c r="V15" s="155">
        <f t="shared" si="0"/>
        <v>0</v>
      </c>
    </row>
    <row r="16" spans="1:22">
      <c r="A16" s="82">
        <v>10</v>
      </c>
      <c r="B16" s="87" t="s">
        <v>68</v>
      </c>
      <c r="C16" s="153"/>
      <c r="D16" s="151"/>
      <c r="E16" s="151"/>
      <c r="F16" s="151"/>
      <c r="G16" s="151"/>
      <c r="H16" s="151"/>
      <c r="I16" s="151"/>
      <c r="J16" s="151"/>
      <c r="K16" s="151"/>
      <c r="L16" s="154"/>
      <c r="M16" s="153"/>
      <c r="N16" s="151"/>
      <c r="O16" s="151"/>
      <c r="P16" s="151"/>
      <c r="Q16" s="151"/>
      <c r="R16" s="151"/>
      <c r="S16" s="154"/>
      <c r="T16" s="162"/>
      <c r="U16" s="162"/>
      <c r="V16" s="155">
        <f t="shared" si="0"/>
        <v>0</v>
      </c>
    </row>
    <row r="17" spans="1:22">
      <c r="A17" s="82">
        <v>11</v>
      </c>
      <c r="B17" s="87" t="s">
        <v>69</v>
      </c>
      <c r="C17" s="153"/>
      <c r="D17" s="151"/>
      <c r="E17" s="151"/>
      <c r="F17" s="151"/>
      <c r="G17" s="151"/>
      <c r="H17" s="151"/>
      <c r="I17" s="151"/>
      <c r="J17" s="151"/>
      <c r="K17" s="151"/>
      <c r="L17" s="154"/>
      <c r="M17" s="153"/>
      <c r="N17" s="151"/>
      <c r="O17" s="151"/>
      <c r="P17" s="151"/>
      <c r="Q17" s="151"/>
      <c r="R17" s="151"/>
      <c r="S17" s="154"/>
      <c r="T17" s="162"/>
      <c r="U17" s="162"/>
      <c r="V17" s="155">
        <f t="shared" si="0"/>
        <v>0</v>
      </c>
    </row>
    <row r="18" spans="1:22">
      <c r="A18" s="82">
        <v>12</v>
      </c>
      <c r="B18" s="87" t="s">
        <v>70</v>
      </c>
      <c r="C18" s="153"/>
      <c r="D18" s="151"/>
      <c r="E18" s="151"/>
      <c r="F18" s="151"/>
      <c r="G18" s="151"/>
      <c r="H18" s="151"/>
      <c r="I18" s="151"/>
      <c r="J18" s="151"/>
      <c r="K18" s="151"/>
      <c r="L18" s="154"/>
      <c r="M18" s="153"/>
      <c r="N18" s="151"/>
      <c r="O18" s="151"/>
      <c r="P18" s="151"/>
      <c r="Q18" s="151"/>
      <c r="R18" s="151"/>
      <c r="S18" s="154"/>
      <c r="T18" s="162"/>
      <c r="U18" s="162"/>
      <c r="V18" s="155">
        <f t="shared" si="0"/>
        <v>0</v>
      </c>
    </row>
    <row r="19" spans="1:22">
      <c r="A19" s="82">
        <v>13</v>
      </c>
      <c r="B19" s="87" t="s">
        <v>71</v>
      </c>
      <c r="C19" s="153"/>
      <c r="D19" s="151"/>
      <c r="E19" s="151"/>
      <c r="F19" s="151"/>
      <c r="G19" s="151"/>
      <c r="H19" s="151"/>
      <c r="I19" s="151"/>
      <c r="J19" s="151"/>
      <c r="K19" s="151"/>
      <c r="L19" s="154"/>
      <c r="M19" s="153"/>
      <c r="N19" s="151"/>
      <c r="O19" s="151"/>
      <c r="P19" s="151"/>
      <c r="Q19" s="151"/>
      <c r="R19" s="151"/>
      <c r="S19" s="154"/>
      <c r="T19" s="162"/>
      <c r="U19" s="162"/>
      <c r="V19" s="155">
        <f t="shared" si="0"/>
        <v>0</v>
      </c>
    </row>
    <row r="20" spans="1:22">
      <c r="A20" s="82">
        <v>14</v>
      </c>
      <c r="B20" s="87" t="s">
        <v>144</v>
      </c>
      <c r="C20" s="153"/>
      <c r="D20" s="151"/>
      <c r="E20" s="151"/>
      <c r="F20" s="151"/>
      <c r="G20" s="151"/>
      <c r="H20" s="151"/>
      <c r="I20" s="151"/>
      <c r="J20" s="151"/>
      <c r="K20" s="151"/>
      <c r="L20" s="154"/>
      <c r="M20" s="153"/>
      <c r="N20" s="151"/>
      <c r="O20" s="151"/>
      <c r="P20" s="151"/>
      <c r="Q20" s="151"/>
      <c r="R20" s="151"/>
      <c r="S20" s="154"/>
      <c r="T20" s="162"/>
      <c r="U20" s="162"/>
      <c r="V20" s="155">
        <f t="shared" si="0"/>
        <v>0</v>
      </c>
    </row>
    <row r="21" spans="1:22" ht="14.4" thickBot="1">
      <c r="A21" s="53"/>
      <c r="B21" s="54" t="s">
        <v>67</v>
      </c>
      <c r="C21" s="156">
        <f>SUM(C7:C20)</f>
        <v>0</v>
      </c>
      <c r="D21" s="152">
        <f t="shared" ref="D21:V21" si="1">SUM(D7:D20)</f>
        <v>5682700.9230000013</v>
      </c>
      <c r="E21" s="152">
        <f t="shared" si="1"/>
        <v>0</v>
      </c>
      <c r="F21" s="152">
        <f t="shared" si="1"/>
        <v>0</v>
      </c>
      <c r="G21" s="152">
        <f t="shared" si="1"/>
        <v>0</v>
      </c>
      <c r="H21" s="152">
        <f t="shared" si="1"/>
        <v>0</v>
      </c>
      <c r="I21" s="152">
        <f t="shared" si="1"/>
        <v>0</v>
      </c>
      <c r="J21" s="152">
        <f t="shared" si="1"/>
        <v>0</v>
      </c>
      <c r="K21" s="152">
        <f t="shared" si="1"/>
        <v>0</v>
      </c>
      <c r="L21" s="157">
        <f t="shared" si="1"/>
        <v>0</v>
      </c>
      <c r="M21" s="156">
        <f t="shared" si="1"/>
        <v>0</v>
      </c>
      <c r="N21" s="152">
        <f t="shared" si="1"/>
        <v>0</v>
      </c>
      <c r="O21" s="152">
        <f t="shared" si="1"/>
        <v>0</v>
      </c>
      <c r="P21" s="152">
        <f t="shared" si="1"/>
        <v>0</v>
      </c>
      <c r="Q21" s="152">
        <f t="shared" si="1"/>
        <v>0</v>
      </c>
      <c r="R21" s="152">
        <f t="shared" si="1"/>
        <v>0</v>
      </c>
      <c r="S21" s="157">
        <f t="shared" si="1"/>
        <v>0</v>
      </c>
      <c r="T21" s="157">
        <f>SUM(T7:T20)</f>
        <v>0</v>
      </c>
      <c r="U21" s="157">
        <f t="shared" si="1"/>
        <v>0</v>
      </c>
      <c r="V21" s="158">
        <f t="shared" si="1"/>
        <v>5682700.9230000013</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E14" sqref="E14:E15"/>
    </sheetView>
  </sheetViews>
  <sheetFormatPr defaultColWidth="9.21875" defaultRowHeight="13.8"/>
  <cols>
    <col min="1" max="1" width="10.5546875" style="1" bestFit="1" customWidth="1"/>
    <col min="2" max="2" width="101.77734375" style="1" customWidth="1"/>
    <col min="3" max="3" width="13.77734375" style="1" customWidth="1"/>
    <col min="4" max="4" width="14.77734375" style="1" bestFit="1" customWidth="1"/>
    <col min="5" max="5" width="17.77734375" style="1" customWidth="1"/>
    <col min="6" max="6" width="15.77734375" style="1" customWidth="1"/>
    <col min="7" max="7" width="17.44140625" style="1" customWidth="1"/>
    <col min="8" max="8" width="15.21875" style="1" customWidth="1"/>
    <col min="9" max="16384" width="9.21875" style="8"/>
  </cols>
  <sheetData>
    <row r="1" spans="1:9">
      <c r="A1" s="1" t="s">
        <v>98</v>
      </c>
      <c r="B1" s="1" t="str">
        <f>Info!C2</f>
        <v>სს "კრედო ბანკი"</v>
      </c>
    </row>
    <row r="2" spans="1:9">
      <c r="A2" s="1" t="s">
        <v>99</v>
      </c>
      <c r="B2" s="282">
        <f>'1. key ratios'!B2</f>
        <v>45838</v>
      </c>
    </row>
    <row r="4" spans="1:9" ht="14.4" thickBot="1">
      <c r="A4" s="1" t="s">
        <v>251</v>
      </c>
      <c r="B4" s="21" t="s">
        <v>285</v>
      </c>
    </row>
    <row r="5" spans="1:9">
      <c r="A5" s="51"/>
      <c r="B5" s="80"/>
      <c r="C5" s="84" t="s">
        <v>0</v>
      </c>
      <c r="D5" s="84" t="s">
        <v>1</v>
      </c>
      <c r="E5" s="84" t="s">
        <v>2</v>
      </c>
      <c r="F5" s="84" t="s">
        <v>3</v>
      </c>
      <c r="G5" s="161" t="s">
        <v>4</v>
      </c>
      <c r="H5" s="85" t="s">
        <v>6</v>
      </c>
      <c r="I5" s="17"/>
    </row>
    <row r="6" spans="1:9" ht="15" customHeight="1">
      <c r="A6" s="79"/>
      <c r="B6" s="15"/>
      <c r="C6" s="814" t="s">
        <v>277</v>
      </c>
      <c r="D6" s="825" t="s">
        <v>298</v>
      </c>
      <c r="E6" s="826"/>
      <c r="F6" s="814" t="s">
        <v>304</v>
      </c>
      <c r="G6" s="814" t="s">
        <v>305</v>
      </c>
      <c r="H6" s="823" t="s">
        <v>279</v>
      </c>
      <c r="I6" s="17"/>
    </row>
    <row r="7" spans="1:9" ht="69">
      <c r="A7" s="79"/>
      <c r="B7" s="15"/>
      <c r="C7" s="815"/>
      <c r="D7" s="164" t="s">
        <v>280</v>
      </c>
      <c r="E7" s="164" t="s">
        <v>278</v>
      </c>
      <c r="F7" s="815"/>
      <c r="G7" s="815"/>
      <c r="H7" s="824"/>
      <c r="I7" s="17"/>
    </row>
    <row r="8" spans="1:9">
      <c r="A8" s="44">
        <v>1</v>
      </c>
      <c r="B8" s="87" t="s">
        <v>124</v>
      </c>
      <c r="C8" s="151">
        <v>370309641</v>
      </c>
      <c r="D8" s="151"/>
      <c r="E8" s="151"/>
      <c r="F8" s="151">
        <v>65427754.55526901</v>
      </c>
      <c r="G8" s="160">
        <v>65427754.55526901</v>
      </c>
      <c r="H8" s="167">
        <f>IFERROR(G8/(C8+E8),0)</f>
        <v>0.17668390803594825</v>
      </c>
    </row>
    <row r="9" spans="1:9" ht="15" customHeight="1">
      <c r="A9" s="44">
        <v>2</v>
      </c>
      <c r="B9" s="87" t="s">
        <v>125</v>
      </c>
      <c r="C9" s="151"/>
      <c r="D9" s="151"/>
      <c r="E9" s="151"/>
      <c r="F9" s="151"/>
      <c r="G9" s="160"/>
      <c r="H9" s="167"/>
    </row>
    <row r="10" spans="1:9">
      <c r="A10" s="44">
        <v>3</v>
      </c>
      <c r="B10" s="87" t="s">
        <v>126</v>
      </c>
      <c r="C10" s="151"/>
      <c r="D10" s="151"/>
      <c r="E10" s="151"/>
      <c r="F10" s="151"/>
      <c r="G10" s="160"/>
      <c r="H10" s="167"/>
    </row>
    <row r="11" spans="1:9">
      <c r="A11" s="44">
        <v>4</v>
      </c>
      <c r="B11" s="87" t="s">
        <v>127</v>
      </c>
      <c r="C11" s="151"/>
      <c r="D11" s="151"/>
      <c r="E11" s="151"/>
      <c r="F11" s="151"/>
      <c r="G11" s="160"/>
      <c r="H11" s="167"/>
    </row>
    <row r="12" spans="1:9">
      <c r="A12" s="44">
        <v>5</v>
      </c>
      <c r="B12" s="87" t="s">
        <v>912</v>
      </c>
      <c r="C12" s="151"/>
      <c r="D12" s="151"/>
      <c r="E12" s="151"/>
      <c r="F12" s="151"/>
      <c r="G12" s="160"/>
      <c r="H12" s="167"/>
    </row>
    <row r="13" spans="1:9">
      <c r="A13" s="44">
        <v>6</v>
      </c>
      <c r="B13" s="87" t="s">
        <v>128</v>
      </c>
      <c r="C13" s="151">
        <v>89245242</v>
      </c>
      <c r="D13" s="151"/>
      <c r="E13" s="151"/>
      <c r="F13" s="151">
        <v>22865180.355388466</v>
      </c>
      <c r="G13" s="160">
        <v>22865180.355388466</v>
      </c>
      <c r="H13" s="167">
        <f t="shared" ref="H13:H21" si="0">IFERROR(G13/(C13+E13),0)</f>
        <v>0.25620615556612492</v>
      </c>
    </row>
    <row r="14" spans="1:9">
      <c r="A14" s="44">
        <v>7</v>
      </c>
      <c r="B14" s="87" t="s">
        <v>72</v>
      </c>
      <c r="C14" s="151">
        <v>81481985.298495144</v>
      </c>
      <c r="D14" s="151">
        <v>19983011</v>
      </c>
      <c r="E14" s="151">
        <v>9991505.5</v>
      </c>
      <c r="F14" s="151">
        <v>91473491</v>
      </c>
      <c r="G14" s="160">
        <v>91473491</v>
      </c>
      <c r="H14" s="167">
        <f t="shared" si="0"/>
        <v>1.000000002202877</v>
      </c>
    </row>
    <row r="15" spans="1:9">
      <c r="A15" s="44">
        <v>8</v>
      </c>
      <c r="B15" s="87" t="s">
        <v>73</v>
      </c>
      <c r="C15" s="151">
        <v>2473405340.9546461</v>
      </c>
      <c r="D15" s="151">
        <v>363523244</v>
      </c>
      <c r="E15" s="151">
        <v>90110430.5</v>
      </c>
      <c r="F15" s="151">
        <f>C15*0.75+E15*0.75</f>
        <v>1922636828.5909846</v>
      </c>
      <c r="G15" s="160">
        <f>F15-'12. CRM'!D14</f>
        <v>1916954127.6679845</v>
      </c>
      <c r="H15" s="167">
        <f t="shared" si="0"/>
        <v>0.74778323933627466</v>
      </c>
    </row>
    <row r="16" spans="1:9">
      <c r="A16" s="44">
        <v>9</v>
      </c>
      <c r="B16" s="87" t="s">
        <v>913</v>
      </c>
      <c r="C16" s="151">
        <v>148142297.72909498</v>
      </c>
      <c r="D16" s="151"/>
      <c r="E16" s="151"/>
      <c r="F16" s="151">
        <v>51849804.205183238</v>
      </c>
      <c r="G16" s="160">
        <v>51849804.205183238</v>
      </c>
      <c r="H16" s="167">
        <f t="shared" si="0"/>
        <v>0.35</v>
      </c>
    </row>
    <row r="17" spans="1:8">
      <c r="A17" s="44">
        <v>10</v>
      </c>
      <c r="B17" s="87" t="s">
        <v>68</v>
      </c>
      <c r="C17" s="151">
        <v>5343260</v>
      </c>
      <c r="D17" s="151"/>
      <c r="E17" s="151"/>
      <c r="F17" s="151">
        <v>5255774.4145766813</v>
      </c>
      <c r="G17" s="160">
        <v>5255774.4145766813</v>
      </c>
      <c r="H17" s="167">
        <f t="shared" si="0"/>
        <v>0.98362692711503485</v>
      </c>
    </row>
    <row r="18" spans="1:8">
      <c r="A18" s="44">
        <v>11</v>
      </c>
      <c r="B18" s="87" t="s">
        <v>69</v>
      </c>
      <c r="C18" s="151"/>
      <c r="D18" s="151"/>
      <c r="E18" s="151"/>
      <c r="F18" s="151"/>
      <c r="G18" s="160"/>
      <c r="H18" s="167"/>
    </row>
    <row r="19" spans="1:8">
      <c r="A19" s="44">
        <v>12</v>
      </c>
      <c r="B19" s="87" t="s">
        <v>70</v>
      </c>
      <c r="C19" s="151"/>
      <c r="D19" s="151"/>
      <c r="E19" s="151"/>
      <c r="F19" s="151"/>
      <c r="G19" s="160"/>
      <c r="H19" s="167"/>
    </row>
    <row r="20" spans="1:8">
      <c r="A20" s="44">
        <v>13</v>
      </c>
      <c r="B20" s="87" t="s">
        <v>71</v>
      </c>
      <c r="C20" s="151"/>
      <c r="D20" s="151"/>
      <c r="E20" s="151"/>
      <c r="F20" s="151"/>
      <c r="G20" s="160"/>
      <c r="H20" s="167"/>
    </row>
    <row r="21" spans="1:8">
      <c r="A21" s="44">
        <v>14</v>
      </c>
      <c r="B21" s="87" t="s">
        <v>144</v>
      </c>
      <c r="C21" s="151">
        <v>223615961</v>
      </c>
      <c r="D21" s="151"/>
      <c r="E21" s="151"/>
      <c r="F21" s="151">
        <v>122013511.69999999</v>
      </c>
      <c r="G21" s="160">
        <v>122013511.69999999</v>
      </c>
      <c r="H21" s="167">
        <f t="shared" si="0"/>
        <v>0.54563865277935142</v>
      </c>
    </row>
    <row r="22" spans="1:8" ht="14.4" thickBot="1">
      <c r="A22" s="81"/>
      <c r="B22" s="86" t="s">
        <v>67</v>
      </c>
      <c r="C22" s="152">
        <f>SUM(C8:C21)</f>
        <v>3391543727.9822364</v>
      </c>
      <c r="D22" s="152">
        <f>SUM(D8:D21)</f>
        <v>383506255</v>
      </c>
      <c r="E22" s="152">
        <f>SUM(E8:E21)</f>
        <v>100101936</v>
      </c>
      <c r="F22" s="152">
        <f>SUM(F8:F21)</f>
        <v>2281522344.8214016</v>
      </c>
      <c r="G22" s="152">
        <f>SUM(G8:G21)</f>
        <v>2275839643.8984013</v>
      </c>
      <c r="H22" s="168">
        <f>G22/(C22+E22)</f>
        <v>0.6517957040643112</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I19" sqref="I19:J20"/>
    </sheetView>
  </sheetViews>
  <sheetFormatPr defaultColWidth="9.21875" defaultRowHeight="13.8"/>
  <cols>
    <col min="1" max="1" width="10.5546875" style="1" bestFit="1" customWidth="1"/>
    <col min="2" max="2" width="104.21875" style="1" customWidth="1"/>
    <col min="3" max="11" width="12.77734375" style="1" customWidth="1"/>
    <col min="12" max="16384" width="9.21875" style="1"/>
  </cols>
  <sheetData>
    <row r="1" spans="1:11">
      <c r="A1" s="1" t="s">
        <v>98</v>
      </c>
      <c r="B1" s="1" t="str">
        <f>Info!C2</f>
        <v>სს "კრედო ბანკი"</v>
      </c>
    </row>
    <row r="2" spans="1:11">
      <c r="A2" s="1" t="s">
        <v>99</v>
      </c>
      <c r="B2" s="282">
        <f>'1. key ratios'!B2</f>
        <v>45838</v>
      </c>
    </row>
    <row r="4" spans="1:11" ht="14.4" thickBot="1">
      <c r="A4" s="1" t="s">
        <v>341</v>
      </c>
      <c r="B4" s="21" t="s">
        <v>340</v>
      </c>
    </row>
    <row r="5" spans="1:11" ht="30" customHeight="1">
      <c r="A5" s="830"/>
      <c r="B5" s="831"/>
      <c r="C5" s="828" t="s">
        <v>373</v>
      </c>
      <c r="D5" s="828"/>
      <c r="E5" s="828"/>
      <c r="F5" s="828" t="s">
        <v>374</v>
      </c>
      <c r="G5" s="828"/>
      <c r="H5" s="828"/>
      <c r="I5" s="828" t="s">
        <v>375</v>
      </c>
      <c r="J5" s="828"/>
      <c r="K5" s="829"/>
    </row>
    <row r="6" spans="1:11">
      <c r="A6" s="192"/>
      <c r="B6" s="193"/>
      <c r="C6" s="194" t="s">
        <v>27</v>
      </c>
      <c r="D6" s="194" t="s">
        <v>80</v>
      </c>
      <c r="E6" s="194" t="s">
        <v>67</v>
      </c>
      <c r="F6" s="194" t="s">
        <v>27</v>
      </c>
      <c r="G6" s="194" t="s">
        <v>80</v>
      </c>
      <c r="H6" s="194" t="s">
        <v>67</v>
      </c>
      <c r="I6" s="194" t="s">
        <v>27</v>
      </c>
      <c r="J6" s="194" t="s">
        <v>80</v>
      </c>
      <c r="K6" s="196" t="s">
        <v>67</v>
      </c>
    </row>
    <row r="7" spans="1:11">
      <c r="A7" s="197" t="s">
        <v>311</v>
      </c>
      <c r="B7" s="191"/>
      <c r="C7" s="191"/>
      <c r="D7" s="191"/>
      <c r="E7" s="191"/>
      <c r="F7" s="191"/>
      <c r="G7" s="191"/>
      <c r="H7" s="191"/>
      <c r="I7" s="191"/>
      <c r="J7" s="191"/>
      <c r="K7" s="198"/>
    </row>
    <row r="8" spans="1:11">
      <c r="A8" s="190">
        <v>1</v>
      </c>
      <c r="B8" s="175" t="s">
        <v>311</v>
      </c>
      <c r="C8" s="173"/>
      <c r="D8" s="173"/>
      <c r="E8" s="173"/>
      <c r="F8" s="699">
        <v>223738963.76230773</v>
      </c>
      <c r="G8" s="699">
        <v>200929725.01956031</v>
      </c>
      <c r="H8" s="702">
        <f>F8+G8</f>
        <v>424668688.78186804</v>
      </c>
      <c r="I8" s="699">
        <v>127829636.54626372</v>
      </c>
      <c r="J8" s="699">
        <v>108738098.26208794</v>
      </c>
      <c r="K8" s="703">
        <f>I8+J8</f>
        <v>236567734.80835167</v>
      </c>
    </row>
    <row r="9" spans="1:11">
      <c r="A9" s="197" t="s">
        <v>312</v>
      </c>
      <c r="B9" s="191"/>
      <c r="C9" s="191"/>
      <c r="D9" s="191"/>
      <c r="E9" s="191"/>
      <c r="F9" s="191"/>
      <c r="G9" s="191"/>
      <c r="H9" s="191"/>
      <c r="I9" s="191"/>
      <c r="J9" s="191"/>
      <c r="K9" s="198"/>
    </row>
    <row r="10" spans="1:11">
      <c r="A10" s="199">
        <v>2</v>
      </c>
      <c r="B10" s="176" t="s">
        <v>313</v>
      </c>
      <c r="C10" s="301">
        <v>455425976.60904455</v>
      </c>
      <c r="D10" s="694">
        <v>393476580.40852135</v>
      </c>
      <c r="E10" s="700">
        <f>C10+D10</f>
        <v>848902557.01756597</v>
      </c>
      <c r="F10" s="694">
        <v>79849257.520689011</v>
      </c>
      <c r="G10" s="694">
        <v>115043775.27900165</v>
      </c>
      <c r="H10" s="702">
        <f t="shared" ref="H10:H16" si="0">F10+G10</f>
        <v>194893032.79969066</v>
      </c>
      <c r="I10" s="694">
        <v>23383925.234339558</v>
      </c>
      <c r="J10" s="694">
        <v>33609464.472727194</v>
      </c>
      <c r="K10" s="703">
        <f t="shared" ref="K10:K16" si="1">I10+J10</f>
        <v>56993389.707066752</v>
      </c>
    </row>
    <row r="11" spans="1:11">
      <c r="A11" s="199">
        <v>3</v>
      </c>
      <c r="B11" s="176" t="s">
        <v>314</v>
      </c>
      <c r="C11" s="301">
        <v>1587653005.2178435</v>
      </c>
      <c r="D11" s="694">
        <v>702333799.32524383</v>
      </c>
      <c r="E11" s="700">
        <f t="shared" ref="E11:E21" si="2">C11+D11</f>
        <v>2289986804.5430875</v>
      </c>
      <c r="F11" s="694">
        <v>82756539.338506043</v>
      </c>
      <c r="G11" s="694">
        <v>19880839.472622357</v>
      </c>
      <c r="H11" s="702">
        <f t="shared" si="0"/>
        <v>102637378.81112841</v>
      </c>
      <c r="I11" s="694">
        <v>76305154.305419788</v>
      </c>
      <c r="J11" s="694">
        <v>19617231.562049448</v>
      </c>
      <c r="K11" s="703">
        <f t="shared" si="1"/>
        <v>95922385.867469236</v>
      </c>
    </row>
    <row r="12" spans="1:11">
      <c r="A12" s="199">
        <v>4</v>
      </c>
      <c r="B12" s="176" t="s">
        <v>315</v>
      </c>
      <c r="C12" s="301">
        <v>52935555.555555552</v>
      </c>
      <c r="D12" s="694">
        <v>0</v>
      </c>
      <c r="E12" s="700">
        <f t="shared" si="2"/>
        <v>52935555.555555552</v>
      </c>
      <c r="F12" s="694"/>
      <c r="G12" s="694"/>
      <c r="H12" s="702">
        <f t="shared" si="0"/>
        <v>0</v>
      </c>
      <c r="I12" s="694"/>
      <c r="J12" s="694"/>
      <c r="K12" s="703">
        <f t="shared" si="1"/>
        <v>0</v>
      </c>
    </row>
    <row r="13" spans="1:11">
      <c r="A13" s="199">
        <v>5</v>
      </c>
      <c r="B13" s="176" t="s">
        <v>316</v>
      </c>
      <c r="C13" s="301">
        <v>352562964.87933338</v>
      </c>
      <c r="D13" s="694">
        <v>37702278.147111133</v>
      </c>
      <c r="E13" s="700">
        <f t="shared" si="2"/>
        <v>390265243.02644449</v>
      </c>
      <c r="F13" s="694">
        <v>56578661.579884633</v>
      </c>
      <c r="G13" s="694">
        <v>5908765.6735593434</v>
      </c>
      <c r="H13" s="702">
        <f t="shared" si="0"/>
        <v>62487427.253443979</v>
      </c>
      <c r="I13" s="694">
        <v>17627853.239686813</v>
      </c>
      <c r="J13" s="694">
        <v>2124148.7049120874</v>
      </c>
      <c r="K13" s="703">
        <f t="shared" si="1"/>
        <v>19752001.944598902</v>
      </c>
    </row>
    <row r="14" spans="1:11">
      <c r="A14" s="199">
        <v>6</v>
      </c>
      <c r="B14" s="176" t="s">
        <v>331</v>
      </c>
      <c r="C14" s="301"/>
      <c r="D14" s="694"/>
      <c r="E14" s="700">
        <f t="shared" si="2"/>
        <v>0</v>
      </c>
      <c r="F14" s="694"/>
      <c r="G14" s="694"/>
      <c r="H14" s="702">
        <f t="shared" si="0"/>
        <v>0</v>
      </c>
      <c r="I14" s="694"/>
      <c r="J14" s="694"/>
      <c r="K14" s="703">
        <f t="shared" si="1"/>
        <v>0</v>
      </c>
    </row>
    <row r="15" spans="1:11">
      <c r="A15" s="199">
        <v>7</v>
      </c>
      <c r="B15" s="176" t="s">
        <v>318</v>
      </c>
      <c r="C15" s="301">
        <v>10057275.383111112</v>
      </c>
      <c r="D15" s="694">
        <v>2417940.5725555555</v>
      </c>
      <c r="E15" s="700">
        <f t="shared" si="2"/>
        <v>12475215.955666667</v>
      </c>
      <c r="F15" s="694">
        <v>10085209.895384615</v>
      </c>
      <c r="G15" s="694">
        <v>2408039.4692307692</v>
      </c>
      <c r="H15" s="702">
        <f t="shared" si="0"/>
        <v>12493249.364615384</v>
      </c>
      <c r="I15" s="694">
        <v>10085209.895384615</v>
      </c>
      <c r="J15" s="694">
        <v>2408039.4692307692</v>
      </c>
      <c r="K15" s="703">
        <f t="shared" si="1"/>
        <v>12493249.364615384</v>
      </c>
    </row>
    <row r="16" spans="1:11">
      <c r="A16" s="199">
        <v>8</v>
      </c>
      <c r="B16" s="177" t="s">
        <v>319</v>
      </c>
      <c r="C16" s="676">
        <f>SUM(C10:C15)</f>
        <v>2458634777.6448879</v>
      </c>
      <c r="D16" s="676">
        <f>SUM(D10:D15)</f>
        <v>1135930598.4534318</v>
      </c>
      <c r="E16" s="700">
        <f t="shared" si="2"/>
        <v>3594565376.09832</v>
      </c>
      <c r="F16" s="700">
        <f>SUM(F10:F15)</f>
        <v>229269668.33446431</v>
      </c>
      <c r="G16" s="700">
        <f>SUM(G10:G15)</f>
        <v>143241419.89441413</v>
      </c>
      <c r="H16" s="702">
        <f t="shared" si="0"/>
        <v>372511088.22887844</v>
      </c>
      <c r="I16" s="700">
        <f>SUM(I10:I15)</f>
        <v>127402142.67483076</v>
      </c>
      <c r="J16" s="700">
        <f>SUM(J10:J15)</f>
        <v>57758884.208919503</v>
      </c>
      <c r="K16" s="703">
        <f t="shared" si="1"/>
        <v>185161026.88375026</v>
      </c>
    </row>
    <row r="17" spans="1:11">
      <c r="A17" s="197" t="s">
        <v>320</v>
      </c>
      <c r="B17" s="191"/>
      <c r="C17" s="696"/>
      <c r="D17" s="696"/>
      <c r="E17" s="696"/>
      <c r="F17" s="696"/>
      <c r="G17" s="696"/>
      <c r="H17" s="696"/>
      <c r="I17" s="696"/>
      <c r="J17" s="696"/>
      <c r="K17" s="697"/>
    </row>
    <row r="18" spans="1:11">
      <c r="A18" s="199">
        <v>9</v>
      </c>
      <c r="B18" s="176" t="s">
        <v>321</v>
      </c>
      <c r="C18" s="301">
        <v>0</v>
      </c>
      <c r="D18" s="694">
        <v>0</v>
      </c>
      <c r="E18" s="694">
        <f t="shared" si="2"/>
        <v>0</v>
      </c>
      <c r="F18" s="694"/>
      <c r="G18" s="694"/>
      <c r="H18" s="694"/>
      <c r="I18" s="694"/>
      <c r="J18" s="694"/>
      <c r="K18" s="695"/>
    </row>
    <row r="19" spans="1:11">
      <c r="A19" s="199">
        <v>10</v>
      </c>
      <c r="B19" s="176" t="s">
        <v>322</v>
      </c>
      <c r="C19" s="301">
        <v>2254386869.9837356</v>
      </c>
      <c r="D19" s="694">
        <v>263616908.13130337</v>
      </c>
      <c r="E19" s="700">
        <f t="shared" si="2"/>
        <v>2518003778.1150389</v>
      </c>
      <c r="F19" s="694">
        <v>49577121.637407146</v>
      </c>
      <c r="G19" s="694">
        <v>1990925.9500507468</v>
      </c>
      <c r="H19" s="702">
        <f t="shared" ref="H19:H21" si="3">F19+G19</f>
        <v>51568047.587457895</v>
      </c>
      <c r="I19" s="694">
        <v>145486448.85345116</v>
      </c>
      <c r="J19" s="694">
        <v>94353348.254446372</v>
      </c>
      <c r="K19" s="703">
        <f t="shared" ref="K19:K21" si="4">I19+J19</f>
        <v>239839797.10789752</v>
      </c>
    </row>
    <row r="20" spans="1:11">
      <c r="A20" s="199">
        <v>11</v>
      </c>
      <c r="B20" s="176" t="s">
        <v>323</v>
      </c>
      <c r="C20" s="301">
        <v>2115418.35</v>
      </c>
      <c r="D20" s="694">
        <v>0</v>
      </c>
      <c r="E20" s="700">
        <f t="shared" si="2"/>
        <v>2115418.35</v>
      </c>
      <c r="F20" s="694">
        <v>905384.67582417582</v>
      </c>
      <c r="G20" s="694">
        <v>0</v>
      </c>
      <c r="H20" s="702">
        <f t="shared" si="3"/>
        <v>905384.67582417582</v>
      </c>
      <c r="I20" s="694">
        <v>905384.67582417582</v>
      </c>
      <c r="J20" s="694">
        <v>0</v>
      </c>
      <c r="K20" s="703">
        <f t="shared" si="4"/>
        <v>905384.67582417582</v>
      </c>
    </row>
    <row r="21" spans="1:11" ht="14.4" thickBot="1">
      <c r="A21" s="120">
        <v>12</v>
      </c>
      <c r="B21" s="200" t="s">
        <v>324</v>
      </c>
      <c r="C21" s="701">
        <f>SUM(C18:C20)</f>
        <v>2256502288.3337355</v>
      </c>
      <c r="D21" s="701">
        <f>SUM(D18:D20)</f>
        <v>263616908.13130337</v>
      </c>
      <c r="E21" s="700">
        <f t="shared" si="2"/>
        <v>2520119196.4650388</v>
      </c>
      <c r="F21" s="698">
        <f>SUM(F18:F20)</f>
        <v>50482506.313231319</v>
      </c>
      <c r="G21" s="698">
        <f>SUM(G18:G20)</f>
        <v>1990925.9500507468</v>
      </c>
      <c r="H21" s="702">
        <f t="shared" si="3"/>
        <v>52473432.263282068</v>
      </c>
      <c r="I21" s="704">
        <f>SUM(I19:I20)</f>
        <v>146391833.52927533</v>
      </c>
      <c r="J21" s="704">
        <f>SUM(J19:J20)</f>
        <v>94353348.254446372</v>
      </c>
      <c r="K21" s="703">
        <f t="shared" si="4"/>
        <v>240745181.78372169</v>
      </c>
    </row>
    <row r="22" spans="1:11" ht="38.25" customHeight="1" thickBot="1">
      <c r="A22" s="188"/>
      <c r="B22" s="189"/>
      <c r="C22" s="189"/>
      <c r="D22" s="189"/>
      <c r="E22" s="189"/>
      <c r="F22" s="827" t="s">
        <v>325</v>
      </c>
      <c r="G22" s="828"/>
      <c r="H22" s="828"/>
      <c r="I22" s="827" t="s">
        <v>326</v>
      </c>
      <c r="J22" s="828"/>
      <c r="K22" s="829"/>
    </row>
    <row r="23" spans="1:11">
      <c r="A23" s="181">
        <v>13</v>
      </c>
      <c r="B23" s="178" t="s">
        <v>311</v>
      </c>
      <c r="C23" s="187"/>
      <c r="D23" s="187"/>
      <c r="E23" s="187"/>
      <c r="F23" s="705">
        <f>F8</f>
        <v>223738963.76230773</v>
      </c>
      <c r="G23" s="705">
        <f>G8</f>
        <v>200929725.01956031</v>
      </c>
      <c r="H23" s="706">
        <f>F23+G23</f>
        <v>424668688.78186804</v>
      </c>
      <c r="I23" s="705">
        <f>I8</f>
        <v>127829636.54626372</v>
      </c>
      <c r="J23" s="705">
        <f>J8</f>
        <v>108738098.26208794</v>
      </c>
      <c r="K23" s="709">
        <f>I23+J23</f>
        <v>236567734.80835167</v>
      </c>
    </row>
    <row r="24" spans="1:11" ht="14.4" thickBot="1">
      <c r="A24" s="182">
        <v>14</v>
      </c>
      <c r="B24" s="179" t="s">
        <v>327</v>
      </c>
      <c r="C24" s="201"/>
      <c r="D24" s="185"/>
      <c r="E24" s="186"/>
      <c r="F24" s="707">
        <f>MAX(F16-F21,F16*0.25)</f>
        <v>178787162.02123299</v>
      </c>
      <c r="G24" s="707">
        <f t="shared" ref="G24:H24" si="5">MAX(G16-G21,G16*0.25)</f>
        <v>141250493.94436339</v>
      </c>
      <c r="H24" s="707">
        <f t="shared" si="5"/>
        <v>320037655.96559638</v>
      </c>
      <c r="I24" s="707">
        <f>MAX(I16-I21,I16*0.25)</f>
        <v>31850535.668707691</v>
      </c>
      <c r="J24" s="707">
        <f t="shared" ref="J24:K24" si="6">MAX(J16-J21,J16*0.25)</f>
        <v>14439721.052229876</v>
      </c>
      <c r="K24" s="710">
        <f t="shared" si="6"/>
        <v>46290256.720937565</v>
      </c>
    </row>
    <row r="25" spans="1:11" ht="14.4" thickBot="1">
      <c r="A25" s="183">
        <v>15</v>
      </c>
      <c r="B25" s="180" t="s">
        <v>328</v>
      </c>
      <c r="C25" s="184"/>
      <c r="D25" s="184"/>
      <c r="E25" s="184"/>
      <c r="F25" s="708">
        <f t="shared" ref="F25:K25" si="7">F23/F24</f>
        <v>1.2514263397488026</v>
      </c>
      <c r="G25" s="708">
        <f t="shared" si="7"/>
        <v>1.4225063531367454</v>
      </c>
      <c r="H25" s="708">
        <f t="shared" si="7"/>
        <v>1.3269335056857163</v>
      </c>
      <c r="I25" s="708">
        <f t="shared" si="7"/>
        <v>4.0134218738384657</v>
      </c>
      <c r="J25" s="708">
        <f t="shared" si="7"/>
        <v>7.5304846865650426</v>
      </c>
      <c r="K25" s="711">
        <f t="shared" si="7"/>
        <v>5.1105297651406119</v>
      </c>
    </row>
    <row r="28" spans="1:11" ht="41.4">
      <c r="B28" s="16" t="s">
        <v>372</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C14" activePane="bottomRight" state="frozen"/>
      <selection pane="topRight" activeCell="B1" sqref="B1"/>
      <selection pane="bottomLeft" activeCell="A5" sqref="A5"/>
      <selection pane="bottomRight" activeCell="M19" sqref="M19:M21"/>
    </sheetView>
  </sheetViews>
  <sheetFormatPr defaultColWidth="9.21875" defaultRowHeight="13.8"/>
  <cols>
    <col min="1" max="1" width="10.5546875" style="30" bestFit="1" customWidth="1"/>
    <col min="2" max="2" width="95" style="30" customWidth="1"/>
    <col min="3" max="9" width="15" style="30" customWidth="1"/>
    <col min="10" max="14" width="18.5546875" style="30" customWidth="1"/>
    <col min="15" max="17" width="18.5546875" style="8" customWidth="1"/>
    <col min="18" max="16384" width="9.21875" style="8"/>
  </cols>
  <sheetData>
    <row r="1" spans="1:17">
      <c r="A1" s="11" t="s">
        <v>98</v>
      </c>
      <c r="B1" s="30">
        <f>[4]Info!C2</f>
        <v>0</v>
      </c>
    </row>
    <row r="2" spans="1:17">
      <c r="A2" s="30" t="s">
        <v>99</v>
      </c>
      <c r="B2" s="282">
        <f>'[4]1. key ratios'!B2</f>
        <v>45747</v>
      </c>
    </row>
    <row r="3" spans="1:17">
      <c r="B3" s="8"/>
      <c r="C3" s="8"/>
      <c r="D3" s="8"/>
      <c r="E3" s="8"/>
      <c r="F3" s="8"/>
      <c r="G3" s="8"/>
      <c r="H3" s="8"/>
      <c r="I3" s="8"/>
      <c r="J3" s="8"/>
      <c r="K3" s="8"/>
      <c r="L3" s="8"/>
      <c r="M3" s="8"/>
      <c r="N3" s="8"/>
    </row>
    <row r="4" spans="1:17" ht="14.4">
      <c r="B4" s="631" t="s">
        <v>980</v>
      </c>
      <c r="C4" s="8"/>
      <c r="D4" s="8"/>
      <c r="E4" s="8"/>
      <c r="F4" s="8"/>
      <c r="G4" s="8"/>
      <c r="H4" s="8"/>
      <c r="I4" s="8"/>
      <c r="J4" s="8"/>
      <c r="K4" s="8"/>
      <c r="L4" s="8"/>
      <c r="M4" s="8"/>
      <c r="N4" s="8"/>
    </row>
    <row r="5" spans="1:17" ht="86.4">
      <c r="B5" s="632" t="s">
        <v>981</v>
      </c>
      <c r="C5" s="633" t="s">
        <v>982</v>
      </c>
      <c r="D5" s="633" t="s">
        <v>983</v>
      </c>
      <c r="E5" s="633" t="s">
        <v>984</v>
      </c>
      <c r="F5" s="633" t="s">
        <v>985</v>
      </c>
      <c r="G5" s="633" t="s">
        <v>986</v>
      </c>
      <c r="H5" s="633" t="s">
        <v>987</v>
      </c>
      <c r="I5" s="634" t="s">
        <v>988</v>
      </c>
      <c r="J5" s="635">
        <v>0.02</v>
      </c>
      <c r="K5" s="635">
        <v>0.2</v>
      </c>
      <c r="L5" s="635">
        <v>0.35</v>
      </c>
      <c r="M5" s="635">
        <v>0.5</v>
      </c>
      <c r="N5" s="635">
        <v>0.75</v>
      </c>
      <c r="O5" s="635">
        <v>1</v>
      </c>
      <c r="P5" s="635">
        <v>1.5</v>
      </c>
      <c r="Q5" s="636" t="s">
        <v>74</v>
      </c>
    </row>
    <row r="6" spans="1:17" ht="14.4">
      <c r="B6" s="637"/>
      <c r="C6" s="603">
        <f>IF(C7&gt;0,C7,IF(C8&gt;0,C8,IF(C9&gt;0,C9)))</f>
        <v>398669150</v>
      </c>
      <c r="D6" s="603">
        <f>IF(D7&gt;0,D7,IF(D8&gt;0,D8,IF(D9&gt;0,D9,0)))</f>
        <v>0</v>
      </c>
      <c r="E6" s="603">
        <f>IF(E7&gt;0,E7,IF(E8&gt;0,E8,IF(E9&gt;0,E9,0)))</f>
        <v>0</v>
      </c>
      <c r="F6" s="603">
        <f t="shared" ref="F6:Q6" si="0">IF(F7&gt;0,F7,IF(F8&gt;0,F8,IF(F9&gt;0,F9)))</f>
        <v>77292.573423302732</v>
      </c>
      <c r="G6" s="603">
        <f t="shared" si="0"/>
        <v>6290854.6538491081</v>
      </c>
      <c r="H6" s="603"/>
      <c r="I6" s="603">
        <f t="shared" si="0"/>
        <v>8915406.1181813739</v>
      </c>
      <c r="J6" s="603">
        <f t="shared" ref="J6:P6" si="1">IF(J7&gt;0,J7,IF(J8&gt;0,J8,IF(J9&gt;0,J9,0)))</f>
        <v>0</v>
      </c>
      <c r="K6" s="603">
        <f t="shared" si="1"/>
        <v>0</v>
      </c>
      <c r="L6" s="603">
        <f t="shared" si="1"/>
        <v>0</v>
      </c>
      <c r="M6" s="603">
        <f t="shared" si="1"/>
        <v>7436004.5496663675</v>
      </c>
      <c r="N6" s="603">
        <f t="shared" si="1"/>
        <v>0</v>
      </c>
      <c r="O6" s="603">
        <f t="shared" si="1"/>
        <v>0</v>
      </c>
      <c r="P6" s="603">
        <f t="shared" si="1"/>
        <v>0</v>
      </c>
      <c r="Q6" s="603">
        <f t="shared" si="0"/>
        <v>3718002.2748331837</v>
      </c>
    </row>
    <row r="7" spans="1:17" ht="14.4">
      <c r="B7" s="638" t="s">
        <v>976</v>
      </c>
      <c r="C7" s="603">
        <f>C11+C15+C19+C23+C27+C31</f>
        <v>398669150</v>
      </c>
      <c r="D7" s="603"/>
      <c r="E7" s="603"/>
      <c r="F7" s="603">
        <f t="shared" ref="F7:G9" si="2">F11+F15+F19+F23+F27+F31</f>
        <v>77292.573423302732</v>
      </c>
      <c r="G7" s="603">
        <f t="shared" si="2"/>
        <v>6290854.6538491081</v>
      </c>
      <c r="H7" s="639">
        <v>1.4</v>
      </c>
      <c r="I7" s="640">
        <f t="shared" ref="I7:I33" si="3">(F7+G7)*H7</f>
        <v>8915406.1181813739</v>
      </c>
      <c r="J7" s="603">
        <f>J11+J15+J19+J23+J27+J31</f>
        <v>0</v>
      </c>
      <c r="K7" s="603">
        <f t="shared" ref="J7:Q9" si="4">K11+K15+K19+K23+K27+K31</f>
        <v>0</v>
      </c>
      <c r="L7" s="603">
        <f t="shared" si="4"/>
        <v>0</v>
      </c>
      <c r="M7" s="603">
        <f t="shared" si="4"/>
        <v>7436004.5496663675</v>
      </c>
      <c r="N7" s="603">
        <f t="shared" si="4"/>
        <v>0</v>
      </c>
      <c r="O7" s="603">
        <f t="shared" si="4"/>
        <v>0</v>
      </c>
      <c r="P7" s="603">
        <f t="shared" si="4"/>
        <v>0</v>
      </c>
      <c r="Q7" s="603">
        <f>Q11+Q15+Q19+Q23+Q27+Q31</f>
        <v>3718002.2748331837</v>
      </c>
    </row>
    <row r="8" spans="1:17" ht="14.4">
      <c r="B8" s="638" t="s">
        <v>977</v>
      </c>
      <c r="C8" s="603">
        <f>C12+C16+C20+C24+C28+C32</f>
        <v>398669150</v>
      </c>
      <c r="D8" s="603"/>
      <c r="E8" s="603"/>
      <c r="F8" s="603">
        <f t="shared" si="2"/>
        <v>77292.573423302732</v>
      </c>
      <c r="G8" s="603">
        <f t="shared" si="2"/>
        <v>15946766</v>
      </c>
      <c r="H8" s="639">
        <v>1.4</v>
      </c>
      <c r="I8" s="640">
        <f t="shared" si="3"/>
        <v>22433682.002792623</v>
      </c>
      <c r="J8" s="603">
        <f t="shared" si="4"/>
        <v>0</v>
      </c>
      <c r="K8" s="603">
        <f t="shared" si="4"/>
        <v>0</v>
      </c>
      <c r="L8" s="603">
        <f t="shared" si="4"/>
        <v>0</v>
      </c>
      <c r="M8" s="603">
        <f t="shared" si="4"/>
        <v>22433682.002792623</v>
      </c>
      <c r="N8" s="603">
        <f t="shared" si="4"/>
        <v>0</v>
      </c>
      <c r="O8" s="603">
        <f t="shared" si="4"/>
        <v>0</v>
      </c>
      <c r="P8" s="603">
        <f t="shared" si="4"/>
        <v>0</v>
      </c>
      <c r="Q8" s="603">
        <f>Q12+Q16+Q20+Q24+Q28+Q32</f>
        <v>11216841.001396311</v>
      </c>
    </row>
    <row r="9" spans="1:17" ht="14.4">
      <c r="B9" s="638" t="s">
        <v>978</v>
      </c>
      <c r="C9" s="603">
        <f>C13+C17+C21+C25+C29+C33</f>
        <v>398669150</v>
      </c>
      <c r="D9" s="603"/>
      <c r="E9" s="603"/>
      <c r="F9" s="603">
        <f t="shared" si="2"/>
        <v>2485908.7576126391</v>
      </c>
      <c r="G9" s="603">
        <f t="shared" si="2"/>
        <v>15946768.835000008</v>
      </c>
      <c r="H9" s="639">
        <v>1.4</v>
      </c>
      <c r="I9" s="640">
        <f t="shared" si="3"/>
        <v>25805748.629657704</v>
      </c>
      <c r="J9" s="603">
        <f t="shared" si="4"/>
        <v>0</v>
      </c>
      <c r="K9" s="603">
        <f t="shared" si="4"/>
        <v>0</v>
      </c>
      <c r="L9" s="603">
        <f t="shared" si="4"/>
        <v>0</v>
      </c>
      <c r="M9" s="603">
        <f t="shared" si="4"/>
        <v>25805744.660657693</v>
      </c>
      <c r="N9" s="603">
        <f t="shared" si="4"/>
        <v>0</v>
      </c>
      <c r="O9" s="603">
        <f t="shared" si="4"/>
        <v>0</v>
      </c>
      <c r="P9" s="603">
        <f t="shared" si="4"/>
        <v>0</v>
      </c>
      <c r="Q9" s="603">
        <f t="shared" si="4"/>
        <v>12902872.330328846</v>
      </c>
    </row>
    <row r="10" spans="1:17" ht="14.4">
      <c r="B10" s="641" t="s">
        <v>989</v>
      </c>
      <c r="C10" s="642"/>
      <c r="D10" s="642"/>
      <c r="E10" s="642"/>
      <c r="F10" s="642"/>
      <c r="G10" s="642"/>
      <c r="H10" s="639">
        <v>1.4</v>
      </c>
      <c r="I10" s="640">
        <f t="shared" si="3"/>
        <v>0</v>
      </c>
      <c r="J10" s="600"/>
      <c r="K10" s="600"/>
      <c r="L10" s="600"/>
      <c r="M10" s="600"/>
      <c r="N10" s="600"/>
      <c r="O10" s="600"/>
      <c r="P10" s="600"/>
      <c r="Q10" s="603">
        <f>SUM(Q11:Q13)</f>
        <v>0</v>
      </c>
    </row>
    <row r="11" spans="1:17" ht="14.4">
      <c r="B11" s="643" t="s">
        <v>976</v>
      </c>
      <c r="C11" s="642"/>
      <c r="D11" s="642"/>
      <c r="E11" s="642"/>
      <c r="F11" s="642"/>
      <c r="G11" s="642"/>
      <c r="H11" s="639">
        <v>1.4</v>
      </c>
      <c r="I11" s="640">
        <f t="shared" si="3"/>
        <v>0</v>
      </c>
      <c r="J11" s="600"/>
      <c r="K11" s="600"/>
      <c r="L11" s="600"/>
      <c r="M11" s="600"/>
      <c r="N11" s="600"/>
      <c r="O11" s="600"/>
      <c r="P11" s="600"/>
      <c r="Q11" s="603">
        <f>SUMPRODUCT($J$5:$P$5,J11:P11)</f>
        <v>0</v>
      </c>
    </row>
    <row r="12" spans="1:17" ht="14.4">
      <c r="B12" s="643" t="s">
        <v>977</v>
      </c>
      <c r="C12" s="642"/>
      <c r="D12" s="642"/>
      <c r="E12" s="642"/>
      <c r="F12" s="642"/>
      <c r="G12" s="642"/>
      <c r="H12" s="639">
        <v>1.4</v>
      </c>
      <c r="I12" s="640">
        <f t="shared" si="3"/>
        <v>0</v>
      </c>
      <c r="J12" s="600"/>
      <c r="K12" s="600"/>
      <c r="L12" s="600"/>
      <c r="M12" s="600"/>
      <c r="N12" s="600"/>
      <c r="O12" s="600"/>
      <c r="P12" s="600"/>
      <c r="Q12" s="603">
        <f t="shared" ref="Q12:Q13" si="5">SUMPRODUCT($J$5:$P$5,J12:P12)</f>
        <v>0</v>
      </c>
    </row>
    <row r="13" spans="1:17" ht="14.4">
      <c r="B13" s="643" t="s">
        <v>978</v>
      </c>
      <c r="C13" s="642"/>
      <c r="D13" s="642"/>
      <c r="E13" s="642"/>
      <c r="F13" s="642"/>
      <c r="G13" s="642"/>
      <c r="H13" s="639">
        <v>1.4</v>
      </c>
      <c r="I13" s="640">
        <f t="shared" si="3"/>
        <v>0</v>
      </c>
      <c r="J13" s="600"/>
      <c r="K13" s="600"/>
      <c r="L13" s="600"/>
      <c r="M13" s="600"/>
      <c r="N13" s="600"/>
      <c r="O13" s="600"/>
      <c r="P13" s="600"/>
      <c r="Q13" s="603">
        <f t="shared" si="5"/>
        <v>0</v>
      </c>
    </row>
    <row r="14" spans="1:17" ht="14.4">
      <c r="B14" s="641" t="s">
        <v>990</v>
      </c>
      <c r="C14" s="642"/>
      <c r="D14" s="642"/>
      <c r="E14" s="642"/>
      <c r="F14" s="642"/>
      <c r="G14" s="642"/>
      <c r="H14" s="639">
        <v>1.4</v>
      </c>
      <c r="I14" s="640">
        <f t="shared" si="3"/>
        <v>0</v>
      </c>
      <c r="J14" s="600"/>
      <c r="K14" s="600"/>
      <c r="L14" s="600"/>
      <c r="M14" s="600"/>
      <c r="N14" s="600"/>
      <c r="O14" s="600"/>
      <c r="P14" s="600"/>
      <c r="Q14" s="603">
        <f>SUM(Q15:Q17)</f>
        <v>0</v>
      </c>
    </row>
    <row r="15" spans="1:17" ht="14.4">
      <c r="B15" s="643" t="s">
        <v>976</v>
      </c>
      <c r="C15" s="642"/>
      <c r="D15" s="642"/>
      <c r="E15" s="642"/>
      <c r="F15" s="642"/>
      <c r="G15" s="642"/>
      <c r="H15" s="639">
        <v>1.4</v>
      </c>
      <c r="I15" s="640">
        <f t="shared" si="3"/>
        <v>0</v>
      </c>
      <c r="J15" s="600"/>
      <c r="K15" s="600"/>
      <c r="L15" s="600"/>
      <c r="M15" s="600"/>
      <c r="N15" s="600"/>
      <c r="O15" s="600"/>
      <c r="P15" s="600"/>
      <c r="Q15" s="603">
        <f>SUMPRODUCT($J$5:$P$5,J15:P15)</f>
        <v>0</v>
      </c>
    </row>
    <row r="16" spans="1:17" ht="14.4">
      <c r="B16" s="643" t="s">
        <v>977</v>
      </c>
      <c r="C16" s="642"/>
      <c r="D16" s="642"/>
      <c r="E16" s="642"/>
      <c r="F16" s="642"/>
      <c r="G16" s="642"/>
      <c r="H16" s="639">
        <v>1.4</v>
      </c>
      <c r="I16" s="640">
        <f t="shared" si="3"/>
        <v>0</v>
      </c>
      <c r="J16" s="600"/>
      <c r="K16" s="600"/>
      <c r="L16" s="600"/>
      <c r="M16" s="600"/>
      <c r="N16" s="600"/>
      <c r="O16" s="600"/>
      <c r="P16" s="600"/>
      <c r="Q16" s="603">
        <f t="shared" ref="Q16:Q17" si="6">SUMPRODUCT($J$5:$P$5,J16:P16)</f>
        <v>0</v>
      </c>
    </row>
    <row r="17" spans="2:17" ht="14.4">
      <c r="B17" s="643" t="s">
        <v>978</v>
      </c>
      <c r="C17" s="642"/>
      <c r="D17" s="642"/>
      <c r="E17" s="642"/>
      <c r="F17" s="642"/>
      <c r="G17" s="642"/>
      <c r="H17" s="639">
        <v>1.4</v>
      </c>
      <c r="I17" s="640">
        <f t="shared" si="3"/>
        <v>0</v>
      </c>
      <c r="J17" s="600"/>
      <c r="K17" s="600"/>
      <c r="L17" s="600"/>
      <c r="M17" s="600"/>
      <c r="N17" s="600"/>
      <c r="O17" s="600"/>
      <c r="P17" s="600"/>
      <c r="Q17" s="603">
        <f t="shared" si="6"/>
        <v>0</v>
      </c>
    </row>
    <row r="18" spans="2:17" ht="14.4">
      <c r="B18" s="641" t="s">
        <v>991</v>
      </c>
      <c r="C18" s="642"/>
      <c r="D18" s="642"/>
      <c r="E18" s="642"/>
      <c r="F18" s="642"/>
      <c r="G18" s="642"/>
      <c r="H18" s="639">
        <v>1.4</v>
      </c>
      <c r="I18" s="640">
        <f t="shared" si="3"/>
        <v>0</v>
      </c>
      <c r="J18" s="600"/>
      <c r="K18" s="600"/>
      <c r="L18" s="600"/>
      <c r="M18" s="600"/>
      <c r="N18" s="600"/>
      <c r="O18" s="600"/>
      <c r="P18" s="600"/>
      <c r="Q18" s="603">
        <f>SUM(Q19:Q21)</f>
        <v>27837715.606558342</v>
      </c>
    </row>
    <row r="19" spans="2:17" ht="14.4">
      <c r="B19" s="643" t="s">
        <v>976</v>
      </c>
      <c r="C19" s="642">
        <v>398669150</v>
      </c>
      <c r="D19" s="642">
        <v>2485908.7576126391</v>
      </c>
      <c r="E19" s="642">
        <v>0</v>
      </c>
      <c r="F19" s="642">
        <v>77292.573423302732</v>
      </c>
      <c r="G19" s="642">
        <v>6290854.6538491081</v>
      </c>
      <c r="H19" s="639">
        <v>1.4</v>
      </c>
      <c r="I19" s="640">
        <f t="shared" si="3"/>
        <v>8915406.1181813739</v>
      </c>
      <c r="J19" s="600"/>
      <c r="K19" s="600"/>
      <c r="L19" s="600"/>
      <c r="M19" s="685">
        <v>7436004.5496663675</v>
      </c>
      <c r="N19" s="685"/>
      <c r="O19" s="685"/>
      <c r="P19" s="600"/>
      <c r="Q19" s="603">
        <f>SUMPRODUCT($J$5:$P$5,J19:P19)</f>
        <v>3718002.2748331837</v>
      </c>
    </row>
    <row r="20" spans="2:17" ht="14.4">
      <c r="B20" s="643" t="s">
        <v>977</v>
      </c>
      <c r="C20" s="642">
        <v>398669150</v>
      </c>
      <c r="D20" s="642">
        <v>2485908.7576126391</v>
      </c>
      <c r="E20" s="642">
        <v>0</v>
      </c>
      <c r="F20" s="642">
        <v>77292.573423302732</v>
      </c>
      <c r="G20" s="642">
        <v>15946766</v>
      </c>
      <c r="H20" s="639">
        <v>1.4</v>
      </c>
      <c r="I20" s="640">
        <f t="shared" si="3"/>
        <v>22433682.002792623</v>
      </c>
      <c r="J20" s="600"/>
      <c r="K20" s="600"/>
      <c r="L20" s="600"/>
      <c r="M20" s="685">
        <v>22433682.002792623</v>
      </c>
      <c r="N20" s="685"/>
      <c r="O20" s="685"/>
      <c r="P20" s="600"/>
      <c r="Q20" s="603">
        <f t="shared" ref="Q20:Q21" si="7">SUMPRODUCT($J$5:$P$5,J20:P20)</f>
        <v>11216841.001396311</v>
      </c>
    </row>
    <row r="21" spans="2:17" ht="14.4">
      <c r="B21" s="643" t="s">
        <v>978</v>
      </c>
      <c r="C21" s="642">
        <v>398669150</v>
      </c>
      <c r="D21" s="642">
        <v>2485908.7576126391</v>
      </c>
      <c r="E21" s="642">
        <v>0</v>
      </c>
      <c r="F21" s="642">
        <v>2485908.7576126391</v>
      </c>
      <c r="G21" s="642">
        <v>15946768.835000008</v>
      </c>
      <c r="H21" s="639">
        <v>1.4</v>
      </c>
      <c r="I21" s="640">
        <f t="shared" si="3"/>
        <v>25805748.629657704</v>
      </c>
      <c r="J21" s="600"/>
      <c r="K21" s="600"/>
      <c r="L21" s="600"/>
      <c r="M21" s="685">
        <v>25805744.660657693</v>
      </c>
      <c r="N21" s="685"/>
      <c r="O21" s="685"/>
      <c r="P21" s="600"/>
      <c r="Q21" s="603">
        <f t="shared" si="7"/>
        <v>12902872.330328846</v>
      </c>
    </row>
    <row r="22" spans="2:17" ht="14.4">
      <c r="B22" s="641" t="s">
        <v>992</v>
      </c>
      <c r="C22" s="642"/>
      <c r="D22" s="642"/>
      <c r="E22" s="642"/>
      <c r="F22" s="642"/>
      <c r="G22" s="642"/>
      <c r="H22" s="639">
        <v>1.4</v>
      </c>
      <c r="I22" s="640">
        <f t="shared" si="3"/>
        <v>0</v>
      </c>
      <c r="J22" s="600"/>
      <c r="K22" s="600"/>
      <c r="L22" s="600"/>
      <c r="M22" s="600"/>
      <c r="N22" s="600"/>
      <c r="O22" s="600"/>
      <c r="P22" s="600"/>
      <c r="Q22" s="603">
        <f>SUM(Q23:Q25)</f>
        <v>0</v>
      </c>
    </row>
    <row r="23" spans="2:17" ht="14.4">
      <c r="B23" s="643" t="s">
        <v>976</v>
      </c>
      <c r="C23" s="642"/>
      <c r="D23" s="642"/>
      <c r="E23" s="642"/>
      <c r="F23" s="642"/>
      <c r="G23" s="642"/>
      <c r="H23" s="639">
        <v>1.4</v>
      </c>
      <c r="I23" s="640">
        <f t="shared" si="3"/>
        <v>0</v>
      </c>
      <c r="J23" s="600"/>
      <c r="K23" s="600"/>
      <c r="L23" s="600"/>
      <c r="M23" s="600"/>
      <c r="N23" s="600"/>
      <c r="O23" s="600"/>
      <c r="P23" s="600"/>
      <c r="Q23" s="603">
        <f>SUMPRODUCT($J$5:$P$5,J23:P23)</f>
        <v>0</v>
      </c>
    </row>
    <row r="24" spans="2:17" ht="14.4">
      <c r="B24" s="643" t="s">
        <v>977</v>
      </c>
      <c r="C24" s="642"/>
      <c r="D24" s="642"/>
      <c r="E24" s="642"/>
      <c r="F24" s="642"/>
      <c r="G24" s="642"/>
      <c r="H24" s="639">
        <v>1.4</v>
      </c>
      <c r="I24" s="640">
        <f t="shared" si="3"/>
        <v>0</v>
      </c>
      <c r="J24" s="600"/>
      <c r="K24" s="600"/>
      <c r="L24" s="600"/>
      <c r="M24" s="600"/>
      <c r="N24" s="600"/>
      <c r="O24" s="600"/>
      <c r="P24" s="600"/>
      <c r="Q24" s="603">
        <f t="shared" ref="Q24:Q25" si="8">SUMPRODUCT($J$5:$P$5,J24:P24)</f>
        <v>0</v>
      </c>
    </row>
    <row r="25" spans="2:17" ht="14.4">
      <c r="B25" s="643" t="s">
        <v>978</v>
      </c>
      <c r="C25" s="642"/>
      <c r="D25" s="642"/>
      <c r="E25" s="642"/>
      <c r="F25" s="642"/>
      <c r="G25" s="642"/>
      <c r="H25" s="639">
        <v>1.4</v>
      </c>
      <c r="I25" s="640">
        <f t="shared" si="3"/>
        <v>0</v>
      </c>
      <c r="J25" s="600"/>
      <c r="K25" s="600"/>
      <c r="L25" s="600"/>
      <c r="M25" s="600"/>
      <c r="N25" s="600"/>
      <c r="O25" s="600"/>
      <c r="P25" s="600"/>
      <c r="Q25" s="603">
        <f t="shared" si="8"/>
        <v>0</v>
      </c>
    </row>
    <row r="26" spans="2:17" ht="14.4">
      <c r="B26" s="641" t="s">
        <v>993</v>
      </c>
      <c r="C26" s="642"/>
      <c r="D26" s="642"/>
      <c r="E26" s="642"/>
      <c r="F26" s="642"/>
      <c r="G26" s="642"/>
      <c r="H26" s="639">
        <v>1.4</v>
      </c>
      <c r="I26" s="640">
        <f t="shared" si="3"/>
        <v>0</v>
      </c>
      <c r="J26" s="600"/>
      <c r="K26" s="600"/>
      <c r="L26" s="600"/>
      <c r="M26" s="600"/>
      <c r="N26" s="600"/>
      <c r="O26" s="600"/>
      <c r="P26" s="600"/>
      <c r="Q26" s="603">
        <f>SUM(Q27:Q29)</f>
        <v>0</v>
      </c>
    </row>
    <row r="27" spans="2:17" ht="14.4">
      <c r="B27" s="643" t="s">
        <v>976</v>
      </c>
      <c r="C27" s="642"/>
      <c r="D27" s="642"/>
      <c r="E27" s="642"/>
      <c r="F27" s="642"/>
      <c r="G27" s="642"/>
      <c r="H27" s="639">
        <v>1.4</v>
      </c>
      <c r="I27" s="640">
        <f t="shared" si="3"/>
        <v>0</v>
      </c>
      <c r="J27" s="600"/>
      <c r="K27" s="600"/>
      <c r="L27" s="600"/>
      <c r="M27" s="600"/>
      <c r="N27" s="600"/>
      <c r="O27" s="600"/>
      <c r="P27" s="600"/>
      <c r="Q27" s="603">
        <f>SUMPRODUCT($J$5:$P$5,J27:P27)</f>
        <v>0</v>
      </c>
    </row>
    <row r="28" spans="2:17" ht="14.4">
      <c r="B28" s="643" t="s">
        <v>977</v>
      </c>
      <c r="C28" s="642"/>
      <c r="D28" s="642"/>
      <c r="E28" s="642"/>
      <c r="F28" s="642"/>
      <c r="G28" s="642"/>
      <c r="H28" s="639">
        <v>1.4</v>
      </c>
      <c r="I28" s="640">
        <f t="shared" si="3"/>
        <v>0</v>
      </c>
      <c r="J28" s="600"/>
      <c r="K28" s="600"/>
      <c r="L28" s="600"/>
      <c r="M28" s="600"/>
      <c r="N28" s="600"/>
      <c r="O28" s="600"/>
      <c r="P28" s="600"/>
      <c r="Q28" s="603">
        <f t="shared" ref="Q28:Q29" si="9">SUMPRODUCT($J$5:$P$5,J28:P28)</f>
        <v>0</v>
      </c>
    </row>
    <row r="29" spans="2:17" ht="14.4">
      <c r="B29" s="643" t="s">
        <v>978</v>
      </c>
      <c r="C29" s="642"/>
      <c r="D29" s="642"/>
      <c r="E29" s="642"/>
      <c r="F29" s="642"/>
      <c r="G29" s="642"/>
      <c r="H29" s="639">
        <v>1.4</v>
      </c>
      <c r="I29" s="640">
        <f t="shared" si="3"/>
        <v>0</v>
      </c>
      <c r="J29" s="600"/>
      <c r="K29" s="600"/>
      <c r="L29" s="600"/>
      <c r="M29" s="600"/>
      <c r="N29" s="600"/>
      <c r="O29" s="600"/>
      <c r="P29" s="600"/>
      <c r="Q29" s="603">
        <f t="shared" si="9"/>
        <v>0</v>
      </c>
    </row>
    <row r="30" spans="2:17" ht="14.4">
      <c r="B30" s="644" t="s">
        <v>994</v>
      </c>
      <c r="C30" s="642"/>
      <c r="D30" s="642"/>
      <c r="E30" s="642"/>
      <c r="F30" s="642"/>
      <c r="G30" s="642"/>
      <c r="H30" s="639">
        <v>1.4</v>
      </c>
      <c r="I30" s="640">
        <f t="shared" si="3"/>
        <v>0</v>
      </c>
      <c r="J30" s="600"/>
      <c r="K30" s="600"/>
      <c r="L30" s="600"/>
      <c r="M30" s="600"/>
      <c r="N30" s="600"/>
      <c r="O30" s="600"/>
      <c r="P30" s="600"/>
      <c r="Q30" s="603">
        <f>SUM(Q31:Q33)</f>
        <v>0</v>
      </c>
    </row>
    <row r="31" spans="2:17" ht="14.4">
      <c r="B31" s="643" t="s">
        <v>976</v>
      </c>
      <c r="C31" s="642"/>
      <c r="D31" s="642"/>
      <c r="E31" s="642"/>
      <c r="F31" s="642"/>
      <c r="G31" s="642"/>
      <c r="H31" s="639">
        <v>1.4</v>
      </c>
      <c r="I31" s="640">
        <f t="shared" si="3"/>
        <v>0</v>
      </c>
      <c r="J31" s="600"/>
      <c r="K31" s="600"/>
      <c r="L31" s="600"/>
      <c r="M31" s="600"/>
      <c r="N31" s="600"/>
      <c r="O31" s="600"/>
      <c r="P31" s="600"/>
      <c r="Q31" s="603">
        <f>SUMPRODUCT($J$5:$P$5,J31:P31)</f>
        <v>0</v>
      </c>
    </row>
    <row r="32" spans="2:17" ht="14.4">
      <c r="B32" s="643" t="s">
        <v>977</v>
      </c>
      <c r="C32" s="642"/>
      <c r="D32" s="642"/>
      <c r="E32" s="642"/>
      <c r="F32" s="642"/>
      <c r="G32" s="642"/>
      <c r="H32" s="639">
        <v>1.4</v>
      </c>
      <c r="I32" s="640">
        <f t="shared" si="3"/>
        <v>0</v>
      </c>
      <c r="J32" s="600"/>
      <c r="K32" s="600"/>
      <c r="L32" s="600"/>
      <c r="M32" s="600"/>
      <c r="N32" s="600"/>
      <c r="O32" s="600"/>
      <c r="P32" s="600"/>
      <c r="Q32" s="603">
        <f t="shared" ref="Q32:Q33" si="10">SUMPRODUCT($J$5:$P$5,J32:P32)</f>
        <v>0</v>
      </c>
    </row>
    <row r="33" spans="2:17" ht="14.4">
      <c r="B33" s="643" t="s">
        <v>978</v>
      </c>
      <c r="C33" s="642"/>
      <c r="D33" s="642"/>
      <c r="E33" s="642"/>
      <c r="F33" s="642"/>
      <c r="G33" s="642"/>
      <c r="H33" s="639">
        <v>1.4</v>
      </c>
      <c r="I33" s="640">
        <f t="shared" si="3"/>
        <v>0</v>
      </c>
      <c r="J33" s="600"/>
      <c r="K33" s="600"/>
      <c r="L33" s="600"/>
      <c r="M33" s="600"/>
      <c r="N33" s="600"/>
      <c r="O33" s="600"/>
      <c r="P33" s="600"/>
      <c r="Q33" s="603">
        <f t="shared" si="10"/>
        <v>0</v>
      </c>
    </row>
    <row r="34" spans="2:17" ht="14.4">
      <c r="B34" s="645" t="s">
        <v>67</v>
      </c>
      <c r="C34" s="646">
        <f>C6</f>
        <v>398669150</v>
      </c>
      <c r="D34" s="646">
        <f t="shared" ref="D34:G34" si="11">D6</f>
        <v>0</v>
      </c>
      <c r="E34" s="646">
        <f t="shared" si="11"/>
        <v>0</v>
      </c>
      <c r="F34" s="646">
        <f t="shared" si="11"/>
        <v>77292.573423302732</v>
      </c>
      <c r="G34" s="646">
        <f t="shared" si="11"/>
        <v>6290854.6538491081</v>
      </c>
      <c r="H34" s="639">
        <v>1.4</v>
      </c>
      <c r="I34" s="640">
        <f>(F34+G34)*H34</f>
        <v>8915406.1181813739</v>
      </c>
      <c r="J34" s="646">
        <f t="shared" ref="J34:Q34" si="12">J6</f>
        <v>0</v>
      </c>
      <c r="K34" s="646">
        <f t="shared" si="12"/>
        <v>0</v>
      </c>
      <c r="L34" s="646">
        <f t="shared" si="12"/>
        <v>0</v>
      </c>
      <c r="M34" s="646">
        <f t="shared" si="12"/>
        <v>7436004.5496663675</v>
      </c>
      <c r="N34" s="646">
        <f t="shared" si="12"/>
        <v>0</v>
      </c>
      <c r="O34" s="646">
        <f t="shared" si="12"/>
        <v>0</v>
      </c>
      <c r="P34" s="646">
        <f t="shared" si="12"/>
        <v>0</v>
      </c>
      <c r="Q34" s="646">
        <f t="shared" si="12"/>
        <v>3718002.2748331837</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I53"/>
  <sheetViews>
    <sheetView zoomScale="80" zoomScaleNormal="80" workbookViewId="0">
      <pane xSplit="1" ySplit="5" topLeftCell="B31" activePane="bottomRight" state="frozen"/>
      <selection pane="topRight" activeCell="B1" sqref="B1"/>
      <selection pane="bottomLeft" activeCell="A6" sqref="A6"/>
      <selection pane="bottomRight" activeCell="C50" sqref="C50"/>
    </sheetView>
  </sheetViews>
  <sheetFormatPr defaultRowHeight="14.4"/>
  <cols>
    <col min="1" max="1" width="9.5546875" style="13" bestFit="1" customWidth="1"/>
    <col min="2" max="2" width="88.33203125" style="11" customWidth="1"/>
    <col min="3" max="3" width="12.77734375" style="11" customWidth="1"/>
    <col min="4" max="7" width="12.77734375" style="1" customWidth="1"/>
    <col min="8" max="8" width="6.77734375" customWidth="1"/>
    <col min="9" max="9" width="12.6640625" customWidth="1"/>
  </cols>
  <sheetData>
    <row r="1" spans="1:9">
      <c r="A1" s="12" t="s">
        <v>98</v>
      </c>
      <c r="B1" s="247" t="str">
        <f>Info!C2</f>
        <v>სს "კრედო ბანკი"</v>
      </c>
    </row>
    <row r="2" spans="1:9">
      <c r="A2" s="12" t="s">
        <v>99</v>
      </c>
      <c r="B2" s="282">
        <v>45838</v>
      </c>
    </row>
    <row r="3" spans="1:9" ht="15" thickBot="1">
      <c r="A3" s="12"/>
    </row>
    <row r="4" spans="1:9" ht="15" customHeight="1" thickBot="1">
      <c r="A4" s="31" t="s">
        <v>242</v>
      </c>
      <c r="B4" s="113" t="s">
        <v>129</v>
      </c>
      <c r="C4" s="114"/>
      <c r="D4" s="773" t="s">
        <v>904</v>
      </c>
      <c r="E4" s="774"/>
      <c r="F4" s="774"/>
      <c r="G4" s="775"/>
    </row>
    <row r="5" spans="1:9">
      <c r="A5" s="171" t="s">
        <v>26</v>
      </c>
      <c r="B5" s="172"/>
      <c r="C5" s="266" t="str">
        <f>INT((MONTH($B$2))/3)&amp;"Q"&amp;"-"&amp;YEAR($B$2)</f>
        <v>2Q-2025</v>
      </c>
      <c r="D5" s="266" t="str">
        <f>IF(INT(MONTH($B$2))=3, "4"&amp;"Q"&amp;"-"&amp;YEAR($B$2)-1, IF(INT(MONTH($B$2))=6, "1"&amp;"Q"&amp;"-"&amp;YEAR($B$2), IF(INT(MONTH($B$2))=9, "2"&amp;"Q"&amp;"-"&amp;YEAR($B$2),IF(INT(MONTH($B$2))=12, "3"&amp;"Q"&amp;"-"&amp;YEAR($B$2), 0))))</f>
        <v>1Q-2025</v>
      </c>
      <c r="E5" s="266" t="str">
        <f>IF(INT(MONTH($B$2))=3, "3"&amp;"Q"&amp;"-"&amp;YEAR($B$2)-1, IF(INT(MONTH($B$2))=6, "4"&amp;"Q"&amp;"-"&amp;YEAR($B$2)-1, IF(INT(MONTH($B$2))=9, "1"&amp;"Q"&amp;"-"&amp;YEAR($B$2),IF(INT(MONTH($B$2))=12, "2"&amp;"Q"&amp;"-"&amp;YEAR($B$2), 0))))</f>
        <v>4Q-2024</v>
      </c>
      <c r="F5" s="266" t="str">
        <f>IF(INT(MONTH($B$2))=3, "2"&amp;"Q"&amp;"-"&amp;YEAR($B$2)-1, IF(INT(MONTH($B$2))=6, "3"&amp;"Q"&amp;"-"&amp;YEAR($B$2)-1, IF(INT(MONTH($B$2))=9, "4"&amp;"Q"&amp;"-"&amp;YEAR($B$2)-1,IF(INT(MONTH($B$2))=12, "1"&amp;"Q"&amp;"-"&amp;YEAR($B$2), 0))))</f>
        <v>3Q-2024</v>
      </c>
      <c r="G5" s="267" t="str">
        <f>IF(INT(MONTH($B$2))=3, "1"&amp;"Q"&amp;"-"&amp;YEAR($B$2)-1, IF(INT(MONTH($B$2))=6, "2"&amp;"Q"&amp;"-"&amp;YEAR($B$2)-1, IF(INT(MONTH($B$2))=9, "3"&amp;"Q"&amp;"-"&amp;YEAR($B$2)-1,IF(INT(MONTH($B$2))=12, "4"&amp;"Q"&amp;"-"&amp;YEAR($B$2)-1, 0))))</f>
        <v>2Q-2024</v>
      </c>
    </row>
    <row r="6" spans="1:9">
      <c r="A6" s="268"/>
      <c r="B6" s="269" t="s">
        <v>96</v>
      </c>
      <c r="C6" s="173"/>
      <c r="D6" s="173"/>
      <c r="E6" s="173"/>
      <c r="F6" s="173"/>
      <c r="G6" s="174"/>
    </row>
    <row r="7" spans="1:9">
      <c r="A7" s="268"/>
      <c r="B7" s="270" t="s">
        <v>100</v>
      </c>
      <c r="C7" s="173"/>
      <c r="D7" s="173"/>
      <c r="E7" s="173"/>
      <c r="F7" s="173"/>
      <c r="G7" s="174"/>
    </row>
    <row r="8" spans="1:9">
      <c r="A8" s="251">
        <v>1</v>
      </c>
      <c r="B8" s="252" t="s">
        <v>23</v>
      </c>
      <c r="C8" s="271">
        <v>387976547.78696764</v>
      </c>
      <c r="D8" s="272">
        <v>367975692.77275252</v>
      </c>
      <c r="E8" s="272">
        <v>347648418</v>
      </c>
      <c r="F8" s="272">
        <v>327467119.3300088</v>
      </c>
      <c r="G8" s="273">
        <v>307510915.44</v>
      </c>
    </row>
    <row r="9" spans="1:9">
      <c r="A9" s="251">
        <v>2</v>
      </c>
      <c r="B9" s="252" t="s">
        <v>76</v>
      </c>
      <c r="C9" s="271">
        <v>401594547.78696764</v>
      </c>
      <c r="D9" s="272">
        <v>367975692.77275252</v>
      </c>
      <c r="E9" s="272">
        <v>347648418</v>
      </c>
      <c r="F9" s="272">
        <v>327467119.3300088</v>
      </c>
      <c r="G9" s="273">
        <v>307510915.44</v>
      </c>
    </row>
    <row r="10" spans="1:9">
      <c r="A10" s="251">
        <v>3</v>
      </c>
      <c r="B10" s="252" t="s">
        <v>75</v>
      </c>
      <c r="C10" s="271">
        <v>497794876.50696766</v>
      </c>
      <c r="D10" s="272">
        <v>466776392.41275251</v>
      </c>
      <c r="E10" s="272">
        <v>448625692.60000002</v>
      </c>
      <c r="F10" s="272">
        <v>406952529.3300088</v>
      </c>
      <c r="G10" s="273">
        <v>392259543.44</v>
      </c>
    </row>
    <row r="11" spans="1:9">
      <c r="A11" s="251">
        <v>4</v>
      </c>
      <c r="B11" s="252" t="s">
        <v>415</v>
      </c>
      <c r="C11" s="271">
        <v>327030586.23934674</v>
      </c>
      <c r="D11" s="272">
        <v>295817238.88254887</v>
      </c>
      <c r="E11" s="272">
        <v>280283119.22571325</v>
      </c>
      <c r="F11" s="272">
        <v>257793553.80787081</v>
      </c>
      <c r="G11" s="273">
        <v>249673088.00032899</v>
      </c>
      <c r="I11" s="662"/>
    </row>
    <row r="12" spans="1:9">
      <c r="A12" s="251">
        <v>5</v>
      </c>
      <c r="B12" s="252" t="s">
        <v>416</v>
      </c>
      <c r="C12" s="271">
        <v>386528799.39315224</v>
      </c>
      <c r="D12" s="272">
        <v>352656781.29268879</v>
      </c>
      <c r="E12" s="272">
        <v>335073041.80542183</v>
      </c>
      <c r="F12" s="272">
        <v>308211457.7999177</v>
      </c>
      <c r="G12" s="273">
        <v>298383605.45777577</v>
      </c>
      <c r="I12" s="662"/>
    </row>
    <row r="13" spans="1:9">
      <c r="A13" s="251">
        <v>6</v>
      </c>
      <c r="B13" s="252" t="s">
        <v>417</v>
      </c>
      <c r="C13" s="271">
        <v>465563738.1031093</v>
      </c>
      <c r="D13" s="272">
        <v>428160611.94416159</v>
      </c>
      <c r="E13" s="272">
        <v>407853681.9389714</v>
      </c>
      <c r="F13" s="272">
        <v>375184363.84519249</v>
      </c>
      <c r="G13" s="273">
        <v>363088883.30139267</v>
      </c>
      <c r="I13" s="662"/>
    </row>
    <row r="14" spans="1:9">
      <c r="A14" s="268"/>
      <c r="B14" s="269" t="s">
        <v>419</v>
      </c>
      <c r="C14" s="173"/>
      <c r="D14" s="173"/>
      <c r="E14" s="173"/>
      <c r="F14" s="173"/>
      <c r="G14" s="174"/>
    </row>
    <row r="15" spans="1:9" ht="22.05" customHeight="1">
      <c r="A15" s="251">
        <v>7</v>
      </c>
      <c r="B15" s="252" t="s">
        <v>418</v>
      </c>
      <c r="C15" s="274">
        <v>2841701328.8094139</v>
      </c>
      <c r="D15" s="272">
        <v>2716844425.002924</v>
      </c>
      <c r="E15" s="272">
        <v>2616819609.5615358</v>
      </c>
      <c r="F15" s="272">
        <v>2407523011.0630631</v>
      </c>
      <c r="G15" s="273">
        <v>2327468517.7289338</v>
      </c>
    </row>
    <row r="16" spans="1:9">
      <c r="A16" s="268"/>
      <c r="B16" s="269" t="s">
        <v>422</v>
      </c>
      <c r="C16" s="173"/>
      <c r="D16" s="173"/>
      <c r="E16" s="173"/>
      <c r="F16" s="173"/>
      <c r="G16" s="174"/>
    </row>
    <row r="17" spans="1:7">
      <c r="A17" s="251"/>
      <c r="B17" s="270" t="s">
        <v>967</v>
      </c>
      <c r="C17" s="173"/>
      <c r="D17" s="173"/>
      <c r="E17" s="173"/>
      <c r="F17" s="173"/>
      <c r="G17" s="174"/>
    </row>
    <row r="18" spans="1:7">
      <c r="A18" s="251">
        <v>8</v>
      </c>
      <c r="B18" s="252" t="s">
        <v>413</v>
      </c>
      <c r="C18" s="283">
        <v>0.13652967110006525</v>
      </c>
      <c r="D18" s="284">
        <v>0.13544231292241052</v>
      </c>
      <c r="E18" s="284">
        <v>0.13285150291970282</v>
      </c>
      <c r="F18" s="284">
        <v>0.13601827177713682</v>
      </c>
      <c r="G18" s="285">
        <v>0.13212248118400283</v>
      </c>
    </row>
    <row r="19" spans="1:7" ht="15" customHeight="1">
      <c r="A19" s="251">
        <v>9</v>
      </c>
      <c r="B19" s="252" t="s">
        <v>412</v>
      </c>
      <c r="C19" s="283">
        <v>0.14132187071018595</v>
      </c>
      <c r="D19" s="284">
        <v>0.13544231292241052</v>
      </c>
      <c r="E19" s="284">
        <v>0.13285150291970282</v>
      </c>
      <c r="F19" s="284">
        <v>0.13601827177713682</v>
      </c>
      <c r="G19" s="285">
        <v>0.13212248118400283</v>
      </c>
    </row>
    <row r="20" spans="1:7">
      <c r="A20" s="251">
        <v>10</v>
      </c>
      <c r="B20" s="252" t="s">
        <v>414</v>
      </c>
      <c r="C20" s="283">
        <v>0.17517494588902788</v>
      </c>
      <c r="D20" s="284">
        <v>0.17180828910078286</v>
      </c>
      <c r="E20" s="284">
        <v>0.17143928873078493</v>
      </c>
      <c r="F20" s="284">
        <v>0.16903370282809912</v>
      </c>
      <c r="G20" s="285">
        <v>0.16853484395258492</v>
      </c>
    </row>
    <row r="21" spans="1:7">
      <c r="A21" s="251">
        <v>11</v>
      </c>
      <c r="B21" s="252" t="s">
        <v>415</v>
      </c>
      <c r="C21" s="283">
        <v>0.11508267351106971</v>
      </c>
      <c r="D21" s="284">
        <v>0.10888265672180043</v>
      </c>
      <c r="E21" s="284">
        <v>0.10710830745364849</v>
      </c>
      <c r="F21" s="284">
        <v>0.10707833426444298</v>
      </c>
      <c r="G21" s="285">
        <v>0.1072723802769953</v>
      </c>
    </row>
    <row r="22" spans="1:7">
      <c r="A22" s="251">
        <v>12</v>
      </c>
      <c r="B22" s="252" t="s">
        <v>416</v>
      </c>
      <c r="C22" s="283">
        <v>0.13602020573889656</v>
      </c>
      <c r="D22" s="284">
        <v>0.12980381874685976</v>
      </c>
      <c r="E22" s="284">
        <v>0.12804590758183576</v>
      </c>
      <c r="F22" s="284">
        <v>0.12802015029059749</v>
      </c>
      <c r="G22" s="285">
        <v>0.1282009200488812</v>
      </c>
    </row>
    <row r="23" spans="1:7">
      <c r="A23" s="251">
        <v>13</v>
      </c>
      <c r="B23" s="252" t="s">
        <v>417</v>
      </c>
      <c r="C23" s="283">
        <v>0.16383274814393189</v>
      </c>
      <c r="D23" s="284">
        <v>0.15759482141141154</v>
      </c>
      <c r="E23" s="284">
        <v>0.15585853932945057</v>
      </c>
      <c r="F23" s="284">
        <v>0.15583832927237976</v>
      </c>
      <c r="G23" s="285">
        <v>0.15600163027504688</v>
      </c>
    </row>
    <row r="24" spans="1:7">
      <c r="A24" s="268"/>
      <c r="B24" s="269" t="s">
        <v>952</v>
      </c>
      <c r="C24" s="173"/>
      <c r="D24" s="173"/>
      <c r="E24" s="173"/>
      <c r="F24" s="173"/>
      <c r="G24" s="174"/>
    </row>
    <row r="25" spans="1:7" ht="27.6">
      <c r="A25" s="251">
        <v>14</v>
      </c>
      <c r="B25" s="252" t="s">
        <v>953</v>
      </c>
      <c r="C25" s="647"/>
      <c r="D25" s="648"/>
      <c r="E25" s="648"/>
      <c r="F25" s="648"/>
      <c r="G25" s="649"/>
    </row>
    <row r="26" spans="1:7">
      <c r="A26" s="268"/>
      <c r="B26" s="269" t="s">
        <v>7</v>
      </c>
      <c r="C26" s="173"/>
      <c r="D26" s="173"/>
      <c r="E26" s="173"/>
      <c r="F26" s="173"/>
      <c r="G26" s="174"/>
    </row>
    <row r="27" spans="1:7" ht="15" customHeight="1">
      <c r="A27" s="275">
        <v>15</v>
      </c>
      <c r="B27" s="276" t="s">
        <v>8</v>
      </c>
      <c r="C27" s="652">
        <v>0.19332707095256682</v>
      </c>
      <c r="D27" s="650">
        <v>0.19528817622938224</v>
      </c>
      <c r="E27" s="650">
        <v>0.19204370446303029</v>
      </c>
      <c r="F27" s="650">
        <v>0.1930329747180978</v>
      </c>
      <c r="G27" s="651">
        <v>0.19253379781443603</v>
      </c>
    </row>
    <row r="28" spans="1:7">
      <c r="A28" s="275">
        <v>16</v>
      </c>
      <c r="B28" s="276" t="s">
        <v>9</v>
      </c>
      <c r="C28" s="652">
        <v>7.7003161677604293E-2</v>
      </c>
      <c r="D28" s="650">
        <v>7.6818069452227314E-2</v>
      </c>
      <c r="E28" s="650">
        <v>8.0465659644047338E-2</v>
      </c>
      <c r="F28" s="650">
        <v>8.1333762250953345E-2</v>
      </c>
      <c r="G28" s="651">
        <v>8.1955343895458471E-2</v>
      </c>
    </row>
    <row r="29" spans="1:7">
      <c r="A29" s="275">
        <v>17</v>
      </c>
      <c r="B29" s="276" t="s">
        <v>10</v>
      </c>
      <c r="C29" s="652">
        <v>6.6764903738628034E-2</v>
      </c>
      <c r="D29" s="650">
        <v>6.8826707639056003E-2</v>
      </c>
      <c r="E29" s="650">
        <v>5.8738835083216256E-2</v>
      </c>
      <c r="F29" s="650">
        <v>5.9449636198153785E-2</v>
      </c>
      <c r="G29" s="651">
        <v>5.6337157255993871E-2</v>
      </c>
    </row>
    <row r="30" spans="1:7">
      <c r="A30" s="275">
        <v>18</v>
      </c>
      <c r="B30" s="276" t="s">
        <v>130</v>
      </c>
      <c r="C30" s="652">
        <v>0.11632390927496254</v>
      </c>
      <c r="D30" s="650">
        <v>0.11847010677715493</v>
      </c>
      <c r="E30" s="650">
        <v>0.11157804481898295</v>
      </c>
      <c r="F30" s="650">
        <v>0.11169921246714447</v>
      </c>
      <c r="G30" s="651">
        <v>0.11057845391897754</v>
      </c>
    </row>
    <row r="31" spans="1:7">
      <c r="A31" s="275">
        <v>19</v>
      </c>
      <c r="B31" s="276" t="s">
        <v>11</v>
      </c>
      <c r="C31" s="652">
        <v>2.5639697424846935E-2</v>
      </c>
      <c r="D31" s="650">
        <v>2.8360921108693708E-2</v>
      </c>
      <c r="E31" s="650">
        <v>2.5309343339078742E-2</v>
      </c>
      <c r="F31" s="650">
        <v>2.3250235336591665E-2</v>
      </c>
      <c r="G31" s="651">
        <v>1.8909144248147748E-2</v>
      </c>
    </row>
    <row r="32" spans="1:7">
      <c r="A32" s="275">
        <v>20</v>
      </c>
      <c r="B32" s="276" t="s">
        <v>12</v>
      </c>
      <c r="C32" s="652">
        <v>0.20571416277916466</v>
      </c>
      <c r="D32" s="650">
        <v>0.22641363004890966</v>
      </c>
      <c r="E32" s="650">
        <v>0.20421646619790493</v>
      </c>
      <c r="F32" s="650">
        <v>0.18762054875400358</v>
      </c>
      <c r="G32" s="651">
        <v>0.15192912114358181</v>
      </c>
    </row>
    <row r="33" spans="1:7">
      <c r="A33" s="268"/>
      <c r="B33" s="269" t="s">
        <v>13</v>
      </c>
      <c r="C33" s="173"/>
      <c r="D33" s="173"/>
      <c r="E33" s="173"/>
      <c r="F33" s="173"/>
      <c r="G33" s="174"/>
    </row>
    <row r="34" spans="1:7">
      <c r="A34" s="275">
        <v>21</v>
      </c>
      <c r="B34" s="276" t="s">
        <v>14</v>
      </c>
      <c r="C34" s="652">
        <v>9.6304963828985814E-3</v>
      </c>
      <c r="D34" s="650">
        <v>7.608974533531084E-3</v>
      </c>
      <c r="E34" s="650">
        <v>8.0393354016192221E-3</v>
      </c>
      <c r="F34" s="650">
        <v>1.0061993743043906E-2</v>
      </c>
      <c r="G34" s="651">
        <v>8.7586572703909852E-3</v>
      </c>
    </row>
    <row r="35" spans="1:7" ht="15" customHeight="1">
      <c r="A35" s="275">
        <v>22</v>
      </c>
      <c r="B35" s="276" t="s">
        <v>917</v>
      </c>
      <c r="C35" s="652">
        <v>2.4218495933569111E-2</v>
      </c>
      <c r="D35" s="650">
        <v>2.2351396139721494E-2</v>
      </c>
      <c r="E35" s="650">
        <v>2.0721242376222759E-2</v>
      </c>
      <c r="F35" s="650">
        <v>2.135132794413996E-2</v>
      </c>
      <c r="G35" s="651">
        <v>2.1871875651814743E-2</v>
      </c>
    </row>
    <row r="36" spans="1:7">
      <c r="A36" s="275">
        <v>23</v>
      </c>
      <c r="B36" s="276" t="s">
        <v>15</v>
      </c>
      <c r="C36" s="652">
        <v>0.10202260530010368</v>
      </c>
      <c r="D36" s="650">
        <v>0.10079318721264928</v>
      </c>
      <c r="E36" s="650">
        <v>0.1037553386179081</v>
      </c>
      <c r="F36" s="650">
        <v>0.10225438376050315</v>
      </c>
      <c r="G36" s="651">
        <v>0.10276321098714909</v>
      </c>
    </row>
    <row r="37" spans="1:7" ht="15" customHeight="1">
      <c r="A37" s="275">
        <v>24</v>
      </c>
      <c r="B37" s="276" t="s">
        <v>16</v>
      </c>
      <c r="C37" s="652">
        <v>0.1421135265673365</v>
      </c>
      <c r="D37" s="650">
        <v>0.13854944490065235</v>
      </c>
      <c r="E37" s="650">
        <v>0.14983819609067697</v>
      </c>
      <c r="F37" s="650">
        <v>0.13439938473821492</v>
      </c>
      <c r="G37" s="651">
        <v>0.14991316449708772</v>
      </c>
    </row>
    <row r="38" spans="1:7">
      <c r="A38" s="275">
        <v>25</v>
      </c>
      <c r="B38" s="276" t="s">
        <v>17</v>
      </c>
      <c r="C38" s="652">
        <v>9.1649319680043195E-2</v>
      </c>
      <c r="D38" s="650">
        <v>3.5511579153565176E-2</v>
      </c>
      <c r="E38" s="650">
        <v>0.25552711778765769</v>
      </c>
      <c r="F38" s="650">
        <v>0.17226876043682338</v>
      </c>
      <c r="G38" s="651">
        <v>0.10679062780268311</v>
      </c>
    </row>
    <row r="39" spans="1:7" ht="15" customHeight="1">
      <c r="A39" s="268"/>
      <c r="B39" s="269" t="s">
        <v>18</v>
      </c>
      <c r="C39" s="173"/>
      <c r="D39" s="173"/>
      <c r="E39" s="173"/>
      <c r="F39" s="173"/>
      <c r="G39" s="174"/>
    </row>
    <row r="40" spans="1:7" ht="15" customHeight="1">
      <c r="A40" s="275">
        <v>26</v>
      </c>
      <c r="B40" s="276" t="s">
        <v>19</v>
      </c>
      <c r="C40" s="652">
        <v>0.12607274742867008</v>
      </c>
      <c r="D40" s="652">
        <v>9.998351951010695E-2</v>
      </c>
      <c r="E40" s="652">
        <v>0.10456548349032237</v>
      </c>
      <c r="F40" s="652">
        <v>0.126057779482041</v>
      </c>
      <c r="G40" s="653">
        <v>9.74E-2</v>
      </c>
    </row>
    <row r="41" spans="1:7" ht="15" customHeight="1">
      <c r="A41" s="275">
        <v>27</v>
      </c>
      <c r="B41" s="276" t="s">
        <v>20</v>
      </c>
      <c r="C41" s="652">
        <v>0.29363022332181665</v>
      </c>
      <c r="D41" s="652">
        <v>0.28190544393189232</v>
      </c>
      <c r="E41" s="652">
        <v>0.27011406939338301</v>
      </c>
      <c r="F41" s="652">
        <v>0.25086117073876729</v>
      </c>
      <c r="G41" s="653">
        <v>0.26135797701365837</v>
      </c>
    </row>
    <row r="42" spans="1:7" ht="15" customHeight="1">
      <c r="A42" s="275">
        <v>28</v>
      </c>
      <c r="B42" s="277" t="s">
        <v>21</v>
      </c>
      <c r="C42" s="652">
        <v>0.11679645504787096</v>
      </c>
      <c r="D42" s="652">
        <v>0.11421871307533431</v>
      </c>
      <c r="E42" s="652">
        <v>0.12767708937365424</v>
      </c>
      <c r="F42" s="652">
        <v>0.12510128629511069</v>
      </c>
      <c r="G42" s="653">
        <v>0.12502131745250195</v>
      </c>
    </row>
    <row r="43" spans="1:7" ht="15" customHeight="1">
      <c r="A43" s="281"/>
      <c r="B43" s="269" t="s">
        <v>345</v>
      </c>
      <c r="C43" s="173"/>
      <c r="D43" s="173"/>
      <c r="E43" s="173"/>
      <c r="F43" s="173"/>
      <c r="G43" s="174"/>
    </row>
    <row r="44" spans="1:7" ht="15" customHeight="1">
      <c r="A44" s="275">
        <v>29</v>
      </c>
      <c r="B44" s="321" t="s">
        <v>329</v>
      </c>
      <c r="C44" s="765">
        <v>424668688.78186804</v>
      </c>
      <c r="D44" s="277">
        <v>345796040.55633342</v>
      </c>
      <c r="E44" s="277">
        <v>384232329.62311006</v>
      </c>
      <c r="F44" s="277">
        <v>380478455.02336955</v>
      </c>
      <c r="G44" s="280">
        <v>322932808.75098884</v>
      </c>
    </row>
    <row r="45" spans="1:7">
      <c r="A45" s="275">
        <v>30</v>
      </c>
      <c r="B45" s="276" t="s">
        <v>330</v>
      </c>
      <c r="C45" s="765">
        <v>320037655.96559638</v>
      </c>
      <c r="D45" s="278">
        <v>274703477.41600484</v>
      </c>
      <c r="E45" s="278">
        <v>245408656.99990946</v>
      </c>
      <c r="F45" s="278">
        <v>243065483.30475593</v>
      </c>
      <c r="G45" s="279">
        <v>251877305.676018</v>
      </c>
    </row>
    <row r="46" spans="1:7">
      <c r="A46" s="316">
        <v>31</v>
      </c>
      <c r="B46" s="317" t="s">
        <v>328</v>
      </c>
      <c r="C46" s="766">
        <v>1.3269335056857163</v>
      </c>
      <c r="D46" s="652">
        <v>1.2587974633923822</v>
      </c>
      <c r="E46" s="652">
        <v>1.5656836817425386</v>
      </c>
      <c r="F46" s="652">
        <v>1.5653331351301945</v>
      </c>
      <c r="G46" s="653">
        <v>1.2821036332918669</v>
      </c>
    </row>
    <row r="47" spans="1:7">
      <c r="A47" s="316"/>
      <c r="B47" s="269" t="s">
        <v>423</v>
      </c>
      <c r="C47" s="173"/>
      <c r="D47" s="173"/>
      <c r="E47" s="173"/>
      <c r="F47" s="173"/>
      <c r="G47" s="174"/>
    </row>
    <row r="48" spans="1:7">
      <c r="A48" s="316">
        <v>32</v>
      </c>
      <c r="B48" s="317" t="s">
        <v>430</v>
      </c>
      <c r="C48" s="318">
        <v>2559665228.5770578</v>
      </c>
      <c r="D48" s="319">
        <v>2311402468.1668806</v>
      </c>
      <c r="E48" s="319">
        <v>2314663069.089488</v>
      </c>
      <c r="F48" s="319">
        <v>2219767047.0275736</v>
      </c>
      <c r="G48" s="320">
        <v>1994145286.5617981</v>
      </c>
    </row>
    <row r="49" spans="1:7">
      <c r="A49" s="316">
        <v>33</v>
      </c>
      <c r="B49" s="317" t="s">
        <v>443</v>
      </c>
      <c r="C49" s="318">
        <v>2071267650.1338389</v>
      </c>
      <c r="D49" s="319">
        <v>1953393297.8604517</v>
      </c>
      <c r="E49" s="319">
        <v>1877689961.4497709</v>
      </c>
      <c r="F49" s="319">
        <v>1754681063.8609755</v>
      </c>
      <c r="G49" s="320">
        <v>1662737766.77197</v>
      </c>
    </row>
    <row r="50" spans="1:7" ht="15" thickBot="1">
      <c r="A50" s="60">
        <v>34</v>
      </c>
      <c r="B50" s="136" t="s">
        <v>457</v>
      </c>
      <c r="C50" s="666">
        <v>1.2357964594347139</v>
      </c>
      <c r="D50" s="654">
        <v>1.1832755189129376</v>
      </c>
      <c r="E50" s="654">
        <v>1.2327454159680078</v>
      </c>
      <c r="F50" s="654">
        <v>1.2650544265538659</v>
      </c>
      <c r="G50" s="655">
        <v>1.1993143634385415</v>
      </c>
    </row>
    <row r="51" spans="1:7">
      <c r="A51" s="14"/>
    </row>
    <row r="52" spans="1:7">
      <c r="B52" s="16"/>
    </row>
    <row r="53" spans="1:7" ht="69">
      <c r="B53" s="210" t="s">
        <v>344</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topLeftCell="A10" zoomScale="80" zoomScaleNormal="80" workbookViewId="0">
      <selection activeCell="C24" sqref="C24:C25"/>
    </sheetView>
  </sheetViews>
  <sheetFormatPr defaultRowHeight="14.4"/>
  <cols>
    <col min="1" max="1" width="11.44140625" customWidth="1"/>
    <col min="2" max="2" width="76.77734375" style="2" customWidth="1"/>
    <col min="3" max="3" width="22.77734375" customWidth="1"/>
  </cols>
  <sheetData>
    <row r="1" spans="1:3">
      <c r="A1" s="1" t="s">
        <v>98</v>
      </c>
      <c r="B1" t="str">
        <f>Info!C2</f>
        <v>სს "კრედო ბანკი"</v>
      </c>
    </row>
    <row r="2" spans="1:3">
      <c r="A2" s="1" t="s">
        <v>99</v>
      </c>
      <c r="B2" s="282">
        <f>'1. key ratios'!B2</f>
        <v>45838</v>
      </c>
    </row>
    <row r="3" spans="1:3">
      <c r="A3" s="1"/>
      <c r="B3"/>
    </row>
    <row r="4" spans="1:3">
      <c r="A4" s="1" t="s">
        <v>407</v>
      </c>
      <c r="B4" t="s">
        <v>376</v>
      </c>
    </row>
    <row r="5" spans="1:3">
      <c r="A5" s="607"/>
      <c r="B5" s="607" t="s">
        <v>377</v>
      </c>
      <c r="C5" s="608"/>
    </row>
    <row r="6" spans="1:3">
      <c r="A6" s="609">
        <v>1</v>
      </c>
      <c r="B6" s="610" t="s">
        <v>377</v>
      </c>
      <c r="C6" s="611">
        <f>'2. SOFP'!E69</f>
        <v>3424807206.8141646</v>
      </c>
    </row>
    <row r="7" spans="1:3">
      <c r="A7" s="609">
        <v>2</v>
      </c>
      <c r="B7" s="610" t="s">
        <v>378</v>
      </c>
      <c r="C7" s="611">
        <f>'9. Capital'!C15</f>
        <v>33263478</v>
      </c>
    </row>
    <row r="8" spans="1:3">
      <c r="A8" s="612">
        <v>3</v>
      </c>
      <c r="B8" s="613" t="s">
        <v>379</v>
      </c>
      <c r="C8" s="614">
        <f>C6-C7</f>
        <v>3391543728.8141646</v>
      </c>
    </row>
    <row r="9" spans="1:3">
      <c r="A9" s="615"/>
      <c r="B9" s="615" t="s">
        <v>380</v>
      </c>
      <c r="C9" s="616"/>
    </row>
    <row r="10" spans="1:3">
      <c r="A10" s="617">
        <v>4</v>
      </c>
      <c r="B10" s="618" t="s">
        <v>381</v>
      </c>
      <c r="C10" s="611">
        <f>'15. CCR'!F34</f>
        <v>77292.573423302732</v>
      </c>
    </row>
    <row r="11" spans="1:3">
      <c r="A11" s="617">
        <v>5</v>
      </c>
      <c r="B11" s="619" t="s">
        <v>382</v>
      </c>
      <c r="C11" s="611">
        <f>'15. CCR'!G34</f>
        <v>6290854.6538491081</v>
      </c>
    </row>
    <row r="12" spans="1:3">
      <c r="A12" s="617">
        <v>6</v>
      </c>
      <c r="B12" s="620" t="s">
        <v>979</v>
      </c>
      <c r="C12" s="614">
        <f>'15. CCR'!I34</f>
        <v>8915406.1181813739</v>
      </c>
    </row>
    <row r="13" spans="1:3">
      <c r="A13" s="621">
        <v>7</v>
      </c>
      <c r="B13" s="622" t="s">
        <v>383</v>
      </c>
      <c r="C13" s="611">
        <f>'15. CCR'!E34</f>
        <v>0</v>
      </c>
    </row>
    <row r="14" spans="1:3">
      <c r="A14" s="623">
        <v>8</v>
      </c>
      <c r="B14" s="624" t="s">
        <v>384</v>
      </c>
      <c r="C14" s="614">
        <f>C12</f>
        <v>8915406.1181813739</v>
      </c>
    </row>
    <row r="15" spans="1:3">
      <c r="A15" s="615"/>
      <c r="B15" s="615" t="s">
        <v>385</v>
      </c>
      <c r="C15" s="625"/>
    </row>
    <row r="16" spans="1:3">
      <c r="A16" s="621">
        <v>9</v>
      </c>
      <c r="B16" s="626" t="s">
        <v>386</v>
      </c>
      <c r="C16" s="611"/>
    </row>
    <row r="17" spans="1:3">
      <c r="A17" s="617">
        <v>10</v>
      </c>
      <c r="B17" s="610" t="s">
        <v>387</v>
      </c>
      <c r="C17" s="611"/>
    </row>
    <row r="18" spans="1:3">
      <c r="A18" s="617">
        <v>11</v>
      </c>
      <c r="B18" s="610" t="s">
        <v>388</v>
      </c>
      <c r="C18" s="611"/>
    </row>
    <row r="19" spans="1:3" ht="22.8">
      <c r="A19" s="621">
        <v>12</v>
      </c>
      <c r="B19" s="626" t="s">
        <v>389</v>
      </c>
      <c r="C19" s="611"/>
    </row>
    <row r="20" spans="1:3">
      <c r="A20" s="621">
        <v>13</v>
      </c>
      <c r="B20" s="626" t="s">
        <v>390</v>
      </c>
      <c r="C20" s="611"/>
    </row>
    <row r="21" spans="1:3">
      <c r="A21" s="621">
        <v>14</v>
      </c>
      <c r="B21" s="610" t="s">
        <v>391</v>
      </c>
      <c r="C21" s="611"/>
    </row>
    <row r="22" spans="1:3">
      <c r="A22" s="623">
        <v>15</v>
      </c>
      <c r="B22" s="624" t="s">
        <v>392</v>
      </c>
      <c r="C22" s="614">
        <f>SUM(C16:C21)</f>
        <v>0</v>
      </c>
    </row>
    <row r="23" spans="1:3">
      <c r="A23" s="615"/>
      <c r="B23" s="615" t="s">
        <v>393</v>
      </c>
      <c r="C23" s="616"/>
    </row>
    <row r="24" spans="1:3">
      <c r="A24" s="617">
        <v>16</v>
      </c>
      <c r="B24" s="610" t="s">
        <v>394</v>
      </c>
      <c r="C24" s="686">
        <f>'8. LI2'!C6</f>
        <v>383506255</v>
      </c>
    </row>
    <row r="25" spans="1:3">
      <c r="A25" s="617">
        <v>17</v>
      </c>
      <c r="B25" s="610" t="s">
        <v>395</v>
      </c>
      <c r="C25" s="686">
        <f>'8. LI2'!C10</f>
        <v>-283404319</v>
      </c>
    </row>
    <row r="26" spans="1:3">
      <c r="A26" s="623">
        <v>18</v>
      </c>
      <c r="B26" s="624" t="s">
        <v>396</v>
      </c>
      <c r="C26" s="614">
        <f>C24+C25</f>
        <v>100101936</v>
      </c>
    </row>
    <row r="27" spans="1:3">
      <c r="A27" s="615"/>
      <c r="B27" s="615" t="s">
        <v>397</v>
      </c>
      <c r="C27" s="625"/>
    </row>
    <row r="28" spans="1:3">
      <c r="A28" s="617">
        <v>19</v>
      </c>
      <c r="B28" s="610" t="s">
        <v>398</v>
      </c>
      <c r="C28" s="611"/>
    </row>
    <row r="29" spans="1:3">
      <c r="A29" s="617">
        <v>20</v>
      </c>
      <c r="B29" s="610" t="s">
        <v>399</v>
      </c>
      <c r="C29" s="611"/>
    </row>
    <row r="30" spans="1:3">
      <c r="A30" s="615"/>
      <c r="B30" s="615" t="s">
        <v>400</v>
      </c>
      <c r="C30" s="616"/>
    </row>
    <row r="31" spans="1:3">
      <c r="A31" s="623">
        <v>21</v>
      </c>
      <c r="B31" s="624" t="s">
        <v>76</v>
      </c>
      <c r="C31" s="614">
        <f>'1. key ratios'!C9</f>
        <v>401594547.78696764</v>
      </c>
    </row>
    <row r="32" spans="1:3">
      <c r="A32" s="623">
        <v>22</v>
      </c>
      <c r="B32" s="624" t="s">
        <v>401</v>
      </c>
      <c r="C32" s="614">
        <f>C8+C14+C22+C26</f>
        <v>3500561070.9323459</v>
      </c>
    </row>
    <row r="33" spans="1:3">
      <c r="A33" s="627"/>
      <c r="B33" s="627" t="s">
        <v>376</v>
      </c>
      <c r="C33" s="616"/>
    </row>
    <row r="34" spans="1:3">
      <c r="A34" s="623">
        <v>23</v>
      </c>
      <c r="B34" s="624" t="s">
        <v>376</v>
      </c>
      <c r="C34" s="687">
        <f>IFERROR(C31/C32,0)</f>
        <v>0.11472290859933668</v>
      </c>
    </row>
    <row r="35" spans="1:3">
      <c r="A35" s="627"/>
      <c r="B35" s="627" t="s">
        <v>402</v>
      </c>
      <c r="C35" s="616"/>
    </row>
    <row r="36" spans="1:3">
      <c r="A36" s="621" t="s">
        <v>403</v>
      </c>
      <c r="B36" s="626" t="s">
        <v>404</v>
      </c>
      <c r="C36" s="628"/>
    </row>
    <row r="37" spans="1:3">
      <c r="A37" s="629" t="s">
        <v>405</v>
      </c>
      <c r="B37" s="630" t="s">
        <v>406</v>
      </c>
      <c r="C37" s="628"/>
    </row>
    <row r="39" spans="1:3">
      <c r="B39" s="248"/>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C7" sqref="C7:C9"/>
    </sheetView>
  </sheetViews>
  <sheetFormatPr defaultRowHeight="14.4"/>
  <cols>
    <col min="1" max="1" width="11.44140625" customWidth="1"/>
    <col min="2" max="2" width="76.77734375" style="2" customWidth="1"/>
    <col min="3" max="6" width="24.44140625" customWidth="1"/>
  </cols>
  <sheetData>
    <row r="1" spans="1:6">
      <c r="A1" s="11" t="s">
        <v>98</v>
      </c>
      <c r="B1">
        <f>[5]Info!C2</f>
        <v>0</v>
      </c>
    </row>
    <row r="2" spans="1:6">
      <c r="A2" s="1" t="s">
        <v>99</v>
      </c>
      <c r="B2" s="282">
        <f>'[5]1. key ratios'!B2</f>
        <v>45747</v>
      </c>
    </row>
    <row r="3" spans="1:6">
      <c r="A3" s="1"/>
      <c r="B3"/>
    </row>
    <row r="4" spans="1:6">
      <c r="A4" s="606" t="s">
        <v>971</v>
      </c>
    </row>
    <row r="5" spans="1:6" ht="86.4">
      <c r="B5" s="600"/>
      <c r="C5" s="601" t="s">
        <v>972</v>
      </c>
      <c r="D5" s="601" t="s">
        <v>973</v>
      </c>
      <c r="E5" s="601" t="s">
        <v>974</v>
      </c>
      <c r="F5" s="601" t="s">
        <v>975</v>
      </c>
    </row>
    <row r="6" spans="1:6">
      <c r="B6" s="602" t="s">
        <v>970</v>
      </c>
      <c r="C6" s="603">
        <f>IF(C7&gt;0,C7,IF(C8&gt;0,C8,IF(C9&gt;0,C9)))</f>
        <v>678868.62751820928</v>
      </c>
      <c r="D6" s="603">
        <f>IF(D7&gt;0,D7,IF(D8&gt;0,D8,IF(D9&gt;0,D9,0)))</f>
        <v>0</v>
      </c>
      <c r="E6" s="603">
        <f>IF(E7&gt;0,E7,IF(E8&gt;0,E8,IF(E9&gt;0,E9,0)))</f>
        <v>0</v>
      </c>
      <c r="F6" s="603">
        <f>IF(F7&gt;0,F7,IF(F8&gt;0,F8,IF(F9&gt;0,F9)))</f>
        <v>678868.62751820928</v>
      </c>
    </row>
    <row r="7" spans="1:6">
      <c r="B7" s="604" t="s">
        <v>976</v>
      </c>
      <c r="C7" s="605">
        <v>678868.62751820928</v>
      </c>
      <c r="D7" s="605">
        <v>0</v>
      </c>
      <c r="E7" s="605">
        <v>0</v>
      </c>
      <c r="F7" s="605">
        <v>678868.62751820928</v>
      </c>
    </row>
    <row r="8" spans="1:6">
      <c r="B8" s="604" t="s">
        <v>977</v>
      </c>
      <c r="C8" s="605">
        <v>2037359.8320587394</v>
      </c>
      <c r="D8" s="605">
        <v>0</v>
      </c>
      <c r="E8" s="605">
        <v>0</v>
      </c>
      <c r="F8" s="605">
        <v>2037359.8320587394</v>
      </c>
    </row>
    <row r="9" spans="1:6">
      <c r="B9" s="604" t="s">
        <v>978</v>
      </c>
      <c r="C9" s="605">
        <v>2359095.9962514187</v>
      </c>
      <c r="D9" s="605">
        <v>0</v>
      </c>
      <c r="E9" s="605">
        <v>0</v>
      </c>
      <c r="F9" s="605">
        <v>2359095.9962514187</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Normal="100" workbookViewId="0">
      <pane xSplit="2" ySplit="6" topLeftCell="C26" activePane="bottomRight" state="frozen"/>
      <selection pane="topRight" activeCell="C1" sqref="C1"/>
      <selection pane="bottomLeft" activeCell="A7" sqref="A7"/>
      <selection pane="bottomRight" activeCell="G34" sqref="G34"/>
    </sheetView>
  </sheetViews>
  <sheetFormatPr defaultRowHeight="14.4"/>
  <cols>
    <col min="1" max="1" width="9.88671875" style="1" bestFit="1" customWidth="1"/>
    <col min="2" max="2" width="82.6640625" style="16" customWidth="1"/>
    <col min="3" max="7" width="17.5546875" style="1" customWidth="1"/>
  </cols>
  <sheetData>
    <row r="1" spans="1:7">
      <c r="A1" s="1" t="s">
        <v>98</v>
      </c>
      <c r="B1" s="1" t="str">
        <f>Info!C2</f>
        <v>სს "კრედო ბანკი"</v>
      </c>
    </row>
    <row r="2" spans="1:7">
      <c r="A2" s="1" t="s">
        <v>99</v>
      </c>
      <c r="B2" s="282">
        <f>'1. key ratios'!B2</f>
        <v>45838</v>
      </c>
    </row>
    <row r="3" spans="1:7">
      <c r="B3" s="282"/>
    </row>
    <row r="4" spans="1:7" ht="15" thickBot="1">
      <c r="A4" s="1" t="s">
        <v>458</v>
      </c>
      <c r="B4" s="166" t="s">
        <v>423</v>
      </c>
    </row>
    <row r="5" spans="1:7">
      <c r="A5" s="286"/>
      <c r="B5" s="287"/>
      <c r="C5" s="832" t="s">
        <v>424</v>
      </c>
      <c r="D5" s="832"/>
      <c r="E5" s="832"/>
      <c r="F5" s="832"/>
      <c r="G5" s="833" t="s">
        <v>425</v>
      </c>
    </row>
    <row r="6" spans="1:7">
      <c r="A6" s="288"/>
      <c r="B6" s="289"/>
      <c r="C6" s="290" t="s">
        <v>426</v>
      </c>
      <c r="D6" s="290" t="s">
        <v>427</v>
      </c>
      <c r="E6" s="290" t="s">
        <v>428</v>
      </c>
      <c r="F6" s="290" t="s">
        <v>429</v>
      </c>
      <c r="G6" s="834"/>
    </row>
    <row r="7" spans="1:7">
      <c r="A7" s="291"/>
      <c r="B7" s="292" t="s">
        <v>430</v>
      </c>
      <c r="C7" s="293"/>
      <c r="D7" s="293"/>
      <c r="E7" s="293"/>
      <c r="F7" s="293"/>
      <c r="G7" s="294"/>
    </row>
    <row r="8" spans="1:7">
      <c r="A8" s="295">
        <v>1</v>
      </c>
      <c r="B8" s="296" t="s">
        <v>431</v>
      </c>
      <c r="C8" s="689">
        <f>SUM(C9:C10)</f>
        <v>401594546.00999999</v>
      </c>
      <c r="D8" s="689">
        <f>SUM(D9:D10)</f>
        <v>0</v>
      </c>
      <c r="E8" s="689">
        <f>SUM(E9:E10)</f>
        <v>0</v>
      </c>
      <c r="F8" s="689">
        <f>SUM(F9:F10)</f>
        <v>1195513799.49</v>
      </c>
      <c r="G8" s="298">
        <f>SUM(G9:G10)</f>
        <v>1597108345.5</v>
      </c>
    </row>
    <row r="9" spans="1:7">
      <c r="A9" s="295">
        <v>2</v>
      </c>
      <c r="B9" s="299" t="s">
        <v>75</v>
      </c>
      <c r="C9" s="297">
        <v>401594546.00999999</v>
      </c>
      <c r="D9" s="297">
        <v>0</v>
      </c>
      <c r="E9" s="297">
        <v>0</v>
      </c>
      <c r="F9" s="297">
        <v>96200328.719999999</v>
      </c>
      <c r="G9" s="298">
        <f>F9+C9</f>
        <v>497794874.73000002</v>
      </c>
    </row>
    <row r="10" spans="1:7">
      <c r="A10" s="295">
        <v>3</v>
      </c>
      <c r="B10" s="299" t="s">
        <v>432</v>
      </c>
      <c r="C10" s="300"/>
      <c r="D10" s="300"/>
      <c r="E10" s="300"/>
      <c r="F10" s="297">
        <v>1099313470.77</v>
      </c>
      <c r="G10" s="298">
        <f>F10</f>
        <v>1099313470.77</v>
      </c>
    </row>
    <row r="11" spans="1:7" ht="27.6">
      <c r="A11" s="295">
        <v>4</v>
      </c>
      <c r="B11" s="296" t="s">
        <v>433</v>
      </c>
      <c r="C11" s="689">
        <f t="shared" ref="C11:F11" si="0">SUM(C12:C13)</f>
        <v>315817181.01999998</v>
      </c>
      <c r="D11" s="689">
        <f t="shared" si="0"/>
        <v>394844942.35000002</v>
      </c>
      <c r="E11" s="689">
        <f t="shared" si="0"/>
        <v>206799084.37727201</v>
      </c>
      <c r="F11" s="689">
        <f t="shared" si="0"/>
        <v>11987123.789999999</v>
      </c>
      <c r="G11" s="298">
        <f>SUM(G12:G13)</f>
        <v>693091756.40493619</v>
      </c>
    </row>
    <row r="12" spans="1:7">
      <c r="A12" s="295">
        <v>5</v>
      </c>
      <c r="B12" s="299" t="s">
        <v>434</v>
      </c>
      <c r="C12" s="297">
        <v>91079165.829999998</v>
      </c>
      <c r="D12" s="301">
        <v>246616199.13999999</v>
      </c>
      <c r="E12" s="297">
        <v>163320493.847334</v>
      </c>
      <c r="F12" s="297">
        <v>6467675.9299999997</v>
      </c>
      <c r="G12" s="298">
        <f>SUM(C12:F12)*0.95</f>
        <v>482109358.00996721</v>
      </c>
    </row>
    <row r="13" spans="1:7">
      <c r="A13" s="295">
        <v>6</v>
      </c>
      <c r="B13" s="299" t="s">
        <v>435</v>
      </c>
      <c r="C13" s="297">
        <v>224738015.19</v>
      </c>
      <c r="D13" s="301">
        <v>148228743.21000001</v>
      </c>
      <c r="E13" s="297">
        <v>43478590.529937997</v>
      </c>
      <c r="F13" s="297">
        <v>5519447.8600000003</v>
      </c>
      <c r="G13" s="298">
        <f>SUM(C13:F13)*0.5</f>
        <v>210982398.39496899</v>
      </c>
    </row>
    <row r="14" spans="1:7">
      <c r="A14" s="295">
        <v>7</v>
      </c>
      <c r="B14" s="296" t="s">
        <v>436</v>
      </c>
      <c r="C14" s="689">
        <f t="shared" ref="C14:F14" si="1">SUM(C15:C16)</f>
        <v>84188071.120000005</v>
      </c>
      <c r="D14" s="689">
        <f t="shared" si="1"/>
        <v>358137903.14999998</v>
      </c>
      <c r="E14" s="689">
        <f t="shared" si="1"/>
        <v>321242378.898471</v>
      </c>
      <c r="F14" s="689">
        <f t="shared" si="1"/>
        <v>807985.31</v>
      </c>
      <c r="G14" s="298">
        <f>SUM(G15:G16)</f>
        <v>269465127.0406785</v>
      </c>
    </row>
    <row r="15" spans="1:7" ht="55.2">
      <c r="A15" s="295">
        <v>8</v>
      </c>
      <c r="B15" s="299" t="s">
        <v>437</v>
      </c>
      <c r="C15" s="769">
        <v>84188071.120000005</v>
      </c>
      <c r="D15" s="688">
        <v>132691818.75</v>
      </c>
      <c r="E15" s="297">
        <v>162698760.861357</v>
      </c>
      <c r="F15" s="769">
        <v>807985.31</v>
      </c>
      <c r="G15" s="298">
        <f>SUM(C15:F15)*0.5</f>
        <v>190193318.02067849</v>
      </c>
    </row>
    <row r="16" spans="1:7" ht="27.6">
      <c r="A16" s="295">
        <v>9</v>
      </c>
      <c r="B16" s="299" t="s">
        <v>438</v>
      </c>
      <c r="C16" s="297"/>
      <c r="D16" s="768">
        <v>225446084.40000001</v>
      </c>
      <c r="E16" s="297">
        <v>158543618.03711399</v>
      </c>
      <c r="F16" s="297"/>
      <c r="G16" s="298">
        <v>79271809.019999996</v>
      </c>
    </row>
    <row r="17" spans="1:7">
      <c r="A17" s="295">
        <v>10</v>
      </c>
      <c r="B17" s="296" t="s">
        <v>439</v>
      </c>
      <c r="C17" s="297"/>
      <c r="D17" s="301"/>
      <c r="E17" s="297"/>
      <c r="F17" s="297"/>
      <c r="G17" s="298"/>
    </row>
    <row r="18" spans="1:7">
      <c r="A18" s="295">
        <v>11</v>
      </c>
      <c r="B18" s="296" t="s">
        <v>79</v>
      </c>
      <c r="C18" s="689">
        <f>SUM(C19:C20)</f>
        <v>33293661.422991112</v>
      </c>
      <c r="D18" s="676">
        <f t="shared" ref="D18:G18" si="2">SUM(D19:D20)</f>
        <v>4797994.6589969993</v>
      </c>
      <c r="E18" s="689">
        <f t="shared" si="2"/>
        <v>2812632.359660103</v>
      </c>
      <c r="F18" s="689">
        <f t="shared" si="2"/>
        <v>59706426.112149507</v>
      </c>
      <c r="G18" s="298">
        <f t="shared" si="2"/>
        <v>0</v>
      </c>
    </row>
    <row r="19" spans="1:7">
      <c r="A19" s="295">
        <v>12</v>
      </c>
      <c r="B19" s="299" t="s">
        <v>440</v>
      </c>
      <c r="C19" s="300"/>
      <c r="D19" s="301">
        <v>3962499.94</v>
      </c>
      <c r="E19" s="297"/>
      <c r="F19" s="297"/>
      <c r="G19" s="298"/>
    </row>
    <row r="20" spans="1:7" ht="27.6">
      <c r="A20" s="295">
        <v>13</v>
      </c>
      <c r="B20" s="299" t="s">
        <v>441</v>
      </c>
      <c r="C20" s="769">
        <v>33293661.422991112</v>
      </c>
      <c r="D20" s="769">
        <v>835494.71899699932</v>
      </c>
      <c r="E20" s="769">
        <v>2812632.359660103</v>
      </c>
      <c r="F20" s="769">
        <v>59706426.112149507</v>
      </c>
      <c r="G20" s="298"/>
    </row>
    <row r="21" spans="1:7">
      <c r="A21" s="302">
        <v>14</v>
      </c>
      <c r="B21" s="303" t="s">
        <v>442</v>
      </c>
      <c r="C21" s="300"/>
      <c r="D21" s="300"/>
      <c r="E21" s="300"/>
      <c r="F21" s="300"/>
      <c r="G21" s="304">
        <f>SUM(G8,G11,G14,G17,G18)</f>
        <v>2559665228.9456148</v>
      </c>
    </row>
    <row r="22" spans="1:7">
      <c r="A22" s="305"/>
      <c r="B22" s="322" t="s">
        <v>443</v>
      </c>
      <c r="C22" s="306"/>
      <c r="D22" s="307"/>
      <c r="E22" s="306"/>
      <c r="F22" s="306"/>
      <c r="G22" s="308"/>
    </row>
    <row r="23" spans="1:7">
      <c r="A23" s="295">
        <v>15</v>
      </c>
      <c r="B23" s="296" t="s">
        <v>311</v>
      </c>
      <c r="C23" s="742">
        <v>460969694.13843399</v>
      </c>
      <c r="D23" s="743">
        <v>69003365.476888895</v>
      </c>
      <c r="E23" s="742">
        <v>15312913.6161092</v>
      </c>
      <c r="F23" s="742">
        <v>33678820.907001898</v>
      </c>
      <c r="G23" s="304">
        <v>8853057.5629549194</v>
      </c>
    </row>
    <row r="24" spans="1:7">
      <c r="A24" s="295">
        <v>16</v>
      </c>
      <c r="B24" s="296" t="s">
        <v>444</v>
      </c>
      <c r="C24" s="689">
        <f>SUM(C25:C27,C29,C31)</f>
        <v>179191.08361145901</v>
      </c>
      <c r="D24" s="676">
        <f t="shared" ref="D24:G24" si="3">SUM(D25:D27,D29,D31)</f>
        <v>565308963.42461181</v>
      </c>
      <c r="E24" s="689">
        <f t="shared" si="3"/>
        <v>391856506.49031848</v>
      </c>
      <c r="F24" s="689">
        <f t="shared" si="3"/>
        <v>1641626436.56849</v>
      </c>
      <c r="G24" s="304">
        <f t="shared" si="3"/>
        <v>1849458039.1622334</v>
      </c>
    </row>
    <row r="25" spans="1:7" ht="27.6">
      <c r="A25" s="295">
        <v>17</v>
      </c>
      <c r="B25" s="299" t="s">
        <v>445</v>
      </c>
      <c r="C25" s="297"/>
      <c r="D25" s="301"/>
      <c r="E25" s="297"/>
      <c r="F25" s="297"/>
      <c r="G25" s="298"/>
    </row>
    <row r="26" spans="1:7" ht="27.6">
      <c r="A26" s="295">
        <v>18</v>
      </c>
      <c r="B26" s="299" t="s">
        <v>446</v>
      </c>
      <c r="C26" s="297">
        <v>179191.08361145901</v>
      </c>
      <c r="D26" s="301">
        <v>0</v>
      </c>
      <c r="E26" s="297">
        <v>0</v>
      </c>
      <c r="F26" s="297">
        <v>0</v>
      </c>
      <c r="G26" s="298">
        <f>C26*15%</f>
        <v>26878.662541718852</v>
      </c>
    </row>
    <row r="27" spans="1:7">
      <c r="A27" s="295">
        <v>19</v>
      </c>
      <c r="B27" s="299" t="s">
        <v>447</v>
      </c>
      <c r="C27" s="297">
        <v>0</v>
      </c>
      <c r="D27" s="301">
        <v>555594253.12476206</v>
      </c>
      <c r="E27" s="297">
        <v>382340810.54918599</v>
      </c>
      <c r="F27" s="297">
        <v>1518008908.8635199</v>
      </c>
      <c r="G27" s="298">
        <v>1759275104.37097</v>
      </c>
    </row>
    <row r="28" spans="1:7">
      <c r="A28" s="295">
        <v>20</v>
      </c>
      <c r="B28" s="309" t="s">
        <v>448</v>
      </c>
      <c r="C28" s="297"/>
      <c r="D28" s="301"/>
      <c r="E28" s="297"/>
      <c r="F28" s="297"/>
      <c r="G28" s="298"/>
    </row>
    <row r="29" spans="1:7">
      <c r="A29" s="295">
        <v>21</v>
      </c>
      <c r="B29" s="299" t="s">
        <v>449</v>
      </c>
      <c r="C29" s="297"/>
      <c r="D29" s="301">
        <v>9714710.29984973</v>
      </c>
      <c r="E29" s="297">
        <v>9515695.9411324803</v>
      </c>
      <c r="F29" s="297">
        <v>122670227.70497</v>
      </c>
      <c r="G29" s="298">
        <v>89350851.128721699</v>
      </c>
    </row>
    <row r="30" spans="1:7">
      <c r="A30" s="295">
        <v>22</v>
      </c>
      <c r="B30" s="309" t="s">
        <v>448</v>
      </c>
      <c r="C30" s="297"/>
      <c r="D30" s="301">
        <v>9714710.29984973</v>
      </c>
      <c r="E30" s="297">
        <v>9515695.9411324803</v>
      </c>
      <c r="F30" s="297">
        <v>122670227.70497</v>
      </c>
      <c r="G30" s="298">
        <v>89350851.128721699</v>
      </c>
    </row>
    <row r="31" spans="1:7" ht="27.6">
      <c r="A31" s="295">
        <v>23</v>
      </c>
      <c r="B31" s="299" t="s">
        <v>450</v>
      </c>
      <c r="C31" s="297"/>
      <c r="D31" s="301"/>
      <c r="E31" s="297"/>
      <c r="F31" s="297">
        <v>947300</v>
      </c>
      <c r="G31" s="298">
        <v>805205</v>
      </c>
    </row>
    <row r="32" spans="1:7">
      <c r="A32" s="295">
        <v>24</v>
      </c>
      <c r="B32" s="296" t="s">
        <v>451</v>
      </c>
      <c r="C32" s="297"/>
      <c r="D32" s="301"/>
      <c r="E32" s="297"/>
      <c r="F32" s="297"/>
      <c r="G32" s="298"/>
    </row>
    <row r="33" spans="1:7">
      <c r="A33" s="295">
        <v>25</v>
      </c>
      <c r="B33" s="296" t="s">
        <v>89</v>
      </c>
      <c r="C33" s="746">
        <f>SUM(C34:C35)</f>
        <v>53619535.339999974</v>
      </c>
      <c r="D33" s="746">
        <f>SUM(D34:D35)</f>
        <v>66727403.566453882</v>
      </c>
      <c r="E33" s="746">
        <f>SUM(E34:E35)</f>
        <v>22781574.31357228</v>
      </c>
      <c r="F33" s="746">
        <f>SUM(F34:F35)</f>
        <v>70479324.434507936</v>
      </c>
      <c r="G33" s="304">
        <f>SUM(G34:G35)</f>
        <v>193896144.58515066</v>
      </c>
    </row>
    <row r="34" spans="1:7">
      <c r="A34" s="295">
        <v>26</v>
      </c>
      <c r="B34" s="299" t="s">
        <v>452</v>
      </c>
      <c r="C34" s="300"/>
      <c r="D34" s="301">
        <v>2958401.69</v>
      </c>
      <c r="E34" s="297"/>
      <c r="F34" s="297"/>
      <c r="G34" s="298">
        <v>2958401.69</v>
      </c>
    </row>
    <row r="35" spans="1:7">
      <c r="A35" s="295">
        <v>27</v>
      </c>
      <c r="B35" s="299" t="s">
        <v>453</v>
      </c>
      <c r="C35" s="297">
        <v>53619535.339999974</v>
      </c>
      <c r="D35" s="301">
        <v>63769001.876453884</v>
      </c>
      <c r="E35" s="297">
        <v>22781574.31357228</v>
      </c>
      <c r="F35" s="297">
        <v>70479324.434507936</v>
      </c>
      <c r="G35" s="298">
        <v>190937742.89515066</v>
      </c>
    </row>
    <row r="36" spans="1:7">
      <c r="A36" s="295">
        <v>28</v>
      </c>
      <c r="B36" s="296" t="s">
        <v>454</v>
      </c>
      <c r="C36" s="297">
        <v>351069488.20999998</v>
      </c>
      <c r="D36" s="301">
        <v>0</v>
      </c>
      <c r="E36" s="297">
        <v>0</v>
      </c>
      <c r="F36" s="297">
        <v>30138688.260000002</v>
      </c>
      <c r="G36" s="304">
        <v>19060408.8235</v>
      </c>
    </row>
    <row r="37" spans="1:7">
      <c r="A37" s="302">
        <v>29</v>
      </c>
      <c r="B37" s="303" t="s">
        <v>455</v>
      </c>
      <c r="C37" s="300"/>
      <c r="D37" s="300"/>
      <c r="E37" s="300"/>
      <c r="F37" s="300"/>
      <c r="G37" s="304">
        <f>SUM(G23:G24,G32:G33,G36)</f>
        <v>2071267650.1338389</v>
      </c>
    </row>
    <row r="38" spans="1:7">
      <c r="A38" s="291"/>
      <c r="B38" s="310"/>
      <c r="C38" s="745"/>
      <c r="D38" s="745"/>
      <c r="E38" s="745"/>
      <c r="F38" s="745"/>
      <c r="G38" s="311"/>
    </row>
    <row r="39" spans="1:7" ht="15" thickBot="1">
      <c r="A39" s="312">
        <v>30</v>
      </c>
      <c r="B39" s="313" t="s">
        <v>423</v>
      </c>
      <c r="C39" s="201"/>
      <c r="D39" s="185"/>
      <c r="E39" s="185"/>
      <c r="F39" s="314"/>
      <c r="G39" s="315">
        <f>IFERROR(G21/G37,0)</f>
        <v>1.2357964596126518</v>
      </c>
    </row>
    <row r="40" spans="1:7">
      <c r="C40" s="744"/>
      <c r="D40" s="744"/>
      <c r="E40" s="744"/>
      <c r="F40" s="744"/>
    </row>
    <row r="41" spans="1:7">
      <c r="F41" s="744"/>
      <c r="G41" s="747"/>
    </row>
    <row r="42" spans="1:7" ht="41.4">
      <c r="B42" s="16" t="s">
        <v>456</v>
      </c>
    </row>
  </sheetData>
  <mergeCells count="2">
    <mergeCell ref="C5:F5"/>
    <mergeCell ref="G5:G6"/>
  </mergeCells>
  <pageMargins left="0.7" right="0.7" top="0.75" bottom="0.75" header="0.3" footer="0.3"/>
  <ignoredErrors>
    <ignoredError sqref="C33:G33"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F29" sqref="F29"/>
    </sheetView>
  </sheetViews>
  <sheetFormatPr defaultColWidth="9.21875" defaultRowHeight="12"/>
  <cols>
    <col min="1" max="1" width="11.77734375" style="327" bestFit="1" customWidth="1"/>
    <col min="2" max="2" width="105.21875" style="327" bestFit="1" customWidth="1"/>
    <col min="3" max="8" width="20.77734375" style="327" customWidth="1"/>
    <col min="9" max="16384" width="9.21875" style="327"/>
  </cols>
  <sheetData>
    <row r="1" spans="1:8" ht="13.8">
      <c r="A1" s="326" t="s">
        <v>98</v>
      </c>
      <c r="B1" s="247" t="str">
        <f>Info!C2</f>
        <v>სს "კრედო ბანკი"</v>
      </c>
    </row>
    <row r="2" spans="1:8">
      <c r="A2" s="326" t="s">
        <v>99</v>
      </c>
      <c r="B2" s="329">
        <f>'1. key ratios'!B2</f>
        <v>45838</v>
      </c>
    </row>
    <row r="3" spans="1:8">
      <c r="A3" s="328" t="s">
        <v>463</v>
      </c>
    </row>
    <row r="5" spans="1:8">
      <c r="A5" s="835" t="s">
        <v>464</v>
      </c>
      <c r="B5" s="836"/>
      <c r="C5" s="841" t="s">
        <v>465</v>
      </c>
      <c r="D5" s="842"/>
      <c r="E5" s="842"/>
      <c r="F5" s="842"/>
      <c r="G5" s="842"/>
      <c r="H5" s="843"/>
    </row>
    <row r="6" spans="1:8">
      <c r="A6" s="837"/>
      <c r="B6" s="838"/>
      <c r="C6" s="844"/>
      <c r="D6" s="845"/>
      <c r="E6" s="845"/>
      <c r="F6" s="845"/>
      <c r="G6" s="845"/>
      <c r="H6" s="846"/>
    </row>
    <row r="7" spans="1:8" ht="24">
      <c r="A7" s="839"/>
      <c r="B7" s="840"/>
      <c r="C7" s="440" t="s">
        <v>466</v>
      </c>
      <c r="D7" s="440" t="s">
        <v>467</v>
      </c>
      <c r="E7" s="440" t="s">
        <v>468</v>
      </c>
      <c r="F7" s="440" t="s">
        <v>469</v>
      </c>
      <c r="G7" s="440" t="s">
        <v>649</v>
      </c>
      <c r="H7" s="440" t="s">
        <v>67</v>
      </c>
    </row>
    <row r="8" spans="1:8">
      <c r="A8" s="436">
        <v>1</v>
      </c>
      <c r="B8" s="435" t="s">
        <v>124</v>
      </c>
      <c r="C8" s="690">
        <v>266997865.86805001</v>
      </c>
      <c r="D8" s="690">
        <v>83566490.371601999</v>
      </c>
      <c r="E8" s="690">
        <v>19745284.2733333</v>
      </c>
      <c r="F8" s="690">
        <v>0</v>
      </c>
      <c r="G8" s="690">
        <v>0</v>
      </c>
      <c r="H8" s="690">
        <f t="shared" ref="H8:H20" si="0">SUM(C8:G8)</f>
        <v>370309640.51298535</v>
      </c>
    </row>
    <row r="9" spans="1:8">
      <c r="A9" s="436">
        <v>2</v>
      </c>
      <c r="B9" s="435" t="s">
        <v>125</v>
      </c>
      <c r="C9" s="690">
        <v>0</v>
      </c>
      <c r="D9" s="690">
        <v>0</v>
      </c>
      <c r="E9" s="690">
        <v>0</v>
      </c>
      <c r="F9" s="690">
        <v>0</v>
      </c>
      <c r="G9" s="690">
        <v>0</v>
      </c>
      <c r="H9" s="690">
        <f t="shared" si="0"/>
        <v>0</v>
      </c>
    </row>
    <row r="10" spans="1:8">
      <c r="A10" s="436">
        <v>3</v>
      </c>
      <c r="B10" s="435" t="s">
        <v>126</v>
      </c>
      <c r="C10" s="690">
        <v>0</v>
      </c>
      <c r="D10" s="690">
        <v>0</v>
      </c>
      <c r="E10" s="690">
        <v>0</v>
      </c>
      <c r="F10" s="690">
        <v>0</v>
      </c>
      <c r="G10" s="690">
        <v>0</v>
      </c>
      <c r="H10" s="690">
        <f t="shared" si="0"/>
        <v>0</v>
      </c>
    </row>
    <row r="11" spans="1:8">
      <c r="A11" s="436">
        <v>4</v>
      </c>
      <c r="B11" s="435" t="s">
        <v>127</v>
      </c>
      <c r="C11" s="690">
        <v>0</v>
      </c>
      <c r="D11" s="690">
        <v>0</v>
      </c>
      <c r="E11" s="690">
        <v>0</v>
      </c>
      <c r="F11" s="690">
        <v>0</v>
      </c>
      <c r="G11" s="690">
        <v>0</v>
      </c>
      <c r="H11" s="690">
        <f t="shared" si="0"/>
        <v>0</v>
      </c>
    </row>
    <row r="12" spans="1:8">
      <c r="A12" s="436">
        <v>5</v>
      </c>
      <c r="B12" s="435" t="s">
        <v>912</v>
      </c>
      <c r="C12" s="690">
        <v>0</v>
      </c>
      <c r="D12" s="690">
        <v>0</v>
      </c>
      <c r="E12" s="690">
        <v>0</v>
      </c>
      <c r="F12" s="690">
        <v>0</v>
      </c>
      <c r="G12" s="690">
        <v>0</v>
      </c>
      <c r="H12" s="690">
        <f t="shared" si="0"/>
        <v>0</v>
      </c>
    </row>
    <row r="13" spans="1:8">
      <c r="A13" s="436">
        <v>6</v>
      </c>
      <c r="B13" s="435" t="s">
        <v>128</v>
      </c>
      <c r="C13" s="690">
        <v>89245242.342709795</v>
      </c>
      <c r="D13" s="690">
        <v>0</v>
      </c>
      <c r="E13" s="690">
        <v>0</v>
      </c>
      <c r="F13" s="690">
        <v>0</v>
      </c>
      <c r="G13" s="690">
        <v>0</v>
      </c>
      <c r="H13" s="690">
        <f t="shared" si="0"/>
        <v>89245242.342709795</v>
      </c>
    </row>
    <row r="14" spans="1:8">
      <c r="A14" s="436">
        <v>7</v>
      </c>
      <c r="B14" s="435" t="s">
        <v>72</v>
      </c>
      <c r="C14" s="690">
        <v>0</v>
      </c>
      <c r="D14" s="690">
        <v>13469958.697103925</v>
      </c>
      <c r="E14" s="690">
        <v>20239362.471778169</v>
      </c>
      <c r="F14" s="690">
        <v>47772664.129613094</v>
      </c>
      <c r="G14" s="690"/>
      <c r="H14" s="690">
        <f t="shared" si="0"/>
        <v>81481985.298495188</v>
      </c>
    </row>
    <row r="15" spans="1:8">
      <c r="A15" s="436">
        <v>8</v>
      </c>
      <c r="B15" s="437" t="s">
        <v>73</v>
      </c>
      <c r="C15" s="690">
        <v>489513.5504801218</v>
      </c>
      <c r="D15" s="690">
        <v>401878198.64031023</v>
      </c>
      <c r="E15" s="690">
        <v>1509230270.6890984</v>
      </c>
      <c r="F15" s="690">
        <v>566975646.51176345</v>
      </c>
      <c r="G15" s="690"/>
      <c r="H15" s="690">
        <f t="shared" si="0"/>
        <v>2478573629.3916521</v>
      </c>
    </row>
    <row r="16" spans="1:8">
      <c r="A16" s="436">
        <v>9</v>
      </c>
      <c r="B16" s="435" t="s">
        <v>913</v>
      </c>
      <c r="C16" s="690">
        <v>26.444231947295659</v>
      </c>
      <c r="D16" s="690">
        <v>2054349.9905737985</v>
      </c>
      <c r="E16" s="690">
        <v>37220770.581419863</v>
      </c>
      <c r="F16" s="690">
        <v>109042122.66427988</v>
      </c>
      <c r="G16" s="690"/>
      <c r="H16" s="690">
        <f t="shared" si="0"/>
        <v>148317269.68050548</v>
      </c>
    </row>
    <row r="17" spans="1:8">
      <c r="A17" s="436">
        <v>10</v>
      </c>
      <c r="B17" s="439" t="s">
        <v>484</v>
      </c>
      <c r="C17" s="690">
        <v>147896.39097533945</v>
      </c>
      <c r="D17" s="690">
        <v>1038309.1184761515</v>
      </c>
      <c r="E17" s="690">
        <v>2982394.6192646809</v>
      </c>
      <c r="F17" s="690">
        <v>1174660.2597054006</v>
      </c>
      <c r="G17" s="690"/>
      <c r="H17" s="690">
        <f t="shared" si="0"/>
        <v>5343260.3884215727</v>
      </c>
    </row>
    <row r="18" spans="1:8">
      <c r="A18" s="436">
        <v>11</v>
      </c>
      <c r="B18" s="435" t="s">
        <v>69</v>
      </c>
      <c r="C18" s="690">
        <v>0</v>
      </c>
      <c r="D18" s="690">
        <v>0</v>
      </c>
      <c r="E18" s="690">
        <v>0</v>
      </c>
      <c r="F18" s="690">
        <v>0</v>
      </c>
      <c r="G18" s="690">
        <v>0</v>
      </c>
      <c r="H18" s="690">
        <f t="shared" si="0"/>
        <v>0</v>
      </c>
    </row>
    <row r="19" spans="1:8">
      <c r="A19" s="436">
        <v>12</v>
      </c>
      <c r="B19" s="435" t="s">
        <v>70</v>
      </c>
      <c r="C19" s="690">
        <v>0</v>
      </c>
      <c r="D19" s="690">
        <v>0</v>
      </c>
      <c r="E19" s="690">
        <v>0</v>
      </c>
      <c r="F19" s="690">
        <v>0</v>
      </c>
      <c r="G19" s="690">
        <v>0</v>
      </c>
      <c r="H19" s="690">
        <f t="shared" si="0"/>
        <v>0</v>
      </c>
    </row>
    <row r="20" spans="1:8">
      <c r="A20" s="438">
        <v>13</v>
      </c>
      <c r="B20" s="437" t="s">
        <v>71</v>
      </c>
      <c r="C20" s="690">
        <v>0</v>
      </c>
      <c r="D20" s="690">
        <v>0</v>
      </c>
      <c r="E20" s="690">
        <v>0</v>
      </c>
      <c r="F20" s="690">
        <v>0</v>
      </c>
      <c r="G20" s="690">
        <v>0</v>
      </c>
      <c r="H20" s="690">
        <f t="shared" si="0"/>
        <v>0</v>
      </c>
    </row>
    <row r="21" spans="1:8">
      <c r="A21" s="436">
        <v>14</v>
      </c>
      <c r="B21" s="435" t="s">
        <v>470</v>
      </c>
      <c r="C21" s="690">
        <v>104906069.83</v>
      </c>
      <c r="D21" s="690">
        <v>34657176</v>
      </c>
      <c r="E21" s="690">
        <v>28230767.030000001</v>
      </c>
      <c r="F21" s="690">
        <v>0</v>
      </c>
      <c r="G21" s="690">
        <v>55821948.839999959</v>
      </c>
      <c r="H21" s="690">
        <f>SUM(C21:G21)</f>
        <v>223615961.69999993</v>
      </c>
    </row>
    <row r="22" spans="1:8">
      <c r="A22" s="434">
        <v>15</v>
      </c>
      <c r="B22" s="433" t="s">
        <v>67</v>
      </c>
      <c r="C22" s="690">
        <f>SUM(C18:C21)+SUM(C8:C16)</f>
        <v>461638718.03547186</v>
      </c>
      <c r="D22" s="690">
        <f t="shared" ref="D22:H22" si="1">SUM(D18:D21)+SUM(D8:D16)</f>
        <v>535626173.69958997</v>
      </c>
      <c r="E22" s="690">
        <f t="shared" si="1"/>
        <v>1614666455.0456297</v>
      </c>
      <c r="F22" s="690">
        <f t="shared" si="1"/>
        <v>723790433.30565643</v>
      </c>
      <c r="G22" s="690">
        <f t="shared" si="1"/>
        <v>55821948.839999959</v>
      </c>
      <c r="H22" s="690">
        <f t="shared" si="1"/>
        <v>3391543728.9263473</v>
      </c>
    </row>
    <row r="26" spans="1:8" ht="36">
      <c r="B26" s="344" t="s">
        <v>648</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C22" sqref="C22:G23"/>
    </sheetView>
  </sheetViews>
  <sheetFormatPr defaultColWidth="9.21875" defaultRowHeight="12"/>
  <cols>
    <col min="1" max="1" width="11.77734375" style="330" bestFit="1" customWidth="1"/>
    <col min="2" max="2" width="86.77734375" style="327" customWidth="1"/>
    <col min="3" max="4" width="31.5546875" style="327" customWidth="1"/>
    <col min="5" max="5" width="16.44140625" style="327" bestFit="1" customWidth="1"/>
    <col min="6" max="6" width="14.21875" style="327" bestFit="1" customWidth="1"/>
    <col min="7" max="7" width="20" style="327" bestFit="1" customWidth="1"/>
    <col min="8" max="8" width="25.21875" style="327" bestFit="1" customWidth="1"/>
    <col min="9" max="16384" width="9.21875" style="327"/>
  </cols>
  <sheetData>
    <row r="1" spans="1:8" ht="13.8">
      <c r="A1" s="326" t="s">
        <v>98</v>
      </c>
      <c r="B1" s="247" t="str">
        <f>Info!C2</f>
        <v>სს "კრედო ბანკი"</v>
      </c>
      <c r="C1" s="451"/>
      <c r="D1" s="451"/>
      <c r="E1" s="451"/>
      <c r="F1" s="451"/>
      <c r="G1" s="451"/>
      <c r="H1" s="451"/>
    </row>
    <row r="2" spans="1:8">
      <c r="A2" s="326" t="s">
        <v>99</v>
      </c>
      <c r="B2" s="329">
        <f>'1. key ratios'!B2</f>
        <v>45838</v>
      </c>
      <c r="C2" s="451"/>
      <c r="D2" s="451"/>
      <c r="E2" s="451"/>
      <c r="F2" s="451"/>
      <c r="G2" s="451"/>
      <c r="H2" s="451"/>
    </row>
    <row r="3" spans="1:8">
      <c r="A3" s="328" t="s">
        <v>471</v>
      </c>
      <c r="B3" s="451"/>
      <c r="C3" s="451"/>
      <c r="D3" s="451"/>
      <c r="E3" s="451"/>
      <c r="F3" s="451"/>
      <c r="G3" s="451"/>
      <c r="H3" s="451"/>
    </row>
    <row r="4" spans="1:8">
      <c r="A4" s="452"/>
      <c r="B4" s="451"/>
      <c r="C4" s="450" t="s">
        <v>472</v>
      </c>
      <c r="D4" s="450" t="s">
        <v>473</v>
      </c>
      <c r="E4" s="450" t="s">
        <v>474</v>
      </c>
      <c r="F4" s="450" t="s">
        <v>475</v>
      </c>
      <c r="G4" s="450" t="s">
        <v>476</v>
      </c>
      <c r="H4" s="450" t="s">
        <v>477</v>
      </c>
    </row>
    <row r="5" spans="1:8" ht="34.049999999999997" customHeight="1">
      <c r="A5" s="835" t="s">
        <v>836</v>
      </c>
      <c r="B5" s="836"/>
      <c r="C5" s="849" t="s">
        <v>566</v>
      </c>
      <c r="D5" s="849"/>
      <c r="E5" s="849" t="s">
        <v>835</v>
      </c>
      <c r="F5" s="847" t="s">
        <v>834</v>
      </c>
      <c r="G5" s="847" t="s">
        <v>481</v>
      </c>
      <c r="H5" s="448" t="s">
        <v>833</v>
      </c>
    </row>
    <row r="6" spans="1:8" ht="24">
      <c r="A6" s="839"/>
      <c r="B6" s="840"/>
      <c r="C6" s="449" t="s">
        <v>482</v>
      </c>
      <c r="D6" s="449" t="s">
        <v>483</v>
      </c>
      <c r="E6" s="849"/>
      <c r="F6" s="848"/>
      <c r="G6" s="848"/>
      <c r="H6" s="448" t="s">
        <v>832</v>
      </c>
    </row>
    <row r="7" spans="1:8">
      <c r="A7" s="446">
        <v>1</v>
      </c>
      <c r="B7" s="435" t="s">
        <v>124</v>
      </c>
      <c r="C7" s="691"/>
      <c r="D7" s="691">
        <v>370448002.10999995</v>
      </c>
      <c r="E7" s="691">
        <v>138361.51066450126</v>
      </c>
      <c r="F7" s="691"/>
      <c r="G7" s="691"/>
      <c r="H7" s="692">
        <f t="shared" ref="H7:H20" si="0">C7+D7-E7-F7</f>
        <v>370309640.59933543</v>
      </c>
    </row>
    <row r="8" spans="1:8" ht="14.55" customHeight="1">
      <c r="A8" s="446">
        <v>2</v>
      </c>
      <c r="B8" s="435" t="s">
        <v>125</v>
      </c>
      <c r="C8" s="691"/>
      <c r="D8" s="691">
        <v>0</v>
      </c>
      <c r="E8" s="691"/>
      <c r="F8" s="691"/>
      <c r="G8" s="691"/>
      <c r="H8" s="692">
        <f t="shared" si="0"/>
        <v>0</v>
      </c>
    </row>
    <row r="9" spans="1:8">
      <c r="A9" s="446">
        <v>3</v>
      </c>
      <c r="B9" s="435" t="s">
        <v>126</v>
      </c>
      <c r="C9" s="691"/>
      <c r="D9" s="691">
        <v>0</v>
      </c>
      <c r="E9" s="691"/>
      <c r="F9" s="691"/>
      <c r="G9" s="691"/>
      <c r="H9" s="692">
        <f t="shared" si="0"/>
        <v>0</v>
      </c>
    </row>
    <row r="10" spans="1:8">
      <c r="A10" s="446">
        <v>4</v>
      </c>
      <c r="B10" s="435" t="s">
        <v>127</v>
      </c>
      <c r="C10" s="691"/>
      <c r="D10" s="691">
        <v>0</v>
      </c>
      <c r="E10" s="691"/>
      <c r="F10" s="691"/>
      <c r="G10" s="691"/>
      <c r="H10" s="692">
        <f t="shared" si="0"/>
        <v>0</v>
      </c>
    </row>
    <row r="11" spans="1:8">
      <c r="A11" s="446">
        <v>5</v>
      </c>
      <c r="B11" s="435" t="s">
        <v>912</v>
      </c>
      <c r="C11" s="691"/>
      <c r="D11" s="691">
        <v>0</v>
      </c>
      <c r="E11" s="691"/>
      <c r="F11" s="691"/>
      <c r="G11" s="691"/>
      <c r="H11" s="692">
        <f t="shared" si="0"/>
        <v>0</v>
      </c>
    </row>
    <row r="12" spans="1:8">
      <c r="A12" s="446">
        <v>6</v>
      </c>
      <c r="B12" s="435" t="s">
        <v>128</v>
      </c>
      <c r="C12" s="691"/>
      <c r="D12" s="691">
        <v>89254906.810000002</v>
      </c>
      <c r="E12" s="691">
        <v>9663.781196229349</v>
      </c>
      <c r="F12" s="691"/>
      <c r="G12" s="691"/>
      <c r="H12" s="692">
        <f t="shared" si="0"/>
        <v>89245243.028803766</v>
      </c>
    </row>
    <row r="13" spans="1:8">
      <c r="A13" s="446">
        <v>7</v>
      </c>
      <c r="B13" s="435" t="s">
        <v>72</v>
      </c>
      <c r="C13" s="691">
        <v>0</v>
      </c>
      <c r="D13" s="691">
        <v>81684333.709898293</v>
      </c>
      <c r="E13" s="691">
        <v>202348.41140310498</v>
      </c>
      <c r="F13" s="691"/>
      <c r="G13" s="691">
        <v>4580.3502499999995</v>
      </c>
      <c r="H13" s="692">
        <f t="shared" si="0"/>
        <v>81481985.298495188</v>
      </c>
    </row>
    <row r="14" spans="1:8">
      <c r="A14" s="446">
        <v>8</v>
      </c>
      <c r="B14" s="437" t="s">
        <v>73</v>
      </c>
      <c r="C14" s="691">
        <v>26261819.334478382</v>
      </c>
      <c r="D14" s="691">
        <v>2518202461.0295143</v>
      </c>
      <c r="E14" s="691">
        <v>65890650.972249866</v>
      </c>
      <c r="F14" s="691"/>
      <c r="G14" s="691">
        <v>19318353.121348593</v>
      </c>
      <c r="H14" s="692">
        <f t="shared" si="0"/>
        <v>2478573629.3917427</v>
      </c>
    </row>
    <row r="15" spans="1:8">
      <c r="A15" s="446">
        <v>9</v>
      </c>
      <c r="B15" s="435" t="s">
        <v>913</v>
      </c>
      <c r="C15" s="691">
        <v>468524.16972217837</v>
      </c>
      <c r="D15" s="691">
        <v>148976448.95843667</v>
      </c>
      <c r="E15" s="691">
        <v>1127703.4476533844</v>
      </c>
      <c r="F15" s="691"/>
      <c r="G15" s="691">
        <v>273524.54996400012</v>
      </c>
      <c r="H15" s="692">
        <f t="shared" si="0"/>
        <v>148317269.68050545</v>
      </c>
    </row>
    <row r="16" spans="1:8">
      <c r="A16" s="446">
        <v>10</v>
      </c>
      <c r="B16" s="439" t="s">
        <v>484</v>
      </c>
      <c r="C16" s="691">
        <v>26689903.316677194</v>
      </c>
      <c r="D16" s="691">
        <v>0</v>
      </c>
      <c r="E16" s="691">
        <v>21346642.92825561</v>
      </c>
      <c r="F16" s="691"/>
      <c r="G16" s="691">
        <v>19596458.021562591</v>
      </c>
      <c r="H16" s="692">
        <f t="shared" si="0"/>
        <v>5343260.3884215839</v>
      </c>
    </row>
    <row r="17" spans="1:8">
      <c r="A17" s="446">
        <v>11</v>
      </c>
      <c r="B17" s="435" t="s">
        <v>69</v>
      </c>
      <c r="C17" s="691"/>
      <c r="D17" s="691"/>
      <c r="E17" s="691"/>
      <c r="F17" s="691"/>
      <c r="G17" s="691"/>
      <c r="H17" s="692">
        <f t="shared" si="0"/>
        <v>0</v>
      </c>
    </row>
    <row r="18" spans="1:8">
      <c r="A18" s="446">
        <v>12</v>
      </c>
      <c r="B18" s="435" t="s">
        <v>70</v>
      </c>
      <c r="C18" s="691"/>
      <c r="D18" s="691"/>
      <c r="E18" s="691"/>
      <c r="F18" s="691"/>
      <c r="G18" s="691"/>
      <c r="H18" s="692">
        <f t="shared" si="0"/>
        <v>0</v>
      </c>
    </row>
    <row r="19" spans="1:8">
      <c r="A19" s="447">
        <v>13</v>
      </c>
      <c r="B19" s="437" t="s">
        <v>71</v>
      </c>
      <c r="C19" s="691"/>
      <c r="D19" s="691"/>
      <c r="E19" s="691"/>
      <c r="F19" s="691"/>
      <c r="G19" s="691"/>
      <c r="H19" s="692">
        <f t="shared" si="0"/>
        <v>0</v>
      </c>
    </row>
    <row r="20" spans="1:8">
      <c r="A20" s="446">
        <v>14</v>
      </c>
      <c r="B20" s="435" t="s">
        <v>470</v>
      </c>
      <c r="C20" s="691"/>
      <c r="D20" s="691">
        <v>264107354.89813888</v>
      </c>
      <c r="E20" s="691">
        <v>7227916.2381392699</v>
      </c>
      <c r="F20" s="691"/>
      <c r="G20" s="691"/>
      <c r="H20" s="692">
        <f t="shared" si="0"/>
        <v>256879438.65999961</v>
      </c>
    </row>
    <row r="21" spans="1:8" s="331" customFormat="1">
      <c r="A21" s="445">
        <v>15</v>
      </c>
      <c r="B21" s="444" t="s">
        <v>67</v>
      </c>
      <c r="C21" s="693">
        <f t="shared" ref="C21:H21" si="1">SUM(C7:C15)+SUM(C17:C20)</f>
        <v>26730343.504200559</v>
      </c>
      <c r="D21" s="693">
        <f t="shared" si="1"/>
        <v>3472673507.5159879</v>
      </c>
      <c r="E21" s="693">
        <f t="shared" si="1"/>
        <v>74596644.361306354</v>
      </c>
      <c r="F21" s="693">
        <f t="shared" si="1"/>
        <v>0</v>
      </c>
      <c r="G21" s="693">
        <f t="shared" si="1"/>
        <v>19596458.021562591</v>
      </c>
      <c r="H21" s="692">
        <f t="shared" si="1"/>
        <v>3424807206.6588821</v>
      </c>
    </row>
    <row r="22" spans="1:8">
      <c r="A22" s="443">
        <v>16</v>
      </c>
      <c r="B22" s="442" t="s">
        <v>485</v>
      </c>
      <c r="C22" s="691">
        <v>26730343.504200559</v>
      </c>
      <c r="D22" s="691">
        <v>2748863243.6978493</v>
      </c>
      <c r="E22" s="691">
        <v>67220702.831306353</v>
      </c>
      <c r="F22" s="691"/>
      <c r="G22" s="691">
        <v>19596458.021562591</v>
      </c>
      <c r="H22" s="692">
        <f>C22+D22-E22-F22</f>
        <v>2708372884.3707433</v>
      </c>
    </row>
    <row r="23" spans="1:8">
      <c r="A23" s="443">
        <v>17</v>
      </c>
      <c r="B23" s="442" t="s">
        <v>486</v>
      </c>
      <c r="C23" s="691"/>
      <c r="D23" s="691">
        <v>73377165.689999998</v>
      </c>
      <c r="E23" s="691">
        <v>65098.14</v>
      </c>
      <c r="F23" s="691"/>
      <c r="G23" s="691"/>
      <c r="H23" s="692">
        <f>C23+D23-E23-F23</f>
        <v>73312067.549999997</v>
      </c>
    </row>
    <row r="26" spans="1:8" ht="42.45" customHeight="1">
      <c r="B26" s="344" t="s">
        <v>648</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topLeftCell="A5" zoomScale="80" zoomScaleNormal="80" workbookViewId="0">
      <selection activeCell="C7" sqref="C7:G33"/>
    </sheetView>
  </sheetViews>
  <sheetFormatPr defaultColWidth="9.21875" defaultRowHeight="12"/>
  <cols>
    <col min="1" max="1" width="11" style="327" bestFit="1" customWidth="1"/>
    <col min="2" max="2" width="93.44140625" style="327" customWidth="1"/>
    <col min="3" max="4" width="35" style="327" customWidth="1"/>
    <col min="5" max="7" width="22" style="327" customWidth="1"/>
    <col min="8" max="8" width="42.21875" style="327" bestFit="1" customWidth="1"/>
    <col min="9" max="16384" width="9.21875" style="327"/>
  </cols>
  <sheetData>
    <row r="1" spans="1:8" ht="13.8">
      <c r="A1" s="326" t="s">
        <v>98</v>
      </c>
      <c r="B1" s="247" t="str">
        <f>Info!C2</f>
        <v>სს "კრედო ბანკი"</v>
      </c>
      <c r="C1" s="451"/>
      <c r="D1" s="451"/>
      <c r="E1" s="451"/>
      <c r="F1" s="451"/>
      <c r="G1" s="451"/>
      <c r="H1" s="451"/>
    </row>
    <row r="2" spans="1:8">
      <c r="A2" s="326" t="s">
        <v>99</v>
      </c>
      <c r="B2" s="329">
        <f>'1. key ratios'!B2</f>
        <v>45838</v>
      </c>
      <c r="C2" s="451"/>
      <c r="D2" s="451"/>
      <c r="E2" s="451"/>
      <c r="F2" s="451"/>
      <c r="G2" s="451"/>
      <c r="H2" s="451"/>
    </row>
    <row r="3" spans="1:8">
      <c r="A3" s="328" t="s">
        <v>487</v>
      </c>
      <c r="B3" s="451"/>
      <c r="C3" s="451"/>
      <c r="D3" s="451"/>
      <c r="E3" s="451"/>
      <c r="F3" s="451"/>
      <c r="G3" s="451"/>
      <c r="H3" s="451"/>
    </row>
    <row r="4" spans="1:8">
      <c r="A4" s="451"/>
      <c r="B4" s="451"/>
      <c r="C4" s="450" t="s">
        <v>472</v>
      </c>
      <c r="D4" s="450" t="s">
        <v>473</v>
      </c>
      <c r="E4" s="450" t="s">
        <v>474</v>
      </c>
      <c r="F4" s="450" t="s">
        <v>475</v>
      </c>
      <c r="G4" s="450" t="s">
        <v>476</v>
      </c>
      <c r="H4" s="450" t="s">
        <v>477</v>
      </c>
    </row>
    <row r="5" spans="1:8" ht="41.55" customHeight="1">
      <c r="A5" s="835" t="s">
        <v>838</v>
      </c>
      <c r="B5" s="836"/>
      <c r="C5" s="850" t="s">
        <v>566</v>
      </c>
      <c r="D5" s="851"/>
      <c r="E5" s="847" t="s">
        <v>835</v>
      </c>
      <c r="F5" s="847" t="s">
        <v>834</v>
      </c>
      <c r="G5" s="847" t="s">
        <v>481</v>
      </c>
      <c r="H5" s="448" t="s">
        <v>833</v>
      </c>
    </row>
    <row r="6" spans="1:8" ht="24">
      <c r="A6" s="839"/>
      <c r="B6" s="840"/>
      <c r="C6" s="449" t="s">
        <v>482</v>
      </c>
      <c r="D6" s="449" t="s">
        <v>483</v>
      </c>
      <c r="E6" s="848"/>
      <c r="F6" s="848"/>
      <c r="G6" s="848"/>
      <c r="H6" s="448" t="s">
        <v>832</v>
      </c>
    </row>
    <row r="7" spans="1:8">
      <c r="A7" s="441">
        <v>1</v>
      </c>
      <c r="B7" s="454" t="s">
        <v>488</v>
      </c>
      <c r="C7" s="691">
        <v>89194.76</v>
      </c>
      <c r="D7" s="691">
        <v>394296978.98999995</v>
      </c>
      <c r="E7" s="691">
        <v>529151.26066450123</v>
      </c>
      <c r="F7" s="441"/>
      <c r="G7" s="691">
        <v>54834.002503999982</v>
      </c>
      <c r="H7" s="692">
        <f t="shared" ref="H7:H34" si="0">C7+D7-E7-F7</f>
        <v>393857022.48933542</v>
      </c>
    </row>
    <row r="8" spans="1:8">
      <c r="A8" s="441">
        <v>2</v>
      </c>
      <c r="B8" s="454" t="s">
        <v>489</v>
      </c>
      <c r="C8" s="691">
        <v>24978.83</v>
      </c>
      <c r="D8" s="691">
        <v>106203557.21186075</v>
      </c>
      <c r="E8" s="691">
        <v>230726.14119622938</v>
      </c>
      <c r="F8" s="441"/>
      <c r="G8" s="691">
        <v>40889.96</v>
      </c>
      <c r="H8" s="692">
        <f t="shared" si="0"/>
        <v>105997809.90066451</v>
      </c>
    </row>
    <row r="9" spans="1:8">
      <c r="A9" s="441">
        <v>3</v>
      </c>
      <c r="B9" s="454" t="s">
        <v>837</v>
      </c>
      <c r="C9" s="691">
        <v>70555.820000000007</v>
      </c>
      <c r="D9" s="691">
        <v>7517179.2699999996</v>
      </c>
      <c r="E9" s="691">
        <v>192061.74000000002</v>
      </c>
      <c r="F9" s="441"/>
      <c r="G9" s="691">
        <v>73684.659999999989</v>
      </c>
      <c r="H9" s="692">
        <f t="shared" si="0"/>
        <v>7395673.3499999996</v>
      </c>
    </row>
    <row r="10" spans="1:8">
      <c r="A10" s="441">
        <v>4</v>
      </c>
      <c r="B10" s="454" t="s">
        <v>490</v>
      </c>
      <c r="C10" s="691">
        <v>0</v>
      </c>
      <c r="D10" s="691">
        <v>42209868.480000004</v>
      </c>
      <c r="E10" s="691">
        <v>107159.18000000001</v>
      </c>
      <c r="F10" s="441"/>
      <c r="G10" s="691">
        <v>496.73999999999995</v>
      </c>
      <c r="H10" s="692">
        <f t="shared" si="0"/>
        <v>42102709.300000004</v>
      </c>
    </row>
    <row r="11" spans="1:8">
      <c r="A11" s="441">
        <v>5</v>
      </c>
      <c r="B11" s="454" t="s">
        <v>491</v>
      </c>
      <c r="C11" s="691">
        <v>41714.089999999997</v>
      </c>
      <c r="D11" s="691">
        <v>43858869.699999996</v>
      </c>
      <c r="E11" s="691">
        <v>239292.15999999997</v>
      </c>
      <c r="F11" s="441"/>
      <c r="G11" s="691">
        <v>81112.565816000002</v>
      </c>
      <c r="H11" s="692">
        <f t="shared" si="0"/>
        <v>43661291.630000003</v>
      </c>
    </row>
    <row r="12" spans="1:8">
      <c r="A12" s="441">
        <v>6</v>
      </c>
      <c r="B12" s="454" t="s">
        <v>492</v>
      </c>
      <c r="C12" s="691">
        <v>121816.52</v>
      </c>
      <c r="D12" s="691">
        <v>17352514.850000001</v>
      </c>
      <c r="E12" s="691">
        <v>317361.25</v>
      </c>
      <c r="F12" s="441"/>
      <c r="G12" s="691">
        <v>125588.58999999997</v>
      </c>
      <c r="H12" s="692">
        <f t="shared" si="0"/>
        <v>17156970.120000001</v>
      </c>
    </row>
    <row r="13" spans="1:8">
      <c r="A13" s="441">
        <v>7</v>
      </c>
      <c r="B13" s="454" t="s">
        <v>493</v>
      </c>
      <c r="C13" s="691">
        <v>68886.11</v>
      </c>
      <c r="D13" s="691">
        <v>4559827.88</v>
      </c>
      <c r="E13" s="691">
        <v>164717.85</v>
      </c>
      <c r="F13" s="441"/>
      <c r="G13" s="691">
        <v>26041.920000000006</v>
      </c>
      <c r="H13" s="692">
        <f t="shared" si="0"/>
        <v>4463996.1400000006</v>
      </c>
    </row>
    <row r="14" spans="1:8">
      <c r="A14" s="441">
        <v>8</v>
      </c>
      <c r="B14" s="454" t="s">
        <v>494</v>
      </c>
      <c r="C14" s="691">
        <v>1740509.1199999999</v>
      </c>
      <c r="D14" s="691">
        <v>190958173.41999999</v>
      </c>
      <c r="E14" s="691">
        <v>4148586.74</v>
      </c>
      <c r="F14" s="441"/>
      <c r="G14" s="691">
        <v>1402940.4815869986</v>
      </c>
      <c r="H14" s="692">
        <f t="shared" si="0"/>
        <v>188550095.79999998</v>
      </c>
    </row>
    <row r="15" spans="1:8">
      <c r="A15" s="441">
        <v>9</v>
      </c>
      <c r="B15" s="454" t="s">
        <v>495</v>
      </c>
      <c r="C15" s="691">
        <v>265529.06</v>
      </c>
      <c r="D15" s="691">
        <v>37309392.340000004</v>
      </c>
      <c r="E15" s="691">
        <v>784475.2</v>
      </c>
      <c r="F15" s="441"/>
      <c r="G15" s="691">
        <v>347658.49522399978</v>
      </c>
      <c r="H15" s="692">
        <f t="shared" si="0"/>
        <v>36790446.200000003</v>
      </c>
    </row>
    <row r="16" spans="1:8">
      <c r="A16" s="441">
        <v>10</v>
      </c>
      <c r="B16" s="454" t="s">
        <v>496</v>
      </c>
      <c r="C16" s="691">
        <v>174872.41</v>
      </c>
      <c r="D16" s="691">
        <v>18155284.960000001</v>
      </c>
      <c r="E16" s="691">
        <v>386266.48</v>
      </c>
      <c r="F16" s="441"/>
      <c r="G16" s="691">
        <v>166552.75201800006</v>
      </c>
      <c r="H16" s="692">
        <f t="shared" si="0"/>
        <v>17943890.890000001</v>
      </c>
    </row>
    <row r="17" spans="1:8">
      <c r="A17" s="441">
        <v>11</v>
      </c>
      <c r="B17" s="454" t="s">
        <v>497</v>
      </c>
      <c r="C17" s="691">
        <v>71578.2</v>
      </c>
      <c r="D17" s="691">
        <v>8390033.4399999995</v>
      </c>
      <c r="E17" s="691">
        <v>207156.4</v>
      </c>
      <c r="F17" s="441"/>
      <c r="G17" s="691">
        <v>23309.38</v>
      </c>
      <c r="H17" s="692">
        <f t="shared" si="0"/>
        <v>8254455.2399999984</v>
      </c>
    </row>
    <row r="18" spans="1:8">
      <c r="A18" s="441">
        <v>12</v>
      </c>
      <c r="B18" s="454" t="s">
        <v>498</v>
      </c>
      <c r="C18" s="691">
        <v>1191724.71</v>
      </c>
      <c r="D18" s="691">
        <v>144791695.13999999</v>
      </c>
      <c r="E18" s="691">
        <v>3314138.99</v>
      </c>
      <c r="F18" s="441"/>
      <c r="G18" s="691">
        <v>540280.70166400063</v>
      </c>
      <c r="H18" s="692">
        <f t="shared" si="0"/>
        <v>142669280.85999998</v>
      </c>
    </row>
    <row r="19" spans="1:8">
      <c r="A19" s="441">
        <v>13</v>
      </c>
      <c r="B19" s="454" t="s">
        <v>499</v>
      </c>
      <c r="C19" s="691">
        <v>166922.34</v>
      </c>
      <c r="D19" s="691">
        <v>24131027.290000003</v>
      </c>
      <c r="E19" s="691">
        <v>669309.01</v>
      </c>
      <c r="F19" s="441"/>
      <c r="G19" s="691">
        <v>209538.04565200003</v>
      </c>
      <c r="H19" s="692">
        <f t="shared" si="0"/>
        <v>23628640.620000001</v>
      </c>
    </row>
    <row r="20" spans="1:8">
      <c r="A20" s="441">
        <v>14</v>
      </c>
      <c r="B20" s="454" t="s">
        <v>500</v>
      </c>
      <c r="C20" s="691">
        <v>148163.98000000001</v>
      </c>
      <c r="D20" s="691">
        <v>79895110.930000007</v>
      </c>
      <c r="E20" s="691">
        <v>797523.7</v>
      </c>
      <c r="F20" s="441"/>
      <c r="G20" s="691">
        <v>82966.942956000043</v>
      </c>
      <c r="H20" s="692">
        <f t="shared" si="0"/>
        <v>79245751.210000008</v>
      </c>
    </row>
    <row r="21" spans="1:8">
      <c r="A21" s="441">
        <v>15</v>
      </c>
      <c r="B21" s="454" t="s">
        <v>501</v>
      </c>
      <c r="C21" s="691">
        <v>423492</v>
      </c>
      <c r="D21" s="691">
        <v>55424189.57</v>
      </c>
      <c r="E21" s="691">
        <v>1262126.1200000001</v>
      </c>
      <c r="F21" s="441"/>
      <c r="G21" s="691">
        <v>326878.47031899972</v>
      </c>
      <c r="H21" s="692">
        <f t="shared" si="0"/>
        <v>54585555.450000003</v>
      </c>
    </row>
    <row r="22" spans="1:8">
      <c r="A22" s="441">
        <v>16</v>
      </c>
      <c r="B22" s="454" t="s">
        <v>502</v>
      </c>
      <c r="C22" s="691">
        <v>136130.22</v>
      </c>
      <c r="D22" s="691">
        <v>14318483.470000001</v>
      </c>
      <c r="E22" s="691">
        <v>438623.33999999997</v>
      </c>
      <c r="F22" s="441"/>
      <c r="G22" s="691">
        <v>48219.325625000005</v>
      </c>
      <c r="H22" s="692">
        <f t="shared" si="0"/>
        <v>14015990.350000001</v>
      </c>
    </row>
    <row r="23" spans="1:8">
      <c r="A23" s="441">
        <v>17</v>
      </c>
      <c r="B23" s="454" t="s">
        <v>503</v>
      </c>
      <c r="C23" s="691">
        <v>6276.14</v>
      </c>
      <c r="D23" s="691">
        <v>924221.04</v>
      </c>
      <c r="E23" s="691">
        <v>18860.39</v>
      </c>
      <c r="F23" s="441"/>
      <c r="G23" s="691">
        <v>7785.14</v>
      </c>
      <c r="H23" s="692">
        <f t="shared" si="0"/>
        <v>911636.79</v>
      </c>
    </row>
    <row r="24" spans="1:8">
      <c r="A24" s="441">
        <v>18</v>
      </c>
      <c r="B24" s="454" t="s">
        <v>504</v>
      </c>
      <c r="C24" s="691">
        <v>29836.79</v>
      </c>
      <c r="D24" s="691">
        <v>4354055.2299999995</v>
      </c>
      <c r="E24" s="691">
        <v>97389.65</v>
      </c>
      <c r="F24" s="441"/>
      <c r="G24" s="691">
        <v>20597.109999999986</v>
      </c>
      <c r="H24" s="692">
        <f t="shared" si="0"/>
        <v>4286502.3699999992</v>
      </c>
    </row>
    <row r="25" spans="1:8">
      <c r="A25" s="441">
        <v>19</v>
      </c>
      <c r="B25" s="454" t="s">
        <v>505</v>
      </c>
      <c r="C25" s="691">
        <v>162111.20000000001</v>
      </c>
      <c r="D25" s="691">
        <v>7350902.0500000007</v>
      </c>
      <c r="E25" s="691">
        <v>255061.05</v>
      </c>
      <c r="F25" s="441"/>
      <c r="G25" s="691">
        <v>106882.48999999999</v>
      </c>
      <c r="H25" s="692">
        <f t="shared" si="0"/>
        <v>7257952.2000000011</v>
      </c>
    </row>
    <row r="26" spans="1:8">
      <c r="A26" s="441">
        <v>20</v>
      </c>
      <c r="B26" s="454" t="s">
        <v>506</v>
      </c>
      <c r="C26" s="691">
        <v>75967.399999999994</v>
      </c>
      <c r="D26" s="691">
        <v>20456659.129999999</v>
      </c>
      <c r="E26" s="691">
        <v>245964.52</v>
      </c>
      <c r="F26" s="441"/>
      <c r="G26" s="691">
        <v>23420.079999999998</v>
      </c>
      <c r="H26" s="692">
        <f t="shared" si="0"/>
        <v>20286662.009999998</v>
      </c>
    </row>
    <row r="27" spans="1:8">
      <c r="A27" s="441">
        <v>21</v>
      </c>
      <c r="B27" s="454" t="s">
        <v>507</v>
      </c>
      <c r="C27" s="691">
        <v>10841.02</v>
      </c>
      <c r="D27" s="691">
        <v>2822391.8899999997</v>
      </c>
      <c r="E27" s="691">
        <v>30949.08</v>
      </c>
      <c r="F27" s="441"/>
      <c r="G27" s="691">
        <v>837.52999999999986</v>
      </c>
      <c r="H27" s="692">
        <f t="shared" si="0"/>
        <v>2802283.8299999996</v>
      </c>
    </row>
    <row r="28" spans="1:8">
      <c r="A28" s="441">
        <v>22</v>
      </c>
      <c r="B28" s="454" t="s">
        <v>508</v>
      </c>
      <c r="C28" s="691">
        <v>35314.35</v>
      </c>
      <c r="D28" s="691">
        <v>1325259.3899999999</v>
      </c>
      <c r="E28" s="691">
        <v>39226.71</v>
      </c>
      <c r="F28" s="441"/>
      <c r="G28" s="691">
        <v>12071.300000000001</v>
      </c>
      <c r="H28" s="692">
        <f t="shared" si="0"/>
        <v>1321347.03</v>
      </c>
    </row>
    <row r="29" spans="1:8">
      <c r="A29" s="441">
        <v>23</v>
      </c>
      <c r="B29" s="454" t="s">
        <v>509</v>
      </c>
      <c r="C29" s="691">
        <v>8577829.7800000012</v>
      </c>
      <c r="D29" s="691">
        <v>640219476.45000005</v>
      </c>
      <c r="E29" s="691">
        <v>19320455.530000001</v>
      </c>
      <c r="F29" s="441"/>
      <c r="G29" s="691">
        <v>5107701.6636009933</v>
      </c>
      <c r="H29" s="692">
        <f t="shared" si="0"/>
        <v>629476850.70000005</v>
      </c>
    </row>
    <row r="30" spans="1:8">
      <c r="A30" s="441">
        <v>24</v>
      </c>
      <c r="B30" s="454" t="s">
        <v>510</v>
      </c>
      <c r="C30" s="691">
        <v>8526592.3599999994</v>
      </c>
      <c r="D30" s="691">
        <v>993492185</v>
      </c>
      <c r="E30" s="691">
        <v>24166006.760000002</v>
      </c>
      <c r="F30" s="441"/>
      <c r="G30" s="691">
        <v>7836905.4122379813</v>
      </c>
      <c r="H30" s="692">
        <f t="shared" si="0"/>
        <v>977852770.60000002</v>
      </c>
    </row>
    <row r="31" spans="1:8">
      <c r="A31" s="441">
        <v>25</v>
      </c>
      <c r="B31" s="454" t="s">
        <v>511</v>
      </c>
      <c r="C31" s="691">
        <v>3593285.6799999997</v>
      </c>
      <c r="D31" s="691">
        <v>268690487.41000003</v>
      </c>
      <c r="E31" s="691">
        <v>6999845.6099999994</v>
      </c>
      <c r="F31" s="441"/>
      <c r="G31" s="691">
        <v>2246408.5323586157</v>
      </c>
      <c r="H31" s="692">
        <f t="shared" si="0"/>
        <v>265283927.48000002</v>
      </c>
    </row>
    <row r="32" spans="1:8">
      <c r="A32" s="441">
        <v>26</v>
      </c>
      <c r="B32" s="454" t="s">
        <v>512</v>
      </c>
      <c r="C32" s="691">
        <v>976220.64</v>
      </c>
      <c r="D32" s="691">
        <v>79558328.310000002</v>
      </c>
      <c r="E32" s="691">
        <v>2406293.2599999998</v>
      </c>
      <c r="F32" s="441"/>
      <c r="G32" s="691">
        <v>682855.72999999928</v>
      </c>
      <c r="H32" s="692">
        <f t="shared" si="0"/>
        <v>78128255.689999998</v>
      </c>
    </row>
    <row r="33" spans="1:8">
      <c r="A33" s="441">
        <v>27</v>
      </c>
      <c r="B33" s="441" t="s">
        <v>89</v>
      </c>
      <c r="C33" s="691"/>
      <c r="D33" s="691">
        <v>264107354.89813888</v>
      </c>
      <c r="E33" s="691">
        <v>7227916.2381392699</v>
      </c>
      <c r="F33" s="441"/>
      <c r="G33" s="691"/>
      <c r="H33" s="692">
        <f t="shared" si="0"/>
        <v>256879438.65999961</v>
      </c>
    </row>
    <row r="34" spans="1:8">
      <c r="A34" s="441">
        <v>28</v>
      </c>
      <c r="B34" s="444" t="s">
        <v>67</v>
      </c>
      <c r="C34" s="693">
        <f>SUM(C7:C33)</f>
        <v>26730343.530000001</v>
      </c>
      <c r="D34" s="693">
        <f>SUM(D7:D33)</f>
        <v>3472673507.7399998</v>
      </c>
      <c r="E34" s="693">
        <f>SUM(E7:E33)</f>
        <v>74596644.360000014</v>
      </c>
      <c r="F34" s="693">
        <f>SUM(F7:F33)</f>
        <v>0</v>
      </c>
      <c r="G34" s="693">
        <f>SUM(G7:G33)</f>
        <v>19596458.021562591</v>
      </c>
      <c r="H34" s="712">
        <f t="shared" si="0"/>
        <v>3424807206.9099998</v>
      </c>
    </row>
    <row r="36" spans="1:8">
      <c r="B36" s="332"/>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Normal="100" workbookViewId="0">
      <selection activeCell="C11" sqref="C11:C14"/>
    </sheetView>
  </sheetViews>
  <sheetFormatPr defaultColWidth="9.21875" defaultRowHeight="12"/>
  <cols>
    <col min="1" max="1" width="11.77734375" style="327" bestFit="1" customWidth="1"/>
    <col min="2" max="2" width="108" style="327" bestFit="1" customWidth="1"/>
    <col min="3" max="3" width="35.5546875" style="327" customWidth="1"/>
    <col min="4" max="4" width="38.44140625" style="327" customWidth="1"/>
    <col min="5" max="16384" width="9.21875" style="327"/>
  </cols>
  <sheetData>
    <row r="1" spans="1:4" ht="13.8">
      <c r="A1" s="326" t="s">
        <v>98</v>
      </c>
      <c r="B1" s="247" t="str">
        <f>Info!C2</f>
        <v>სს "კრედო ბანკი"</v>
      </c>
    </row>
    <row r="2" spans="1:4">
      <c r="A2" s="326" t="s">
        <v>99</v>
      </c>
      <c r="B2" s="329">
        <f>'1. key ratios'!B2</f>
        <v>45838</v>
      </c>
    </row>
    <row r="3" spans="1:4">
      <c r="A3" s="328" t="s">
        <v>513</v>
      </c>
    </row>
    <row r="5" spans="1:4">
      <c r="A5" s="852" t="s">
        <v>849</v>
      </c>
      <c r="B5" s="852"/>
      <c r="C5" s="462" t="s">
        <v>532</v>
      </c>
      <c r="D5" s="462" t="s">
        <v>848</v>
      </c>
    </row>
    <row r="6" spans="1:4">
      <c r="A6" s="461">
        <v>1</v>
      </c>
      <c r="B6" s="455" t="s">
        <v>847</v>
      </c>
      <c r="C6" s="713">
        <v>58848085.573526576</v>
      </c>
      <c r="D6" s="713"/>
    </row>
    <row r="7" spans="1:4">
      <c r="A7" s="458">
        <v>2</v>
      </c>
      <c r="B7" s="455" t="s">
        <v>846</v>
      </c>
      <c r="C7" s="714">
        <f>SUM(C8:C9)</f>
        <v>50784066.761552736</v>
      </c>
      <c r="D7" s="713">
        <f>SUM(D8:D9)</f>
        <v>0</v>
      </c>
    </row>
    <row r="8" spans="1:4">
      <c r="A8" s="460">
        <v>2.1</v>
      </c>
      <c r="B8" s="459" t="s">
        <v>845</v>
      </c>
      <c r="C8" s="713">
        <v>5957712.0773427859</v>
      </c>
      <c r="D8" s="713"/>
    </row>
    <row r="9" spans="1:4">
      <c r="A9" s="460">
        <v>2.2000000000000002</v>
      </c>
      <c r="B9" s="459" t="s">
        <v>844</v>
      </c>
      <c r="C9" s="713">
        <v>44826354.68420995</v>
      </c>
      <c r="D9" s="713"/>
    </row>
    <row r="10" spans="1:4">
      <c r="A10" s="461">
        <v>3</v>
      </c>
      <c r="B10" s="455" t="s">
        <v>843</v>
      </c>
      <c r="C10" s="714">
        <f>SUM(C11:C13)</f>
        <v>42425131.220190018</v>
      </c>
      <c r="D10" s="713">
        <f>SUM(D11:D13)</f>
        <v>0</v>
      </c>
    </row>
    <row r="11" spans="1:4">
      <c r="A11" s="460">
        <v>3.1</v>
      </c>
      <c r="B11" s="459" t="s">
        <v>514</v>
      </c>
      <c r="C11" s="713">
        <v>19596464.831563063</v>
      </c>
      <c r="D11" s="713"/>
    </row>
    <row r="12" spans="1:4">
      <c r="A12" s="460">
        <v>3.2</v>
      </c>
      <c r="B12" s="459" t="s">
        <v>842</v>
      </c>
      <c r="C12" s="713">
        <v>8697771.1658448875</v>
      </c>
      <c r="D12" s="713"/>
    </row>
    <row r="13" spans="1:4">
      <c r="A13" s="460">
        <v>3.3</v>
      </c>
      <c r="B13" s="459" t="s">
        <v>841</v>
      </c>
      <c r="C13" s="713">
        <v>14130895.222782068</v>
      </c>
      <c r="D13" s="713"/>
    </row>
    <row r="14" spans="1:4">
      <c r="A14" s="458">
        <v>4</v>
      </c>
      <c r="B14" s="457" t="s">
        <v>840</v>
      </c>
      <c r="C14" s="713">
        <v>13681.724557089041</v>
      </c>
      <c r="D14" s="713"/>
    </row>
    <row r="15" spans="1:4">
      <c r="A15" s="456">
        <v>5</v>
      </c>
      <c r="B15" s="455" t="s">
        <v>839</v>
      </c>
      <c r="C15" s="714">
        <f>C6+C7-C10+C14</f>
        <v>67220702.839446381</v>
      </c>
      <c r="D15" s="714">
        <f>D6+D7-D10+D14</f>
        <v>0</v>
      </c>
    </row>
  </sheetData>
  <mergeCells count="1">
    <mergeCell ref="A5:B5"/>
  </mergeCells>
  <pageMargins left="0.7" right="0.7" top="0.75" bottom="0.75" header="0.3" footer="0.3"/>
  <pageSetup orientation="portrait" horizontalDpi="4294967292" verticalDpi="0" r:id="rId1"/>
  <ignoredErrors>
    <ignoredError sqref="C10"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Normal="100" workbookViewId="0">
      <selection activeCell="C12" sqref="C12:C16"/>
    </sheetView>
  </sheetViews>
  <sheetFormatPr defaultColWidth="9.21875" defaultRowHeight="12"/>
  <cols>
    <col min="1" max="1" width="11.77734375" style="451" bestFit="1" customWidth="1"/>
    <col min="2" max="2" width="128.88671875" style="451" bestFit="1" customWidth="1"/>
    <col min="3" max="3" width="37" style="451" customWidth="1"/>
    <col min="4" max="4" width="50.5546875" style="451" customWidth="1"/>
    <col min="5" max="16384" width="9.21875" style="451"/>
  </cols>
  <sheetData>
    <row r="1" spans="1:4" ht="13.8">
      <c r="A1" s="326" t="s">
        <v>98</v>
      </c>
      <c r="B1" s="247" t="str">
        <f>Info!C2</f>
        <v>სს "კრედო ბანკი"</v>
      </c>
    </row>
    <row r="2" spans="1:4">
      <c r="A2" s="326" t="s">
        <v>99</v>
      </c>
      <c r="B2" s="329">
        <f>'1. key ratios'!B2</f>
        <v>45838</v>
      </c>
    </row>
    <row r="3" spans="1:4">
      <c r="A3" s="328" t="s">
        <v>515</v>
      </c>
    </row>
    <row r="4" spans="1:4">
      <c r="A4" s="328"/>
    </row>
    <row r="5" spans="1:4" ht="15" customHeight="1">
      <c r="A5" s="853" t="s">
        <v>516</v>
      </c>
      <c r="B5" s="854"/>
      <c r="C5" s="857" t="s">
        <v>517</v>
      </c>
      <c r="D5" s="857" t="s">
        <v>518</v>
      </c>
    </row>
    <row r="6" spans="1:4">
      <c r="A6" s="855"/>
      <c r="B6" s="856"/>
      <c r="C6" s="857"/>
      <c r="D6" s="857"/>
    </row>
    <row r="7" spans="1:4">
      <c r="A7" s="444">
        <v>1</v>
      </c>
      <c r="B7" s="444" t="s">
        <v>519</v>
      </c>
      <c r="C7" s="691">
        <v>20033361.167753316</v>
      </c>
      <c r="D7" s="715"/>
    </row>
    <row r="8" spans="1:4">
      <c r="A8" s="441">
        <v>2</v>
      </c>
      <c r="B8" s="441" t="s">
        <v>520</v>
      </c>
      <c r="C8" s="691">
        <v>31362787.794374131</v>
      </c>
      <c r="D8" s="715"/>
    </row>
    <row r="9" spans="1:4">
      <c r="A9" s="441">
        <v>3</v>
      </c>
      <c r="B9" s="465" t="s">
        <v>521</v>
      </c>
      <c r="C9" s="691"/>
      <c r="D9" s="715"/>
    </row>
    <row r="10" spans="1:4">
      <c r="A10" s="441">
        <v>4</v>
      </c>
      <c r="B10" s="441" t="s">
        <v>522</v>
      </c>
      <c r="C10" s="693">
        <f>SUM(C11:C17)</f>
        <v>24665805.447954878</v>
      </c>
      <c r="D10" s="715"/>
    </row>
    <row r="11" spans="1:4">
      <c r="A11" s="441">
        <v>5</v>
      </c>
      <c r="B11" s="464" t="s">
        <v>850</v>
      </c>
      <c r="C11" s="691"/>
      <c r="D11" s="715"/>
    </row>
    <row r="12" spans="1:4">
      <c r="A12" s="441">
        <v>6</v>
      </c>
      <c r="B12" s="464" t="s">
        <v>523</v>
      </c>
      <c r="C12" s="691">
        <v>1236887.44</v>
      </c>
      <c r="D12" s="715"/>
    </row>
    <row r="13" spans="1:4">
      <c r="A13" s="441">
        <v>7</v>
      </c>
      <c r="B13" s="464" t="s">
        <v>526</v>
      </c>
      <c r="C13" s="691">
        <v>19596464.831563063</v>
      </c>
      <c r="D13" s="715"/>
    </row>
    <row r="14" spans="1:4">
      <c r="A14" s="441">
        <v>8</v>
      </c>
      <c r="B14" s="464" t="s">
        <v>524</v>
      </c>
      <c r="C14" s="691"/>
      <c r="D14" s="691"/>
    </row>
    <row r="15" spans="1:4">
      <c r="A15" s="441">
        <v>9</v>
      </c>
      <c r="B15" s="464" t="s">
        <v>525</v>
      </c>
      <c r="C15" s="691"/>
      <c r="D15" s="691"/>
    </row>
    <row r="16" spans="1:4">
      <c r="A16" s="441">
        <v>10</v>
      </c>
      <c r="B16" s="464" t="s">
        <v>527</v>
      </c>
      <c r="C16" s="691">
        <v>3832453.1763918153</v>
      </c>
      <c r="D16" s="691"/>
    </row>
    <row r="17" spans="1:4">
      <c r="A17" s="441">
        <v>11</v>
      </c>
      <c r="B17" s="464" t="s">
        <v>528</v>
      </c>
      <c r="C17" s="691"/>
      <c r="D17" s="715"/>
    </row>
    <row r="18" spans="1:4">
      <c r="A18" s="444">
        <v>12</v>
      </c>
      <c r="B18" s="463" t="s">
        <v>529</v>
      </c>
      <c r="C18" s="693">
        <f>C7+C8+C9-C10</f>
        <v>26730343.514172569</v>
      </c>
      <c r="D18" s="715"/>
    </row>
    <row r="21" spans="1:4">
      <c r="B21" s="326"/>
    </row>
    <row r="22" spans="1:4">
      <c r="B22" s="326"/>
    </row>
    <row r="23" spans="1:4">
      <c r="B23" s="328"/>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30"/>
  <sheetViews>
    <sheetView showGridLines="0" zoomScale="80" zoomScaleNormal="80" workbookViewId="0">
      <selection activeCell="C27" sqref="C27:C28"/>
    </sheetView>
  </sheetViews>
  <sheetFormatPr defaultColWidth="9.21875" defaultRowHeight="12"/>
  <cols>
    <col min="1" max="1" width="11.77734375" style="451" bestFit="1" customWidth="1"/>
    <col min="2" max="2" width="63.88671875" style="451" customWidth="1"/>
    <col min="3" max="3" width="15.5546875" style="451" customWidth="1"/>
    <col min="4" max="18" width="22.21875" style="451" customWidth="1"/>
    <col min="19" max="19" width="23.21875" style="451" bestFit="1" customWidth="1"/>
    <col min="20" max="26" width="22.21875" style="451" customWidth="1"/>
    <col min="27" max="27" width="23.21875" style="451" bestFit="1" customWidth="1"/>
    <col min="28" max="28" width="20" style="451" customWidth="1"/>
    <col min="29" max="16384" width="9.21875" style="451"/>
  </cols>
  <sheetData>
    <row r="1" spans="1:28" ht="13.8">
      <c r="A1" s="326" t="s">
        <v>98</v>
      </c>
      <c r="B1" s="247" t="str">
        <f>Info!C2</f>
        <v>სს "კრედო ბანკი"</v>
      </c>
    </row>
    <row r="2" spans="1:28">
      <c r="A2" s="326" t="s">
        <v>99</v>
      </c>
      <c r="B2" s="329">
        <f>'1. key ratios'!B2</f>
        <v>45838</v>
      </c>
      <c r="C2" s="452"/>
    </row>
    <row r="3" spans="1:28">
      <c r="A3" s="328" t="s">
        <v>530</v>
      </c>
    </row>
    <row r="5" spans="1:28" ht="15" customHeight="1">
      <c r="A5" s="858" t="s">
        <v>863</v>
      </c>
      <c r="B5" s="859"/>
      <c r="C5" s="850" t="s">
        <v>862</v>
      </c>
      <c r="D5" s="864"/>
      <c r="E5" s="864"/>
      <c r="F5" s="864"/>
      <c r="G5" s="864"/>
      <c r="H5" s="864"/>
      <c r="I5" s="864"/>
      <c r="J5" s="864"/>
      <c r="K5" s="864"/>
      <c r="L5" s="864"/>
      <c r="M5" s="864"/>
      <c r="N5" s="864"/>
      <c r="O5" s="864"/>
      <c r="P5" s="864"/>
      <c r="Q5" s="864"/>
      <c r="R5" s="864"/>
      <c r="S5" s="864"/>
      <c r="T5" s="476"/>
      <c r="U5" s="476"/>
      <c r="V5" s="476"/>
      <c r="W5" s="476"/>
      <c r="X5" s="476"/>
      <c r="Y5" s="476"/>
      <c r="Z5" s="476"/>
      <c r="AA5" s="475"/>
      <c r="AB5" s="468"/>
    </row>
    <row r="6" spans="1:28">
      <c r="A6" s="860"/>
      <c r="B6" s="861"/>
      <c r="C6" s="865" t="s">
        <v>67</v>
      </c>
      <c r="D6" s="867" t="s">
        <v>861</v>
      </c>
      <c r="E6" s="867"/>
      <c r="F6" s="867"/>
      <c r="G6" s="867"/>
      <c r="H6" s="868" t="s">
        <v>860</v>
      </c>
      <c r="I6" s="869"/>
      <c r="J6" s="869"/>
      <c r="K6" s="870"/>
      <c r="L6" s="473"/>
      <c r="M6" s="871" t="s">
        <v>859</v>
      </c>
      <c r="N6" s="871"/>
      <c r="O6" s="871"/>
      <c r="P6" s="871"/>
      <c r="Q6" s="871"/>
      <c r="R6" s="871"/>
      <c r="S6" s="848"/>
      <c r="T6" s="474"/>
      <c r="U6" s="851" t="s">
        <v>858</v>
      </c>
      <c r="V6" s="851"/>
      <c r="W6" s="851"/>
      <c r="X6" s="851"/>
      <c r="Y6" s="851"/>
      <c r="Z6" s="851"/>
      <c r="AA6" s="849"/>
      <c r="AB6" s="473"/>
    </row>
    <row r="7" spans="1:28" ht="24">
      <c r="A7" s="862"/>
      <c r="B7" s="863"/>
      <c r="C7" s="866"/>
      <c r="D7" s="472"/>
      <c r="E7" s="448" t="s">
        <v>531</v>
      </c>
      <c r="F7" s="448" t="s">
        <v>856</v>
      </c>
      <c r="G7" s="448" t="s">
        <v>857</v>
      </c>
      <c r="H7" s="471"/>
      <c r="I7" s="448" t="s">
        <v>531</v>
      </c>
      <c r="J7" s="448" t="s">
        <v>856</v>
      </c>
      <c r="K7" s="448" t="s">
        <v>857</v>
      </c>
      <c r="L7" s="470"/>
      <c r="M7" s="448" t="s">
        <v>531</v>
      </c>
      <c r="N7" s="448" t="s">
        <v>856</v>
      </c>
      <c r="O7" s="448" t="s">
        <v>855</v>
      </c>
      <c r="P7" s="448" t="s">
        <v>854</v>
      </c>
      <c r="Q7" s="448" t="s">
        <v>853</v>
      </c>
      <c r="R7" s="448" t="s">
        <v>852</v>
      </c>
      <c r="S7" s="448" t="s">
        <v>851</v>
      </c>
      <c r="T7" s="469"/>
      <c r="U7" s="448" t="s">
        <v>531</v>
      </c>
      <c r="V7" s="448" t="s">
        <v>856</v>
      </c>
      <c r="W7" s="448" t="s">
        <v>855</v>
      </c>
      <c r="X7" s="448" t="s">
        <v>854</v>
      </c>
      <c r="Y7" s="448" t="s">
        <v>853</v>
      </c>
      <c r="Z7" s="448" t="s">
        <v>852</v>
      </c>
      <c r="AA7" s="448" t="s">
        <v>851</v>
      </c>
      <c r="AB7" s="468"/>
    </row>
    <row r="8" spans="1:28">
      <c r="A8" s="467">
        <v>1</v>
      </c>
      <c r="B8" s="444" t="s">
        <v>532</v>
      </c>
      <c r="C8" s="693">
        <f t="shared" ref="C8:L8" si="0">SUM(C9:C14)</f>
        <v>2775593587.2120304</v>
      </c>
      <c r="D8" s="693">
        <f t="shared" si="0"/>
        <v>2637916856.1473289</v>
      </c>
      <c r="E8" s="693">
        <f t="shared" si="0"/>
        <v>16589682.029342528</v>
      </c>
      <c r="F8" s="693">
        <f t="shared" si="0"/>
        <v>0</v>
      </c>
      <c r="G8" s="693">
        <f t="shared" si="0"/>
        <v>0</v>
      </c>
      <c r="H8" s="693">
        <f t="shared" si="0"/>
        <v>110946387.55052938</v>
      </c>
      <c r="I8" s="693">
        <f t="shared" si="0"/>
        <v>6131940.3188931113</v>
      </c>
      <c r="J8" s="693">
        <f t="shared" si="0"/>
        <v>20452347.28234211</v>
      </c>
      <c r="K8" s="693">
        <f t="shared" si="0"/>
        <v>0</v>
      </c>
      <c r="L8" s="693">
        <f t="shared" si="0"/>
        <v>26689903.326677144</v>
      </c>
      <c r="M8" s="693">
        <f t="shared" ref="M8:S8" si="1">SUM(M9:M14)</f>
        <v>543693.07684660796</v>
      </c>
      <c r="N8" s="693">
        <f t="shared" si="1"/>
        <v>1070527.5371640529</v>
      </c>
      <c r="O8" s="693">
        <f t="shared" si="1"/>
        <v>20935695.077774219</v>
      </c>
      <c r="P8" s="693">
        <f t="shared" si="1"/>
        <v>0</v>
      </c>
      <c r="Q8" s="693">
        <f t="shared" si="1"/>
        <v>0</v>
      </c>
      <c r="R8" s="693">
        <f t="shared" si="1"/>
        <v>0</v>
      </c>
      <c r="S8" s="693">
        <f t="shared" si="1"/>
        <v>0</v>
      </c>
      <c r="T8" s="693">
        <f>SUM(T9:T14)</f>
        <v>40440.187495388127</v>
      </c>
      <c r="U8" s="693">
        <f t="shared" ref="U8:AA8" si="2">SUM(U9:U14)</f>
        <v>0</v>
      </c>
      <c r="V8" s="693">
        <f t="shared" si="2"/>
        <v>0</v>
      </c>
      <c r="W8" s="693">
        <f t="shared" si="2"/>
        <v>0</v>
      </c>
      <c r="X8" s="693">
        <f t="shared" si="2"/>
        <v>0</v>
      </c>
      <c r="Y8" s="693">
        <f t="shared" si="2"/>
        <v>0</v>
      </c>
      <c r="Z8" s="693">
        <f t="shared" si="2"/>
        <v>0</v>
      </c>
      <c r="AA8" s="693">
        <f t="shared" si="2"/>
        <v>0</v>
      </c>
    </row>
    <row r="9" spans="1:28">
      <c r="A9" s="441">
        <v>1.1000000000000001</v>
      </c>
      <c r="B9" s="458" t="s">
        <v>533</v>
      </c>
      <c r="C9" s="458"/>
      <c r="D9" s="691"/>
      <c r="E9" s="691"/>
      <c r="F9" s="691"/>
      <c r="G9" s="691"/>
      <c r="H9" s="691"/>
      <c r="I9" s="691"/>
      <c r="J9" s="691"/>
      <c r="K9" s="691"/>
      <c r="L9" s="691"/>
      <c r="M9" s="691"/>
      <c r="N9" s="691"/>
      <c r="O9" s="691"/>
      <c r="P9" s="691"/>
      <c r="Q9" s="691"/>
      <c r="R9" s="691"/>
      <c r="S9" s="691"/>
      <c r="T9" s="691"/>
      <c r="U9" s="691"/>
      <c r="V9" s="691"/>
      <c r="W9" s="691"/>
      <c r="X9" s="691"/>
      <c r="Y9" s="691"/>
      <c r="Z9" s="691"/>
      <c r="AA9" s="691"/>
    </row>
    <row r="10" spans="1:28">
      <c r="A10" s="441">
        <v>1.2</v>
      </c>
      <c r="B10" s="458" t="s">
        <v>534</v>
      </c>
      <c r="C10" s="458"/>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row>
    <row r="11" spans="1:28">
      <c r="A11" s="441">
        <v>1.3</v>
      </c>
      <c r="B11" s="458" t="s">
        <v>535</v>
      </c>
      <c r="C11" s="458"/>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row>
    <row r="12" spans="1:28">
      <c r="A12" s="441">
        <v>1.4</v>
      </c>
      <c r="B12" s="458" t="s">
        <v>536</v>
      </c>
      <c r="C12" s="458"/>
      <c r="D12" s="691"/>
      <c r="E12" s="691"/>
      <c r="F12" s="691"/>
      <c r="G12" s="691"/>
      <c r="H12" s="691"/>
      <c r="I12" s="691"/>
      <c r="J12" s="691"/>
      <c r="K12" s="691"/>
      <c r="L12" s="691"/>
      <c r="M12" s="691"/>
      <c r="N12" s="691"/>
      <c r="O12" s="691"/>
      <c r="P12" s="691"/>
      <c r="Q12" s="691"/>
      <c r="R12" s="691"/>
      <c r="S12" s="691"/>
      <c r="T12" s="691"/>
      <c r="U12" s="691"/>
      <c r="V12" s="691"/>
      <c r="W12" s="691"/>
      <c r="X12" s="691"/>
      <c r="Y12" s="691"/>
      <c r="Z12" s="691"/>
      <c r="AA12" s="691"/>
    </row>
    <row r="13" spans="1:28">
      <c r="A13" s="441">
        <v>1.5</v>
      </c>
      <c r="B13" s="458" t="s">
        <v>537</v>
      </c>
      <c r="C13" s="716">
        <f>D13+H13+L13+T13</f>
        <v>164344247.80593652</v>
      </c>
      <c r="D13" s="691">
        <v>161597857.07797483</v>
      </c>
      <c r="E13" s="691">
        <v>1002071.6070812149</v>
      </c>
      <c r="F13" s="691">
        <v>0</v>
      </c>
      <c r="G13" s="691">
        <v>0</v>
      </c>
      <c r="H13" s="691">
        <v>2634060.0919256783</v>
      </c>
      <c r="I13" s="691">
        <v>138654.46136223499</v>
      </c>
      <c r="J13" s="691">
        <v>950314.32135387918</v>
      </c>
      <c r="K13" s="691">
        <v>0</v>
      </c>
      <c r="L13" s="691">
        <v>112330.63603600609</v>
      </c>
      <c r="M13" s="691">
        <v>0</v>
      </c>
      <c r="N13" s="691">
        <v>0</v>
      </c>
      <c r="O13" s="691">
        <v>112330.63603600609</v>
      </c>
      <c r="P13" s="691">
        <v>0</v>
      </c>
      <c r="Q13" s="691">
        <v>0</v>
      </c>
      <c r="R13" s="691">
        <v>0</v>
      </c>
      <c r="S13" s="691">
        <v>0</v>
      </c>
      <c r="T13" s="691">
        <v>0</v>
      </c>
      <c r="U13" s="691">
        <v>0</v>
      </c>
      <c r="V13" s="691">
        <v>0</v>
      </c>
      <c r="W13" s="691">
        <v>0</v>
      </c>
      <c r="X13" s="691">
        <v>0</v>
      </c>
      <c r="Y13" s="691">
        <v>0</v>
      </c>
      <c r="Z13" s="691">
        <v>0</v>
      </c>
      <c r="AA13" s="691">
        <v>0</v>
      </c>
    </row>
    <row r="14" spans="1:28">
      <c r="A14" s="441">
        <v>1.6</v>
      </c>
      <c r="B14" s="458" t="s">
        <v>538</v>
      </c>
      <c r="C14" s="716">
        <f>D14+H14+L14+T14</f>
        <v>2611249339.4060941</v>
      </c>
      <c r="D14" s="691">
        <v>2476318999.0693541</v>
      </c>
      <c r="E14" s="691">
        <v>15587610.422261313</v>
      </c>
      <c r="F14" s="691">
        <v>0</v>
      </c>
      <c r="G14" s="691">
        <v>0</v>
      </c>
      <c r="H14" s="691">
        <v>108312327.4586037</v>
      </c>
      <c r="I14" s="691">
        <v>5993285.8575308761</v>
      </c>
      <c r="J14" s="691">
        <v>19502032.960988231</v>
      </c>
      <c r="K14" s="691">
        <v>0</v>
      </c>
      <c r="L14" s="691">
        <v>26577572.690641139</v>
      </c>
      <c r="M14" s="691">
        <v>543693.07684660796</v>
      </c>
      <c r="N14" s="691">
        <v>1070527.5371640529</v>
      </c>
      <c r="O14" s="691">
        <v>20823364.441738214</v>
      </c>
      <c r="P14" s="691">
        <v>0</v>
      </c>
      <c r="Q14" s="691">
        <v>0</v>
      </c>
      <c r="R14" s="691">
        <v>0</v>
      </c>
      <c r="S14" s="691">
        <v>0</v>
      </c>
      <c r="T14" s="691">
        <v>40440.187495388127</v>
      </c>
      <c r="U14" s="691">
        <v>0</v>
      </c>
      <c r="V14" s="691">
        <v>0</v>
      </c>
      <c r="W14" s="691">
        <v>0</v>
      </c>
      <c r="X14" s="691">
        <v>0</v>
      </c>
      <c r="Y14" s="691">
        <v>0</v>
      </c>
      <c r="Z14" s="691">
        <v>0</v>
      </c>
      <c r="AA14" s="691">
        <v>0</v>
      </c>
    </row>
    <row r="15" spans="1:28">
      <c r="A15" s="467">
        <v>2</v>
      </c>
      <c r="B15" s="444" t="s">
        <v>539</v>
      </c>
      <c r="C15" s="717">
        <f>D15+H15+L15+T15</f>
        <v>73312067.549999997</v>
      </c>
      <c r="D15" s="718">
        <f>SUM(D16:D21)</f>
        <v>73312067.549999997</v>
      </c>
      <c r="E15" s="691"/>
      <c r="F15" s="691"/>
      <c r="G15" s="691"/>
      <c r="H15" s="691"/>
      <c r="I15" s="691"/>
      <c r="J15" s="691"/>
      <c r="K15" s="691"/>
      <c r="L15" s="691"/>
      <c r="M15" s="691"/>
      <c r="N15" s="691"/>
      <c r="O15" s="691"/>
      <c r="P15" s="691"/>
      <c r="Q15" s="691"/>
      <c r="R15" s="691"/>
      <c r="S15" s="691"/>
      <c r="T15" s="691"/>
      <c r="U15" s="691"/>
      <c r="V15" s="691"/>
      <c r="W15" s="691"/>
      <c r="X15" s="691"/>
      <c r="Y15" s="691"/>
      <c r="Z15" s="691"/>
      <c r="AA15" s="691"/>
    </row>
    <row r="16" spans="1:28">
      <c r="A16" s="441">
        <v>2.1</v>
      </c>
      <c r="B16" s="458" t="s">
        <v>533</v>
      </c>
      <c r="C16" s="717">
        <f>D16+H16+L16+T16</f>
        <v>0</v>
      </c>
      <c r="D16" s="691"/>
      <c r="E16" s="691"/>
      <c r="F16" s="691"/>
      <c r="G16" s="691"/>
      <c r="H16" s="691"/>
      <c r="I16" s="691"/>
      <c r="J16" s="691"/>
      <c r="K16" s="691"/>
      <c r="L16" s="691"/>
      <c r="M16" s="691"/>
      <c r="N16" s="691"/>
      <c r="O16" s="691"/>
      <c r="P16" s="691"/>
      <c r="Q16" s="691"/>
      <c r="R16" s="691"/>
      <c r="S16" s="691"/>
      <c r="T16" s="691"/>
      <c r="U16" s="691"/>
      <c r="V16" s="691"/>
      <c r="W16" s="691"/>
      <c r="X16" s="691"/>
      <c r="Y16" s="691"/>
      <c r="Z16" s="691"/>
      <c r="AA16" s="691"/>
    </row>
    <row r="17" spans="1:27">
      <c r="A17" s="441">
        <v>2.2000000000000002</v>
      </c>
      <c r="B17" s="458" t="s">
        <v>534</v>
      </c>
      <c r="C17" s="458"/>
      <c r="D17" s="691">
        <v>73312067.549999997</v>
      </c>
      <c r="E17" s="441"/>
      <c r="F17" s="441"/>
      <c r="G17" s="441"/>
      <c r="H17" s="441"/>
      <c r="I17" s="441"/>
      <c r="J17" s="441"/>
      <c r="K17" s="441"/>
      <c r="L17" s="441"/>
      <c r="M17" s="441"/>
      <c r="N17" s="441"/>
      <c r="O17" s="441"/>
      <c r="P17" s="441"/>
      <c r="Q17" s="441"/>
      <c r="R17" s="441"/>
      <c r="S17" s="441"/>
      <c r="T17" s="441"/>
      <c r="U17" s="441"/>
      <c r="V17" s="441"/>
      <c r="W17" s="441"/>
      <c r="X17" s="441"/>
      <c r="Y17" s="441"/>
      <c r="Z17" s="441"/>
      <c r="AA17" s="441"/>
    </row>
    <row r="18" spans="1:27">
      <c r="A18" s="441">
        <v>2.2999999999999998</v>
      </c>
      <c r="B18" s="458" t="s">
        <v>535</v>
      </c>
      <c r="C18" s="458"/>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row>
    <row r="19" spans="1:27">
      <c r="A19" s="441">
        <v>2.4</v>
      </c>
      <c r="B19" s="458" t="s">
        <v>536</v>
      </c>
      <c r="C19" s="458"/>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row>
    <row r="20" spans="1:27">
      <c r="A20" s="441">
        <v>2.5</v>
      </c>
      <c r="B20" s="458" t="s">
        <v>537</v>
      </c>
      <c r="C20" s="458"/>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row>
    <row r="21" spans="1:27">
      <c r="A21" s="441">
        <v>2.6</v>
      </c>
      <c r="B21" s="458" t="s">
        <v>538</v>
      </c>
      <c r="C21" s="458"/>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row>
    <row r="22" spans="1:27">
      <c r="A22" s="467">
        <v>3</v>
      </c>
      <c r="B22" s="444" t="s">
        <v>540</v>
      </c>
      <c r="C22" s="718">
        <f>C27+C28</f>
        <v>385274964</v>
      </c>
      <c r="D22" s="444"/>
      <c r="E22" s="466"/>
      <c r="F22" s="466"/>
      <c r="G22" s="466"/>
      <c r="H22" s="444"/>
      <c r="I22" s="466"/>
      <c r="J22" s="466"/>
      <c r="K22" s="466"/>
      <c r="L22" s="444"/>
      <c r="M22" s="466"/>
      <c r="N22" s="466"/>
      <c r="O22" s="466"/>
      <c r="P22" s="466"/>
      <c r="Q22" s="466"/>
      <c r="R22" s="466"/>
      <c r="S22" s="466"/>
      <c r="T22" s="444"/>
      <c r="U22" s="466"/>
      <c r="V22" s="466"/>
      <c r="W22" s="466"/>
      <c r="X22" s="466"/>
      <c r="Y22" s="466"/>
      <c r="Z22" s="466"/>
      <c r="AA22" s="466"/>
    </row>
    <row r="23" spans="1:27">
      <c r="A23" s="441">
        <v>3.1</v>
      </c>
      <c r="B23" s="458" t="s">
        <v>533</v>
      </c>
      <c r="C23" s="458"/>
      <c r="D23" s="444"/>
      <c r="E23" s="466"/>
      <c r="F23" s="466"/>
      <c r="G23" s="466"/>
      <c r="H23" s="444"/>
      <c r="I23" s="466"/>
      <c r="J23" s="466"/>
      <c r="K23" s="466"/>
      <c r="L23" s="444"/>
      <c r="M23" s="466"/>
      <c r="N23" s="466"/>
      <c r="O23" s="466"/>
      <c r="P23" s="466"/>
      <c r="Q23" s="466"/>
      <c r="R23" s="466"/>
      <c r="S23" s="466"/>
      <c r="T23" s="444"/>
      <c r="U23" s="466"/>
      <c r="V23" s="466"/>
      <c r="W23" s="466"/>
      <c r="X23" s="466"/>
      <c r="Y23" s="466"/>
      <c r="Z23" s="466"/>
      <c r="AA23" s="466"/>
    </row>
    <row r="24" spans="1:27">
      <c r="A24" s="441">
        <v>3.2</v>
      </c>
      <c r="B24" s="458" t="s">
        <v>534</v>
      </c>
      <c r="C24" s="458"/>
      <c r="D24" s="444"/>
      <c r="E24" s="466"/>
      <c r="F24" s="466"/>
      <c r="G24" s="466"/>
      <c r="H24" s="444"/>
      <c r="I24" s="466"/>
      <c r="J24" s="466"/>
      <c r="K24" s="466"/>
      <c r="L24" s="444"/>
      <c r="M24" s="466"/>
      <c r="N24" s="466"/>
      <c r="O24" s="466"/>
      <c r="P24" s="466"/>
      <c r="Q24" s="466"/>
      <c r="R24" s="466"/>
      <c r="S24" s="466"/>
      <c r="T24" s="444"/>
      <c r="U24" s="466"/>
      <c r="V24" s="466"/>
      <c r="W24" s="466"/>
      <c r="X24" s="466"/>
      <c r="Y24" s="466"/>
      <c r="Z24" s="466"/>
      <c r="AA24" s="466"/>
    </row>
    <row r="25" spans="1:27">
      <c r="A25" s="441">
        <v>3.3</v>
      </c>
      <c r="B25" s="458" t="s">
        <v>535</v>
      </c>
      <c r="C25" s="458"/>
      <c r="D25" s="444"/>
      <c r="E25" s="466"/>
      <c r="F25" s="466"/>
      <c r="G25" s="466"/>
      <c r="H25" s="444"/>
      <c r="I25" s="466"/>
      <c r="J25" s="466"/>
      <c r="K25" s="466"/>
      <c r="L25" s="444"/>
      <c r="M25" s="466"/>
      <c r="N25" s="466"/>
      <c r="O25" s="466"/>
      <c r="P25" s="466"/>
      <c r="Q25" s="466"/>
      <c r="R25" s="466"/>
      <c r="S25" s="466"/>
      <c r="T25" s="444"/>
      <c r="U25" s="466"/>
      <c r="V25" s="466"/>
      <c r="W25" s="466"/>
      <c r="X25" s="466"/>
      <c r="Y25" s="466"/>
      <c r="Z25" s="466"/>
      <c r="AA25" s="466"/>
    </row>
    <row r="26" spans="1:27">
      <c r="A26" s="441">
        <v>3.4</v>
      </c>
      <c r="B26" s="458" t="s">
        <v>536</v>
      </c>
      <c r="C26" s="458"/>
      <c r="D26" s="444"/>
      <c r="E26" s="466"/>
      <c r="F26" s="466"/>
      <c r="G26" s="466"/>
      <c r="H26" s="444"/>
      <c r="I26" s="466"/>
      <c r="J26" s="466"/>
      <c r="K26" s="466"/>
      <c r="L26" s="444"/>
      <c r="M26" s="466"/>
      <c r="N26" s="466"/>
      <c r="O26" s="466"/>
      <c r="P26" s="466"/>
      <c r="Q26" s="466"/>
      <c r="R26" s="466"/>
      <c r="S26" s="466"/>
      <c r="T26" s="444"/>
      <c r="U26" s="466"/>
      <c r="V26" s="466"/>
      <c r="W26" s="466"/>
      <c r="X26" s="466"/>
      <c r="Y26" s="466"/>
      <c r="Z26" s="466"/>
      <c r="AA26" s="466"/>
    </row>
    <row r="27" spans="1:27">
      <c r="A27" s="441">
        <v>3.5</v>
      </c>
      <c r="B27" s="458" t="s">
        <v>537</v>
      </c>
      <c r="C27" s="719">
        <v>19983011</v>
      </c>
      <c r="D27" s="693">
        <v>19983011</v>
      </c>
      <c r="E27" s="466"/>
      <c r="F27" s="466"/>
      <c r="G27" s="466"/>
      <c r="H27" s="444"/>
      <c r="I27" s="466"/>
      <c r="J27" s="466"/>
      <c r="K27" s="466"/>
      <c r="L27" s="444"/>
      <c r="M27" s="466"/>
      <c r="N27" s="466"/>
      <c r="O27" s="466"/>
      <c r="P27" s="466"/>
      <c r="Q27" s="466"/>
      <c r="R27" s="466"/>
      <c r="S27" s="466"/>
      <c r="T27" s="444"/>
      <c r="U27" s="466"/>
      <c r="V27" s="466"/>
      <c r="W27" s="466"/>
      <c r="X27" s="466"/>
      <c r="Y27" s="466"/>
      <c r="Z27" s="466"/>
      <c r="AA27" s="466"/>
    </row>
    <row r="28" spans="1:27">
      <c r="A28" s="441">
        <v>3.6</v>
      </c>
      <c r="B28" s="458" t="s">
        <v>538</v>
      </c>
      <c r="C28" s="719">
        <v>365291953</v>
      </c>
      <c r="D28" s="693"/>
      <c r="E28" s="466"/>
      <c r="F28" s="466"/>
      <c r="G28" s="466"/>
      <c r="H28" s="444"/>
      <c r="I28" s="466"/>
      <c r="J28" s="466"/>
      <c r="K28" s="466"/>
      <c r="L28" s="444"/>
      <c r="M28" s="466"/>
      <c r="N28" s="466"/>
      <c r="O28" s="466"/>
      <c r="P28" s="466"/>
      <c r="Q28" s="466"/>
      <c r="R28" s="466"/>
      <c r="S28" s="466"/>
      <c r="T28" s="444"/>
      <c r="U28" s="466"/>
      <c r="V28" s="466"/>
      <c r="W28" s="466"/>
      <c r="X28" s="466"/>
      <c r="Y28" s="466"/>
      <c r="Z28" s="466"/>
      <c r="AA28" s="466"/>
    </row>
    <row r="30" spans="1:27">
      <c r="C30" s="76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C8" sqref="C8:AA22"/>
    </sheetView>
  </sheetViews>
  <sheetFormatPr defaultColWidth="9.21875" defaultRowHeight="12"/>
  <cols>
    <col min="1" max="1" width="11.77734375" style="451" bestFit="1" customWidth="1"/>
    <col min="2" max="2" width="90.21875" style="451" bestFit="1" customWidth="1"/>
    <col min="3" max="3" width="20.21875" style="451" customWidth="1"/>
    <col min="4" max="4" width="22.21875" style="451" customWidth="1"/>
    <col min="5" max="7" width="17.109375" style="451" customWidth="1"/>
    <col min="8" max="8" width="22.21875" style="451" customWidth="1"/>
    <col min="9" max="10" width="17.109375" style="451" customWidth="1"/>
    <col min="11" max="27" width="22.21875" style="451" customWidth="1"/>
    <col min="28" max="16384" width="9.21875" style="451"/>
  </cols>
  <sheetData>
    <row r="1" spans="1:27" ht="13.8">
      <c r="A1" s="326" t="s">
        <v>98</v>
      </c>
      <c r="B1" s="247" t="str">
        <f>Info!C2</f>
        <v>სს "კრედო ბანკი"</v>
      </c>
    </row>
    <row r="2" spans="1:27">
      <c r="A2" s="326" t="s">
        <v>99</v>
      </c>
      <c r="B2" s="329">
        <f>'1. key ratios'!B2</f>
        <v>45838</v>
      </c>
    </row>
    <row r="3" spans="1:27">
      <c r="A3" s="328" t="s">
        <v>541</v>
      </c>
      <c r="C3" s="453"/>
    </row>
    <row r="4" spans="1:27" ht="12.6" thickBot="1">
      <c r="A4" s="328"/>
      <c r="B4" s="453"/>
      <c r="C4" s="453"/>
    </row>
    <row r="5" spans="1:27" ht="13.5" customHeight="1">
      <c r="A5" s="876" t="s">
        <v>870</v>
      </c>
      <c r="B5" s="877"/>
      <c r="C5" s="873" t="s">
        <v>542</v>
      </c>
      <c r="D5" s="874"/>
      <c r="E5" s="874"/>
      <c r="F5" s="874"/>
      <c r="G5" s="874"/>
      <c r="H5" s="874"/>
      <c r="I5" s="874"/>
      <c r="J5" s="874"/>
      <c r="K5" s="874"/>
      <c r="L5" s="874"/>
      <c r="M5" s="874"/>
      <c r="N5" s="874"/>
      <c r="O5" s="874"/>
      <c r="P5" s="874"/>
      <c r="Q5" s="874"/>
      <c r="R5" s="874"/>
      <c r="S5" s="874"/>
      <c r="T5" s="874"/>
      <c r="U5" s="874"/>
      <c r="V5" s="874"/>
      <c r="W5" s="874"/>
      <c r="X5" s="874"/>
      <c r="Y5" s="874"/>
      <c r="Z5" s="874"/>
      <c r="AA5" s="875"/>
    </row>
    <row r="6" spans="1:27" ht="12" customHeight="1">
      <c r="A6" s="878"/>
      <c r="B6" s="879"/>
      <c r="C6" s="882" t="s">
        <v>67</v>
      </c>
      <c r="D6" s="847" t="s">
        <v>861</v>
      </c>
      <c r="E6" s="847"/>
      <c r="F6" s="847"/>
      <c r="G6" s="847"/>
      <c r="H6" s="868" t="s">
        <v>860</v>
      </c>
      <c r="I6" s="869"/>
      <c r="J6" s="869"/>
      <c r="K6" s="869"/>
      <c r="L6" s="474"/>
      <c r="M6" s="851" t="s">
        <v>859</v>
      </c>
      <c r="N6" s="851"/>
      <c r="O6" s="851"/>
      <c r="P6" s="851"/>
      <c r="Q6" s="851"/>
      <c r="R6" s="851"/>
      <c r="S6" s="849"/>
      <c r="T6" s="474"/>
      <c r="U6" s="851" t="s">
        <v>858</v>
      </c>
      <c r="V6" s="851"/>
      <c r="W6" s="851"/>
      <c r="X6" s="851"/>
      <c r="Y6" s="851"/>
      <c r="Z6" s="851"/>
      <c r="AA6" s="872"/>
    </row>
    <row r="7" spans="1:27" ht="36">
      <c r="A7" s="880"/>
      <c r="B7" s="881"/>
      <c r="C7" s="883"/>
      <c r="D7" s="472"/>
      <c r="E7" s="448" t="s">
        <v>531</v>
      </c>
      <c r="F7" s="448" t="s">
        <v>856</v>
      </c>
      <c r="G7" s="448" t="s">
        <v>857</v>
      </c>
      <c r="H7" s="452"/>
      <c r="I7" s="448" t="s">
        <v>531</v>
      </c>
      <c r="J7" s="448" t="s">
        <v>856</v>
      </c>
      <c r="K7" s="448" t="s">
        <v>857</v>
      </c>
      <c r="L7" s="469"/>
      <c r="M7" s="448" t="s">
        <v>531</v>
      </c>
      <c r="N7" s="448" t="s">
        <v>869</v>
      </c>
      <c r="O7" s="448" t="s">
        <v>868</v>
      </c>
      <c r="P7" s="448" t="s">
        <v>867</v>
      </c>
      <c r="Q7" s="448" t="s">
        <v>866</v>
      </c>
      <c r="R7" s="448" t="s">
        <v>865</v>
      </c>
      <c r="S7" s="448" t="s">
        <v>851</v>
      </c>
      <c r="T7" s="469"/>
      <c r="U7" s="448" t="s">
        <v>531</v>
      </c>
      <c r="V7" s="448" t="s">
        <v>869</v>
      </c>
      <c r="W7" s="448" t="s">
        <v>868</v>
      </c>
      <c r="X7" s="448" t="s">
        <v>867</v>
      </c>
      <c r="Y7" s="448" t="s">
        <v>866</v>
      </c>
      <c r="Z7" s="448" t="s">
        <v>865</v>
      </c>
      <c r="AA7" s="448" t="s">
        <v>851</v>
      </c>
    </row>
    <row r="8" spans="1:27">
      <c r="A8" s="495">
        <v>1</v>
      </c>
      <c r="B8" s="494" t="s">
        <v>532</v>
      </c>
      <c r="C8" s="724">
        <f>D8+H8+L8+T8</f>
        <v>2775593587.2120032</v>
      </c>
      <c r="D8" s="691">
        <v>2637916856.1473007</v>
      </c>
      <c r="E8" s="691">
        <v>16589682.029342555</v>
      </c>
      <c r="F8" s="691">
        <v>0</v>
      </c>
      <c r="G8" s="691">
        <v>0</v>
      </c>
      <c r="H8" s="691">
        <v>110946387.55053005</v>
      </c>
      <c r="I8" s="691">
        <v>6131940.318893115</v>
      </c>
      <c r="J8" s="691">
        <v>20452347.282342128</v>
      </c>
      <c r="K8" s="691">
        <v>0</v>
      </c>
      <c r="L8" s="691">
        <v>26689903.326677263</v>
      </c>
      <c r="M8" s="691">
        <v>543693.07684660854</v>
      </c>
      <c r="N8" s="691">
        <v>1070527.5371640532</v>
      </c>
      <c r="O8" s="691">
        <v>20935695.077774312</v>
      </c>
      <c r="P8" s="691">
        <v>0</v>
      </c>
      <c r="Q8" s="691">
        <v>0</v>
      </c>
      <c r="R8" s="691">
        <v>0</v>
      </c>
      <c r="S8" s="691">
        <v>0</v>
      </c>
      <c r="T8" s="691">
        <v>40440.187495388134</v>
      </c>
      <c r="U8" s="691">
        <v>0</v>
      </c>
      <c r="V8" s="691">
        <v>0</v>
      </c>
      <c r="W8" s="691">
        <v>0</v>
      </c>
      <c r="X8" s="691">
        <v>0</v>
      </c>
      <c r="Y8" s="691">
        <v>0</v>
      </c>
      <c r="Z8" s="691">
        <v>0</v>
      </c>
      <c r="AA8" s="725">
        <v>0</v>
      </c>
    </row>
    <row r="9" spans="1:27">
      <c r="A9" s="487">
        <v>1.1000000000000001</v>
      </c>
      <c r="B9" s="493" t="s">
        <v>543</v>
      </c>
      <c r="C9" s="733">
        <f>D9+H9+L9+T9</f>
        <v>1077778704.0025909</v>
      </c>
      <c r="D9" s="691">
        <v>1055832554.6727499</v>
      </c>
      <c r="E9" s="691">
        <v>5732391.7204761365</v>
      </c>
      <c r="F9" s="691">
        <v>0</v>
      </c>
      <c r="G9" s="691">
        <v>0</v>
      </c>
      <c r="H9" s="691">
        <v>17772366.734769955</v>
      </c>
      <c r="I9" s="691">
        <v>604919.91996517079</v>
      </c>
      <c r="J9" s="691">
        <v>3179106.2063253578</v>
      </c>
      <c r="K9" s="691">
        <v>0</v>
      </c>
      <c r="L9" s="691">
        <v>4173782.595071123</v>
      </c>
      <c r="M9" s="691">
        <v>247141.01506741837</v>
      </c>
      <c r="N9" s="691">
        <v>167997.02494152306</v>
      </c>
      <c r="O9" s="691">
        <v>3318847.3814176545</v>
      </c>
      <c r="P9" s="691">
        <v>0</v>
      </c>
      <c r="Q9" s="691">
        <v>0</v>
      </c>
      <c r="R9" s="691">
        <v>0</v>
      </c>
      <c r="S9" s="691">
        <v>0</v>
      </c>
      <c r="T9" s="691">
        <v>0</v>
      </c>
      <c r="U9" s="691">
        <v>0</v>
      </c>
      <c r="V9" s="691">
        <v>0</v>
      </c>
      <c r="W9" s="691">
        <v>0</v>
      </c>
      <c r="X9" s="691">
        <v>0</v>
      </c>
      <c r="Y9" s="691">
        <v>0</v>
      </c>
      <c r="Z9" s="691">
        <v>0</v>
      </c>
      <c r="AA9" s="725">
        <v>0</v>
      </c>
    </row>
    <row r="10" spans="1:27">
      <c r="A10" s="491" t="s">
        <v>147</v>
      </c>
      <c r="B10" s="492" t="s">
        <v>544</v>
      </c>
      <c r="C10" s="734">
        <f>SUM(C11:C14)</f>
        <v>960640604.81663501</v>
      </c>
      <c r="D10" s="734">
        <f t="shared" ref="D10:J10" si="0">SUM(D11:D14)</f>
        <v>944006541.32674158</v>
      </c>
      <c r="E10" s="734">
        <f t="shared" si="0"/>
        <v>4540189.2051537922</v>
      </c>
      <c r="F10" s="734">
        <f t="shared" si="0"/>
        <v>0</v>
      </c>
      <c r="G10" s="734">
        <f t="shared" si="0"/>
        <v>0</v>
      </c>
      <c r="H10" s="734">
        <f t="shared" si="0"/>
        <v>14941394.544224791</v>
      </c>
      <c r="I10" s="734">
        <f t="shared" si="0"/>
        <v>489625.93656611029</v>
      </c>
      <c r="J10" s="734">
        <f t="shared" si="0"/>
        <v>1720118.5434514342</v>
      </c>
      <c r="K10" s="734">
        <f t="shared" ref="K10" si="1">SUM(K11:K14)</f>
        <v>118274.75250504199</v>
      </c>
      <c r="L10" s="734">
        <f t="shared" ref="L10" si="2">SUM(L11:L14)</f>
        <v>1692668.945668699</v>
      </c>
      <c r="M10" s="734">
        <f t="shared" ref="M10" si="3">SUM(M11:M14)</f>
        <v>230610.48928952101</v>
      </c>
      <c r="N10" s="734">
        <f t="shared" ref="N10" si="4">SUM(N11:N14)</f>
        <v>19538.021973236198</v>
      </c>
      <c r="O10" s="734">
        <f t="shared" ref="O10" si="5">SUM(O11:O14)</f>
        <v>1144226.0145377852</v>
      </c>
      <c r="P10" s="734">
        <f t="shared" ref="P10" si="6">SUM(P11:P14)</f>
        <v>0</v>
      </c>
      <c r="Q10" s="734">
        <f t="shared" ref="Q10" si="7">SUM(Q11:Q14)</f>
        <v>0</v>
      </c>
      <c r="R10" s="734">
        <f t="shared" ref="R10" si="8">SUM(R11:R14)</f>
        <v>0</v>
      </c>
      <c r="S10" s="734">
        <f t="shared" ref="S10" si="9">SUM(S11:S14)</f>
        <v>0</v>
      </c>
      <c r="T10" s="734">
        <f t="shared" ref="T10" si="10">SUM(T11:T14)</f>
        <v>0</v>
      </c>
      <c r="U10" s="734">
        <f t="shared" ref="U10" si="11">SUM(U11:U14)</f>
        <v>0</v>
      </c>
      <c r="V10" s="734">
        <f t="shared" ref="V10" si="12">SUM(V11:V14)</f>
        <v>0</v>
      </c>
      <c r="W10" s="734">
        <f t="shared" ref="W10" si="13">SUM(W11:W14)</f>
        <v>0</v>
      </c>
      <c r="X10" s="734">
        <f t="shared" ref="X10" si="14">SUM(X11:X14)</f>
        <v>0</v>
      </c>
      <c r="Y10" s="734">
        <f t="shared" ref="Y10" si="15">SUM(Y11:Y14)</f>
        <v>0</v>
      </c>
      <c r="Z10" s="734">
        <f t="shared" ref="Z10" si="16">SUM(Z11:Z14)</f>
        <v>0</v>
      </c>
      <c r="AA10" s="734">
        <f t="shared" ref="AA10" si="17">SUM(AA11:AA14)</f>
        <v>0</v>
      </c>
    </row>
    <row r="11" spans="1:27">
      <c r="A11" s="489" t="s">
        <v>545</v>
      </c>
      <c r="B11" s="490" t="s">
        <v>546</v>
      </c>
      <c r="C11" s="727">
        <v>558548254.37163198</v>
      </c>
      <c r="D11" s="691">
        <v>552320928.91708982</v>
      </c>
      <c r="E11" s="691">
        <v>3015781.0213068607</v>
      </c>
      <c r="F11" s="691">
        <v>0</v>
      </c>
      <c r="G11" s="691">
        <v>0</v>
      </c>
      <c r="H11" s="691">
        <v>5286103.6068592407</v>
      </c>
      <c r="I11" s="691">
        <v>149523.64843446651</v>
      </c>
      <c r="J11" s="691">
        <v>828517.07615903427</v>
      </c>
      <c r="K11" s="691">
        <v>0</v>
      </c>
      <c r="L11" s="691">
        <v>941221.84768299072</v>
      </c>
      <c r="M11" s="691">
        <v>230610.48928952101</v>
      </c>
      <c r="N11" s="691">
        <v>0</v>
      </c>
      <c r="O11" s="691">
        <v>422191.92749810044</v>
      </c>
      <c r="P11" s="691">
        <v>0</v>
      </c>
      <c r="Q11" s="691">
        <v>0</v>
      </c>
      <c r="R11" s="691">
        <v>0</v>
      </c>
      <c r="S11" s="691">
        <v>0</v>
      </c>
      <c r="T11" s="691">
        <v>0</v>
      </c>
      <c r="U11" s="691">
        <v>0</v>
      </c>
      <c r="V11" s="691">
        <v>0</v>
      </c>
      <c r="W11" s="691">
        <v>0</v>
      </c>
      <c r="X11" s="691">
        <v>0</v>
      </c>
      <c r="Y11" s="691">
        <v>0</v>
      </c>
      <c r="Z11" s="691">
        <v>0</v>
      </c>
      <c r="AA11" s="725">
        <v>0</v>
      </c>
    </row>
    <row r="12" spans="1:27">
      <c r="A12" s="489" t="s">
        <v>547</v>
      </c>
      <c r="B12" s="490" t="s">
        <v>548</v>
      </c>
      <c r="C12" s="727">
        <v>215470633.08463171</v>
      </c>
      <c r="D12" s="691">
        <v>211993771.77796081</v>
      </c>
      <c r="E12" s="691">
        <v>784029.78348625125</v>
      </c>
      <c r="F12" s="691">
        <v>0</v>
      </c>
      <c r="G12" s="691">
        <v>0</v>
      </c>
      <c r="H12" s="691">
        <v>3331280.5469455165</v>
      </c>
      <c r="I12" s="691">
        <v>170246.903557927</v>
      </c>
      <c r="J12" s="691">
        <v>695723.41235851648</v>
      </c>
      <c r="K12" s="691">
        <v>0</v>
      </c>
      <c r="L12" s="691">
        <v>145580.75972538796</v>
      </c>
      <c r="M12" s="691">
        <v>0</v>
      </c>
      <c r="N12" s="691">
        <v>0</v>
      </c>
      <c r="O12" s="691">
        <v>135705.77075260071</v>
      </c>
      <c r="P12" s="691">
        <v>0</v>
      </c>
      <c r="Q12" s="691">
        <v>0</v>
      </c>
      <c r="R12" s="691">
        <v>0</v>
      </c>
      <c r="S12" s="691">
        <v>0</v>
      </c>
      <c r="T12" s="691">
        <v>0</v>
      </c>
      <c r="U12" s="691">
        <v>0</v>
      </c>
      <c r="V12" s="691">
        <v>0</v>
      </c>
      <c r="W12" s="691">
        <v>0</v>
      </c>
      <c r="X12" s="691">
        <v>0</v>
      </c>
      <c r="Y12" s="691">
        <v>0</v>
      </c>
      <c r="Z12" s="691">
        <v>0</v>
      </c>
      <c r="AA12" s="725">
        <v>0</v>
      </c>
    </row>
    <row r="13" spans="1:27">
      <c r="A13" s="489" t="s">
        <v>549</v>
      </c>
      <c r="B13" s="490" t="s">
        <v>550</v>
      </c>
      <c r="C13" s="727">
        <v>93181877.521496311</v>
      </c>
      <c r="D13" s="691">
        <v>90965433.265032575</v>
      </c>
      <c r="E13" s="691">
        <v>377449.30335383769</v>
      </c>
      <c r="F13" s="691">
        <v>0</v>
      </c>
      <c r="G13" s="691">
        <v>0</v>
      </c>
      <c r="H13" s="691">
        <v>1663072.6845279806</v>
      </c>
      <c r="I13" s="691">
        <v>0</v>
      </c>
      <c r="J13" s="691">
        <v>77603.302428841693</v>
      </c>
      <c r="K13" s="691">
        <v>0</v>
      </c>
      <c r="L13" s="691">
        <v>553371.57193576521</v>
      </c>
      <c r="M13" s="691">
        <v>0</v>
      </c>
      <c r="N13" s="691">
        <v>19538.021973236198</v>
      </c>
      <c r="O13" s="691">
        <v>533833.54996252898</v>
      </c>
      <c r="P13" s="691">
        <v>0</v>
      </c>
      <c r="Q13" s="691">
        <v>0</v>
      </c>
      <c r="R13" s="691">
        <v>0</v>
      </c>
      <c r="S13" s="691">
        <v>0</v>
      </c>
      <c r="T13" s="691">
        <v>0</v>
      </c>
      <c r="U13" s="691">
        <v>0</v>
      </c>
      <c r="V13" s="691">
        <v>0</v>
      </c>
      <c r="W13" s="691">
        <v>0</v>
      </c>
      <c r="X13" s="691">
        <v>0</v>
      </c>
      <c r="Y13" s="691">
        <v>0</v>
      </c>
      <c r="Z13" s="691">
        <v>0</v>
      </c>
      <c r="AA13" s="725">
        <v>0</v>
      </c>
    </row>
    <row r="14" spans="1:27">
      <c r="A14" s="489" t="s">
        <v>551</v>
      </c>
      <c r="B14" s="490" t="s">
        <v>552</v>
      </c>
      <c r="C14" s="727">
        <v>93439839.83887507</v>
      </c>
      <c r="D14" s="691">
        <v>88726407.366658464</v>
      </c>
      <c r="E14" s="691">
        <v>362929.09700684267</v>
      </c>
      <c r="F14" s="691">
        <v>0</v>
      </c>
      <c r="G14" s="691">
        <v>0</v>
      </c>
      <c r="H14" s="691">
        <v>4660937.7058920534</v>
      </c>
      <c r="I14" s="691">
        <v>169855.38457371679</v>
      </c>
      <c r="J14" s="691">
        <v>118274.75250504199</v>
      </c>
      <c r="K14" s="691">
        <v>118274.75250504199</v>
      </c>
      <c r="L14" s="691">
        <v>52494.766324555101</v>
      </c>
      <c r="M14" s="691">
        <v>0</v>
      </c>
      <c r="N14" s="691">
        <v>0</v>
      </c>
      <c r="O14" s="691">
        <v>52494.766324555101</v>
      </c>
      <c r="P14" s="691">
        <v>0</v>
      </c>
      <c r="Q14" s="691">
        <v>0</v>
      </c>
      <c r="R14" s="691">
        <v>0</v>
      </c>
      <c r="S14" s="691">
        <v>0</v>
      </c>
      <c r="T14" s="691">
        <v>0</v>
      </c>
      <c r="U14" s="691">
        <v>0</v>
      </c>
      <c r="V14" s="691">
        <v>0</v>
      </c>
      <c r="W14" s="691">
        <v>0</v>
      </c>
      <c r="X14" s="691">
        <v>0</v>
      </c>
      <c r="Y14" s="691">
        <v>0</v>
      </c>
      <c r="Z14" s="691">
        <v>0</v>
      </c>
      <c r="AA14" s="725">
        <v>0</v>
      </c>
    </row>
    <row r="15" spans="1:27">
      <c r="A15" s="488">
        <v>1.2</v>
      </c>
      <c r="B15" s="486" t="s">
        <v>864</v>
      </c>
      <c r="C15" s="726">
        <v>10430445.266319593</v>
      </c>
      <c r="D15" s="691">
        <v>4649623.4333718587</v>
      </c>
      <c r="E15" s="691">
        <v>902982.25001144642</v>
      </c>
      <c r="F15" s="691">
        <v>0</v>
      </c>
      <c r="G15" s="691">
        <v>0</v>
      </c>
      <c r="H15" s="691">
        <v>2945866.902777167</v>
      </c>
      <c r="I15" s="691">
        <v>134308.64726744857</v>
      </c>
      <c r="J15" s="691">
        <v>1241535.0224661608</v>
      </c>
      <c r="K15" s="691">
        <v>0</v>
      </c>
      <c r="L15" s="691">
        <v>2834954.9301705682</v>
      </c>
      <c r="M15" s="691">
        <v>157942.96959932227</v>
      </c>
      <c r="N15" s="691">
        <v>118067.86700069466</v>
      </c>
      <c r="O15" s="691">
        <v>2254257.9525815705</v>
      </c>
      <c r="P15" s="691">
        <v>0</v>
      </c>
      <c r="Q15" s="691">
        <v>0</v>
      </c>
      <c r="R15" s="691">
        <v>0</v>
      </c>
      <c r="S15" s="691">
        <v>0</v>
      </c>
      <c r="T15" s="691">
        <v>0</v>
      </c>
      <c r="U15" s="691">
        <v>0</v>
      </c>
      <c r="V15" s="691">
        <v>0</v>
      </c>
      <c r="W15" s="691">
        <v>0</v>
      </c>
      <c r="X15" s="691">
        <v>0</v>
      </c>
      <c r="Y15" s="691">
        <v>0</v>
      </c>
      <c r="Z15" s="691">
        <v>0</v>
      </c>
      <c r="AA15" s="725">
        <v>0</v>
      </c>
    </row>
    <row r="16" spans="1:27">
      <c r="A16" s="487">
        <v>1.3</v>
      </c>
      <c r="B16" s="486" t="s">
        <v>553</v>
      </c>
      <c r="C16" s="728"/>
      <c r="D16" s="729"/>
      <c r="E16" s="729"/>
      <c r="F16" s="729"/>
      <c r="G16" s="729"/>
      <c r="H16" s="729"/>
      <c r="I16" s="729"/>
      <c r="J16" s="729"/>
      <c r="K16" s="729"/>
      <c r="L16" s="729"/>
      <c r="M16" s="729"/>
      <c r="N16" s="729"/>
      <c r="O16" s="729"/>
      <c r="P16" s="729"/>
      <c r="Q16" s="729"/>
      <c r="R16" s="729"/>
      <c r="S16" s="729"/>
      <c r="T16" s="729"/>
      <c r="U16" s="729"/>
      <c r="V16" s="729"/>
      <c r="W16" s="729"/>
      <c r="X16" s="729"/>
      <c r="Y16" s="729"/>
      <c r="Z16" s="729"/>
      <c r="AA16" s="730"/>
    </row>
    <row r="17" spans="1:27" ht="24">
      <c r="A17" s="483" t="s">
        <v>554</v>
      </c>
      <c r="B17" s="485" t="s">
        <v>555</v>
      </c>
      <c r="C17" s="724">
        <f>D17+H17+L17+T17</f>
        <v>1059816497.7027211</v>
      </c>
      <c r="D17" s="691">
        <v>1038752430.6660709</v>
      </c>
      <c r="E17" s="691">
        <v>5710966.1444347929</v>
      </c>
      <c r="F17" s="691">
        <v>0</v>
      </c>
      <c r="G17" s="691">
        <v>0</v>
      </c>
      <c r="H17" s="691">
        <v>17193888.936029289</v>
      </c>
      <c r="I17" s="691">
        <v>593729.11121153634</v>
      </c>
      <c r="J17" s="691">
        <v>3155138.5223478526</v>
      </c>
      <c r="K17" s="691">
        <v>0</v>
      </c>
      <c r="L17" s="691">
        <v>3870178.1006208519</v>
      </c>
      <c r="M17" s="691">
        <v>247141.01506741837</v>
      </c>
      <c r="N17" s="691">
        <v>167997.02494152306</v>
      </c>
      <c r="O17" s="691">
        <v>3021667.7406747355</v>
      </c>
      <c r="P17" s="691">
        <v>0</v>
      </c>
      <c r="Q17" s="691">
        <v>0</v>
      </c>
      <c r="R17" s="691">
        <v>0</v>
      </c>
      <c r="S17" s="691">
        <v>0</v>
      </c>
      <c r="T17" s="691">
        <v>0</v>
      </c>
      <c r="U17" s="691">
        <v>0</v>
      </c>
      <c r="V17" s="691">
        <v>0</v>
      </c>
      <c r="W17" s="691">
        <v>0</v>
      </c>
      <c r="X17" s="691">
        <v>0</v>
      </c>
      <c r="Y17" s="691">
        <v>0</v>
      </c>
      <c r="Z17" s="691">
        <v>0</v>
      </c>
      <c r="AA17" s="725">
        <v>0</v>
      </c>
    </row>
    <row r="18" spans="1:27" ht="24">
      <c r="A18" s="481" t="s">
        <v>556</v>
      </c>
      <c r="B18" s="482" t="s">
        <v>557</v>
      </c>
      <c r="C18" s="724">
        <f t="shared" ref="C18:C22" si="18">D18+H18+L18+T18</f>
        <v>936797906.89899886</v>
      </c>
      <c r="D18" s="691">
        <v>921024181.11692142</v>
      </c>
      <c r="E18" s="691">
        <v>4479203.2567504831</v>
      </c>
      <c r="F18" s="691">
        <v>0</v>
      </c>
      <c r="G18" s="691">
        <v>0</v>
      </c>
      <c r="H18" s="691">
        <v>14098144.802733283</v>
      </c>
      <c r="I18" s="691">
        <v>485040.21021472127</v>
      </c>
      <c r="J18" s="691">
        <v>1624843.7909463926</v>
      </c>
      <c r="K18" s="691">
        <v>0</v>
      </c>
      <c r="L18" s="691">
        <v>1675580.979344144</v>
      </c>
      <c r="M18" s="691">
        <v>230610.48928952101</v>
      </c>
      <c r="N18" s="691">
        <v>19538.021973236198</v>
      </c>
      <c r="O18" s="691">
        <v>1127138.0482132302</v>
      </c>
      <c r="P18" s="691">
        <v>0</v>
      </c>
      <c r="Q18" s="691">
        <v>0</v>
      </c>
      <c r="R18" s="691">
        <v>0</v>
      </c>
      <c r="S18" s="691">
        <v>0</v>
      </c>
      <c r="T18" s="691">
        <v>0</v>
      </c>
      <c r="U18" s="691">
        <v>0</v>
      </c>
      <c r="V18" s="691">
        <v>0</v>
      </c>
      <c r="W18" s="691">
        <v>0</v>
      </c>
      <c r="X18" s="691">
        <v>0</v>
      </c>
      <c r="Y18" s="691">
        <v>0</v>
      </c>
      <c r="Z18" s="691">
        <v>0</v>
      </c>
      <c r="AA18" s="725">
        <v>0</v>
      </c>
    </row>
    <row r="19" spans="1:27">
      <c r="A19" s="483" t="s">
        <v>558</v>
      </c>
      <c r="B19" s="484" t="s">
        <v>559</v>
      </c>
      <c r="C19" s="724">
        <f t="shared" si="18"/>
        <v>1171227315.6161375</v>
      </c>
      <c r="D19" s="691">
        <v>1155025401.9901905</v>
      </c>
      <c r="E19" s="691">
        <v>5013176.7912471239</v>
      </c>
      <c r="F19" s="691">
        <v>0</v>
      </c>
      <c r="G19" s="691">
        <v>0</v>
      </c>
      <c r="H19" s="691">
        <v>14400220.006567935</v>
      </c>
      <c r="I19" s="691">
        <v>806006.40408070397</v>
      </c>
      <c r="J19" s="691">
        <v>2204285.262291478</v>
      </c>
      <c r="K19" s="691">
        <v>0</v>
      </c>
      <c r="L19" s="691">
        <v>1801693.6193791484</v>
      </c>
      <c r="M19" s="691">
        <v>135138.1849325817</v>
      </c>
      <c r="N19" s="691">
        <v>47929.008366804213</v>
      </c>
      <c r="O19" s="691">
        <v>1180094.626016937</v>
      </c>
      <c r="P19" s="691">
        <v>0</v>
      </c>
      <c r="Q19" s="691">
        <v>0</v>
      </c>
      <c r="R19" s="691">
        <v>0</v>
      </c>
      <c r="S19" s="691">
        <v>0</v>
      </c>
      <c r="T19" s="691">
        <v>0</v>
      </c>
      <c r="U19" s="691">
        <v>0</v>
      </c>
      <c r="V19" s="691">
        <v>0</v>
      </c>
      <c r="W19" s="691">
        <v>0</v>
      </c>
      <c r="X19" s="691">
        <v>0</v>
      </c>
      <c r="Y19" s="691">
        <v>0</v>
      </c>
      <c r="Z19" s="691">
        <v>0</v>
      </c>
      <c r="AA19" s="725">
        <v>0</v>
      </c>
    </row>
    <row r="20" spans="1:27">
      <c r="A20" s="481" t="s">
        <v>560</v>
      </c>
      <c r="B20" s="482" t="s">
        <v>561</v>
      </c>
      <c r="C20" s="724">
        <f t="shared" si="18"/>
        <v>1049441666.0145577</v>
      </c>
      <c r="D20" s="691">
        <v>1036723210.7848378</v>
      </c>
      <c r="E20" s="691">
        <v>4071387.5189314331</v>
      </c>
      <c r="F20" s="691">
        <v>0</v>
      </c>
      <c r="G20" s="691">
        <v>0</v>
      </c>
      <c r="H20" s="691">
        <v>11396909.48906396</v>
      </c>
      <c r="I20" s="691">
        <v>597388.1074775192</v>
      </c>
      <c r="J20" s="691">
        <v>1458199.993692938</v>
      </c>
      <c r="K20" s="691">
        <v>0</v>
      </c>
      <c r="L20" s="691">
        <v>1321545.7406558557</v>
      </c>
      <c r="M20" s="691">
        <v>101668.710710479</v>
      </c>
      <c r="N20" s="691">
        <v>2748.0113350912402</v>
      </c>
      <c r="O20" s="691">
        <v>911601.31847844273</v>
      </c>
      <c r="P20" s="691">
        <v>0</v>
      </c>
      <c r="Q20" s="691">
        <v>0</v>
      </c>
      <c r="R20" s="691">
        <v>0</v>
      </c>
      <c r="S20" s="691">
        <v>0</v>
      </c>
      <c r="T20" s="691">
        <v>0</v>
      </c>
      <c r="U20" s="691">
        <v>0</v>
      </c>
      <c r="V20" s="691">
        <v>0</v>
      </c>
      <c r="W20" s="691">
        <v>0</v>
      </c>
      <c r="X20" s="691">
        <v>0</v>
      </c>
      <c r="Y20" s="691">
        <v>0</v>
      </c>
      <c r="Z20" s="691">
        <v>0</v>
      </c>
      <c r="AA20" s="725">
        <v>0</v>
      </c>
    </row>
    <row r="21" spans="1:27">
      <c r="A21" s="480">
        <v>1.4</v>
      </c>
      <c r="B21" s="479" t="s">
        <v>650</v>
      </c>
      <c r="C21" s="724">
        <f t="shared" si="18"/>
        <v>60792.117947795196</v>
      </c>
      <c r="D21" s="691">
        <v>60792.117947795196</v>
      </c>
      <c r="E21" s="691">
        <v>0</v>
      </c>
      <c r="F21" s="691">
        <v>0</v>
      </c>
      <c r="G21" s="691">
        <v>0</v>
      </c>
      <c r="H21" s="691">
        <v>0</v>
      </c>
      <c r="I21" s="691">
        <v>0</v>
      </c>
      <c r="J21" s="691">
        <v>0</v>
      </c>
      <c r="K21" s="691">
        <v>0</v>
      </c>
      <c r="L21" s="691">
        <v>0</v>
      </c>
      <c r="M21" s="691">
        <v>0</v>
      </c>
      <c r="N21" s="691">
        <v>0</v>
      </c>
      <c r="O21" s="691">
        <v>0</v>
      </c>
      <c r="P21" s="691">
        <v>0</v>
      </c>
      <c r="Q21" s="691">
        <v>0</v>
      </c>
      <c r="R21" s="691">
        <v>0</v>
      </c>
      <c r="S21" s="691">
        <v>0</v>
      </c>
      <c r="T21" s="691">
        <v>0</v>
      </c>
      <c r="U21" s="691">
        <v>0</v>
      </c>
      <c r="V21" s="691">
        <v>0</v>
      </c>
      <c r="W21" s="691">
        <v>0</v>
      </c>
      <c r="X21" s="691">
        <v>0</v>
      </c>
      <c r="Y21" s="691">
        <v>0</v>
      </c>
      <c r="Z21" s="691">
        <v>0</v>
      </c>
      <c r="AA21" s="725">
        <v>0</v>
      </c>
    </row>
    <row r="22" spans="1:27" ht="12.6" thickBot="1">
      <c r="A22" s="478">
        <v>1.5</v>
      </c>
      <c r="B22" s="477" t="s">
        <v>651</v>
      </c>
      <c r="C22" s="724">
        <f t="shared" si="18"/>
        <v>0</v>
      </c>
      <c r="D22" s="731"/>
      <c r="E22" s="731"/>
      <c r="F22" s="731"/>
      <c r="G22" s="731"/>
      <c r="H22" s="731"/>
      <c r="I22" s="731"/>
      <c r="J22" s="731"/>
      <c r="K22" s="731"/>
      <c r="L22" s="731"/>
      <c r="M22" s="731"/>
      <c r="N22" s="731"/>
      <c r="O22" s="731"/>
      <c r="P22" s="731"/>
      <c r="Q22" s="731"/>
      <c r="R22" s="731"/>
      <c r="S22" s="731"/>
      <c r="T22" s="731"/>
      <c r="U22" s="731"/>
      <c r="V22" s="731"/>
      <c r="W22" s="731"/>
      <c r="X22" s="731"/>
      <c r="Y22" s="731"/>
      <c r="Z22" s="731"/>
      <c r="AA22" s="73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ignoredErrors>
    <ignoredError sqref="C10:K10 L10:AA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69"/>
  <sheetViews>
    <sheetView topLeftCell="B10" zoomScale="80" zoomScaleNormal="80" workbookViewId="0">
      <selection activeCell="C29" sqref="C29"/>
    </sheetView>
  </sheetViews>
  <sheetFormatPr defaultRowHeight="14.4"/>
  <cols>
    <col min="1" max="1" width="8.77734375" style="402"/>
    <col min="2" max="2" width="69.21875" style="377" customWidth="1"/>
    <col min="3" max="3" width="13.6640625" customWidth="1"/>
    <col min="4" max="4" width="14.44140625" customWidth="1"/>
    <col min="5" max="5" width="13.88671875" bestFit="1" customWidth="1"/>
    <col min="6" max="6" width="16.33203125" bestFit="1" customWidth="1"/>
    <col min="7" max="7" width="13.21875" customWidth="1"/>
    <col min="8" max="8" width="16.33203125" bestFit="1" customWidth="1"/>
  </cols>
  <sheetData>
    <row r="1" spans="1:8">
      <c r="A1" s="12" t="s">
        <v>98</v>
      </c>
      <c r="B1" s="247" t="str">
        <f>Info!C2</f>
        <v>სს "კრედო ბანკი"</v>
      </c>
      <c r="C1" s="11"/>
      <c r="D1" s="1"/>
      <c r="E1" s="1"/>
      <c r="F1" s="1"/>
      <c r="G1" s="1"/>
    </row>
    <row r="2" spans="1:8">
      <c r="A2" s="12" t="s">
        <v>99</v>
      </c>
      <c r="B2" s="282">
        <f>'1. key ratios'!B2</f>
        <v>45838</v>
      </c>
      <c r="C2" s="11"/>
      <c r="D2" s="1"/>
      <c r="E2" s="1"/>
      <c r="F2" s="1"/>
      <c r="G2" s="1"/>
    </row>
    <row r="3" spans="1:8">
      <c r="A3" s="12"/>
      <c r="B3" s="11"/>
      <c r="C3" s="11"/>
      <c r="D3" s="1"/>
      <c r="E3" s="1"/>
      <c r="F3" s="1"/>
      <c r="G3" s="1"/>
    </row>
    <row r="4" spans="1:8" ht="21" customHeight="1">
      <c r="A4" s="782" t="s">
        <v>26</v>
      </c>
      <c r="B4" s="783" t="s">
        <v>698</v>
      </c>
      <c r="C4" s="785" t="s">
        <v>104</v>
      </c>
      <c r="D4" s="785"/>
      <c r="E4" s="785"/>
      <c r="F4" s="785" t="s">
        <v>105</v>
      </c>
      <c r="G4" s="785"/>
      <c r="H4" s="786"/>
    </row>
    <row r="5" spans="1:8" ht="21" customHeight="1">
      <c r="A5" s="782"/>
      <c r="B5" s="784"/>
      <c r="C5" s="346" t="s">
        <v>27</v>
      </c>
      <c r="D5" s="346" t="s">
        <v>78</v>
      </c>
      <c r="E5" s="346" t="s">
        <v>67</v>
      </c>
      <c r="F5" s="346" t="s">
        <v>27</v>
      </c>
      <c r="G5" s="346" t="s">
        <v>78</v>
      </c>
      <c r="H5" s="346" t="s">
        <v>67</v>
      </c>
    </row>
    <row r="6" spans="1:8" ht="26.55" customHeight="1">
      <c r="A6" s="782"/>
      <c r="B6" s="347" t="s">
        <v>85</v>
      </c>
      <c r="C6" s="776"/>
      <c r="D6" s="777"/>
      <c r="E6" s="777"/>
      <c r="F6" s="777"/>
      <c r="G6" s="777"/>
      <c r="H6" s="778"/>
    </row>
    <row r="7" spans="1:8" ht="22.95" customHeight="1">
      <c r="A7" s="392">
        <v>1</v>
      </c>
      <c r="B7" s="348" t="s">
        <v>812</v>
      </c>
      <c r="C7" s="753">
        <f>SUM(C8:C10)</f>
        <v>293062810.35000002</v>
      </c>
      <c r="D7" s="753">
        <f>SUM(D8:D10)</f>
        <v>198086075.55338246</v>
      </c>
      <c r="E7" s="657">
        <f>C7+D7</f>
        <v>491148885.90338248</v>
      </c>
      <c r="F7" s="753">
        <f>SUM(F8:F10)</f>
        <v>185397966.5</v>
      </c>
      <c r="G7" s="753">
        <f>SUM(G8:G10)</f>
        <v>171109276.51999998</v>
      </c>
      <c r="H7" s="657">
        <f>F7+G7</f>
        <v>356507243.01999998</v>
      </c>
    </row>
    <row r="8" spans="1:8">
      <c r="A8" s="392">
        <v>1.1000000000000001</v>
      </c>
      <c r="B8" s="351" t="s">
        <v>86</v>
      </c>
      <c r="C8" s="656">
        <v>59745103.449999996</v>
      </c>
      <c r="D8" s="656">
        <v>45160966.380000003</v>
      </c>
      <c r="E8" s="657">
        <f t="shared" ref="E8:E36" si="0">C8+D8</f>
        <v>104906069.83</v>
      </c>
      <c r="F8" s="656">
        <v>48554469.75</v>
      </c>
      <c r="G8" s="656">
        <v>40279658.359999999</v>
      </c>
      <c r="H8" s="657">
        <f t="shared" ref="H8:H36" si="1">F8+G8</f>
        <v>88834128.109999999</v>
      </c>
    </row>
    <row r="9" spans="1:8">
      <c r="A9" s="392">
        <v>1.2</v>
      </c>
      <c r="B9" s="351" t="s">
        <v>87</v>
      </c>
      <c r="C9" s="656">
        <v>231569818.48999998</v>
      </c>
      <c r="D9" s="656">
        <v>65427754.559999973</v>
      </c>
      <c r="E9" s="657">
        <f t="shared" si="0"/>
        <v>296997573.04999995</v>
      </c>
      <c r="F9" s="656">
        <v>136315599.5</v>
      </c>
      <c r="G9" s="656">
        <v>51420799.060000002</v>
      </c>
      <c r="H9" s="657">
        <f t="shared" si="1"/>
        <v>187736398.56</v>
      </c>
    </row>
    <row r="10" spans="1:8">
      <c r="A10" s="392">
        <v>1.3</v>
      </c>
      <c r="B10" s="351" t="s">
        <v>88</v>
      </c>
      <c r="C10" s="656">
        <v>1747888.41</v>
      </c>
      <c r="D10" s="656">
        <v>87497354.613382488</v>
      </c>
      <c r="E10" s="657">
        <f t="shared" si="0"/>
        <v>89245243.023382485</v>
      </c>
      <c r="F10" s="656">
        <v>527897.25</v>
      </c>
      <c r="G10" s="656">
        <v>79408819.099999994</v>
      </c>
      <c r="H10" s="657">
        <f t="shared" si="1"/>
        <v>79936716.349999994</v>
      </c>
    </row>
    <row r="11" spans="1:8">
      <c r="A11" s="392">
        <v>2</v>
      </c>
      <c r="B11" s="352" t="s">
        <v>699</v>
      </c>
      <c r="C11" s="656">
        <v>2958401.69</v>
      </c>
      <c r="D11" s="656">
        <v>0</v>
      </c>
      <c r="E11" s="657">
        <f t="shared" si="0"/>
        <v>2958401.69</v>
      </c>
      <c r="F11" s="656">
        <v>906908.67</v>
      </c>
      <c r="G11" s="349"/>
      <c r="H11" s="350">
        <f t="shared" si="1"/>
        <v>906908.67</v>
      </c>
    </row>
    <row r="12" spans="1:8">
      <c r="A12" s="392">
        <v>2.1</v>
      </c>
      <c r="B12" s="353" t="s">
        <v>700</v>
      </c>
      <c r="C12" s="656">
        <v>2958401.69</v>
      </c>
      <c r="D12" s="656">
        <v>0</v>
      </c>
      <c r="E12" s="657">
        <f t="shared" si="0"/>
        <v>2958401.69</v>
      </c>
      <c r="F12" s="656">
        <v>906908.67</v>
      </c>
      <c r="G12" s="349"/>
      <c r="H12" s="350">
        <f t="shared" si="1"/>
        <v>906908.67</v>
      </c>
    </row>
    <row r="13" spans="1:8" ht="26.55" customHeight="1">
      <c r="A13" s="392">
        <v>3</v>
      </c>
      <c r="B13" s="354" t="s">
        <v>701</v>
      </c>
      <c r="C13" s="656"/>
      <c r="D13" s="656"/>
      <c r="E13" s="657">
        <f t="shared" si="0"/>
        <v>0</v>
      </c>
      <c r="F13" s="349"/>
      <c r="G13" s="349"/>
      <c r="H13" s="350">
        <f t="shared" si="1"/>
        <v>0</v>
      </c>
    </row>
    <row r="14" spans="1:8" ht="26.55" customHeight="1">
      <c r="A14" s="392">
        <v>4</v>
      </c>
      <c r="B14" s="355" t="s">
        <v>702</v>
      </c>
      <c r="C14" s="656"/>
      <c r="D14" s="656"/>
      <c r="E14" s="657">
        <f t="shared" si="0"/>
        <v>0</v>
      </c>
      <c r="F14" s="349"/>
      <c r="G14" s="349"/>
      <c r="H14" s="350">
        <f t="shared" si="1"/>
        <v>0</v>
      </c>
    </row>
    <row r="15" spans="1:8" ht="24.45" customHeight="1">
      <c r="A15" s="392">
        <v>5</v>
      </c>
      <c r="B15" s="355" t="s">
        <v>703</v>
      </c>
      <c r="C15" s="664">
        <f>SUM(C16:C18)</f>
        <v>0</v>
      </c>
      <c r="D15" s="664">
        <f>SUM(D16:D18)</f>
        <v>0</v>
      </c>
      <c r="E15" s="665">
        <f t="shared" si="0"/>
        <v>0</v>
      </c>
      <c r="F15" s="356">
        <f>SUM(F16:F18)</f>
        <v>0</v>
      </c>
      <c r="G15" s="356">
        <f>SUM(G16:G18)</f>
        <v>0</v>
      </c>
      <c r="H15" s="357">
        <f t="shared" si="1"/>
        <v>0</v>
      </c>
    </row>
    <row r="16" spans="1:8">
      <c r="A16" s="392">
        <v>5.0999999999999996</v>
      </c>
      <c r="B16" s="358" t="s">
        <v>704</v>
      </c>
      <c r="C16" s="656"/>
      <c r="D16" s="656"/>
      <c r="E16" s="657">
        <f t="shared" si="0"/>
        <v>0</v>
      </c>
      <c r="F16" s="349"/>
      <c r="G16" s="349"/>
      <c r="H16" s="350">
        <f t="shared" si="1"/>
        <v>0</v>
      </c>
    </row>
    <row r="17" spans="1:8">
      <c r="A17" s="392">
        <v>5.2</v>
      </c>
      <c r="B17" s="358" t="s">
        <v>539</v>
      </c>
      <c r="C17" s="656"/>
      <c r="D17" s="656"/>
      <c r="E17" s="657">
        <f t="shared" si="0"/>
        <v>0</v>
      </c>
      <c r="F17" s="349"/>
      <c r="G17" s="349"/>
      <c r="H17" s="350">
        <f t="shared" si="1"/>
        <v>0</v>
      </c>
    </row>
    <row r="18" spans="1:8">
      <c r="A18" s="392">
        <v>5.3</v>
      </c>
      <c r="B18" s="358" t="s">
        <v>705</v>
      </c>
      <c r="C18" s="656"/>
      <c r="D18" s="656"/>
      <c r="E18" s="657">
        <f t="shared" si="0"/>
        <v>0</v>
      </c>
      <c r="F18" s="349"/>
      <c r="G18" s="349"/>
      <c r="H18" s="350">
        <f t="shared" si="1"/>
        <v>0</v>
      </c>
    </row>
    <row r="19" spans="1:8">
      <c r="A19" s="392">
        <v>6</v>
      </c>
      <c r="B19" s="354" t="s">
        <v>706</v>
      </c>
      <c r="C19" s="753">
        <f>SUM(C20:C21)</f>
        <v>2500092209.8597374</v>
      </c>
      <c r="D19" s="753">
        <f>SUM(D20:D21)</f>
        <v>281592742.03001547</v>
      </c>
      <c r="E19" s="657">
        <f t="shared" si="0"/>
        <v>2781684951.8897529</v>
      </c>
      <c r="F19" s="753">
        <f>SUM(F20:F21)</f>
        <v>1983660982.8453</v>
      </c>
      <c r="G19" s="753">
        <f>SUM(G20:G21)</f>
        <v>228424004.96383023</v>
      </c>
      <c r="H19" s="657">
        <f t="shared" si="1"/>
        <v>2212084987.8091302</v>
      </c>
    </row>
    <row r="20" spans="1:8">
      <c r="A20" s="392">
        <v>6.1</v>
      </c>
      <c r="B20" s="358" t="s">
        <v>539</v>
      </c>
      <c r="C20" s="656">
        <v>73312067.549999997</v>
      </c>
      <c r="D20" s="656"/>
      <c r="E20" s="657">
        <f t="shared" si="0"/>
        <v>73312067.549999997</v>
      </c>
      <c r="F20" s="656">
        <v>19745284.289999999</v>
      </c>
      <c r="G20" s="656"/>
      <c r="H20" s="657">
        <f t="shared" si="1"/>
        <v>19745284.289999999</v>
      </c>
    </row>
    <row r="21" spans="1:8">
      <c r="A21" s="392">
        <v>6.2</v>
      </c>
      <c r="B21" s="358" t="s">
        <v>705</v>
      </c>
      <c r="C21" s="656">
        <v>2426780142.3097372</v>
      </c>
      <c r="D21" s="656">
        <v>281592742.03001547</v>
      </c>
      <c r="E21" s="657">
        <f t="shared" si="0"/>
        <v>2708372884.3397527</v>
      </c>
      <c r="F21" s="656">
        <v>1963915698.5553</v>
      </c>
      <c r="G21" s="656">
        <v>228424004.96383023</v>
      </c>
      <c r="H21" s="657">
        <f t="shared" si="1"/>
        <v>2192339703.5191302</v>
      </c>
    </row>
    <row r="22" spans="1:8">
      <c r="A22" s="392">
        <v>7</v>
      </c>
      <c r="B22" s="359" t="s">
        <v>707</v>
      </c>
      <c r="C22" s="656">
        <v>2202413.5</v>
      </c>
      <c r="D22" s="656"/>
      <c r="E22" s="657">
        <f t="shared" si="0"/>
        <v>2202413.5</v>
      </c>
      <c r="F22" s="656">
        <v>1737632.6</v>
      </c>
      <c r="G22" s="349"/>
      <c r="H22" s="350">
        <f t="shared" si="1"/>
        <v>1737632.6</v>
      </c>
    </row>
    <row r="23" spans="1:8">
      <c r="A23" s="392">
        <v>8</v>
      </c>
      <c r="B23" s="360" t="s">
        <v>708</v>
      </c>
      <c r="C23" s="656"/>
      <c r="D23" s="656"/>
      <c r="E23" s="657">
        <f t="shared" si="0"/>
        <v>0</v>
      </c>
      <c r="F23" s="349"/>
      <c r="G23" s="349"/>
      <c r="H23" s="350">
        <f t="shared" si="1"/>
        <v>0</v>
      </c>
    </row>
    <row r="24" spans="1:8">
      <c r="A24" s="392">
        <v>9</v>
      </c>
      <c r="B24" s="355" t="s">
        <v>709</v>
      </c>
      <c r="C24" s="753">
        <f>SUM(C25:C26)</f>
        <v>53619535.339999974</v>
      </c>
      <c r="D24" s="753">
        <f>SUM(D25:D26)</f>
        <v>0</v>
      </c>
      <c r="E24" s="657">
        <f t="shared" si="0"/>
        <v>53619535.339999974</v>
      </c>
      <c r="F24" s="753">
        <f>SUM(F25:F26)</f>
        <v>46309270.910000011</v>
      </c>
      <c r="G24" s="754">
        <f>SUM(G25:G26)</f>
        <v>0</v>
      </c>
      <c r="H24" s="657">
        <f t="shared" si="1"/>
        <v>46309270.910000011</v>
      </c>
    </row>
    <row r="25" spans="1:8">
      <c r="A25" s="392">
        <v>9.1</v>
      </c>
      <c r="B25" s="361" t="s">
        <v>710</v>
      </c>
      <c r="C25" s="656">
        <v>53619535.339999974</v>
      </c>
      <c r="D25" s="656"/>
      <c r="E25" s="657">
        <f t="shared" si="0"/>
        <v>53619535.339999974</v>
      </c>
      <c r="F25" s="656">
        <v>46309270.910000011</v>
      </c>
      <c r="G25" s="349"/>
      <c r="H25" s="657">
        <f t="shared" si="1"/>
        <v>46309270.910000011</v>
      </c>
    </row>
    <row r="26" spans="1:8">
      <c r="A26" s="392">
        <v>9.1999999999999993</v>
      </c>
      <c r="B26" s="361" t="s">
        <v>711</v>
      </c>
      <c r="C26" s="656"/>
      <c r="D26" s="656"/>
      <c r="E26" s="657">
        <f t="shared" si="0"/>
        <v>0</v>
      </c>
      <c r="F26" s="349"/>
      <c r="G26" s="349"/>
      <c r="H26" s="350">
        <f t="shared" si="1"/>
        <v>0</v>
      </c>
    </row>
    <row r="27" spans="1:8">
      <c r="A27" s="392">
        <v>10</v>
      </c>
      <c r="B27" s="355" t="s">
        <v>37</v>
      </c>
      <c r="C27" s="753">
        <f>SUM(C28:C29)</f>
        <v>33263478.05999998</v>
      </c>
      <c r="D27" s="753">
        <f>SUM(D28:D29)</f>
        <v>0</v>
      </c>
      <c r="E27" s="657">
        <f t="shared" si="0"/>
        <v>33263478.05999998</v>
      </c>
      <c r="F27" s="753">
        <f>SUM(F28:F29)</f>
        <v>25359073.809999995</v>
      </c>
      <c r="G27" s="754">
        <f>SUM(G28:G29)</f>
        <v>0</v>
      </c>
      <c r="H27" s="657">
        <f t="shared" si="1"/>
        <v>25359073.809999995</v>
      </c>
    </row>
    <row r="28" spans="1:8">
      <c r="A28" s="392">
        <v>10.1</v>
      </c>
      <c r="B28" s="361" t="s">
        <v>712</v>
      </c>
      <c r="C28" s="656"/>
      <c r="D28" s="656"/>
      <c r="E28" s="657">
        <f t="shared" si="0"/>
        <v>0</v>
      </c>
      <c r="F28" s="349"/>
      <c r="G28" s="349"/>
      <c r="H28" s="657">
        <f t="shared" si="1"/>
        <v>0</v>
      </c>
    </row>
    <row r="29" spans="1:8">
      <c r="A29" s="392">
        <v>10.199999999999999</v>
      </c>
      <c r="B29" s="361" t="s">
        <v>713</v>
      </c>
      <c r="C29" s="656">
        <v>33263478.05999998</v>
      </c>
      <c r="D29" s="656"/>
      <c r="E29" s="657">
        <f t="shared" si="0"/>
        <v>33263478.05999998</v>
      </c>
      <c r="F29" s="656">
        <v>25359073.809999995</v>
      </c>
      <c r="G29" s="349"/>
      <c r="H29" s="657">
        <f t="shared" si="1"/>
        <v>25359073.809999995</v>
      </c>
    </row>
    <row r="30" spans="1:8">
      <c r="A30" s="392">
        <v>11</v>
      </c>
      <c r="B30" s="355" t="s">
        <v>714</v>
      </c>
      <c r="C30" s="753">
        <f>SUM(C31:C32)</f>
        <v>0</v>
      </c>
      <c r="D30" s="753">
        <f>SUM(D31:D32)</f>
        <v>0</v>
      </c>
      <c r="E30" s="657">
        <f t="shared" si="0"/>
        <v>0</v>
      </c>
      <c r="F30" s="754">
        <f>SUM(F31:F32)</f>
        <v>0</v>
      </c>
      <c r="G30" s="754">
        <f>SUM(G31:G32)</f>
        <v>0</v>
      </c>
      <c r="H30" s="350">
        <f t="shared" si="1"/>
        <v>0</v>
      </c>
    </row>
    <row r="31" spans="1:8">
      <c r="A31" s="392">
        <v>11.1</v>
      </c>
      <c r="B31" s="361" t="s">
        <v>715</v>
      </c>
      <c r="C31" s="656"/>
      <c r="D31" s="656"/>
      <c r="E31" s="657">
        <f t="shared" si="0"/>
        <v>0</v>
      </c>
      <c r="F31" s="349"/>
      <c r="G31" s="349"/>
      <c r="H31" s="350">
        <f t="shared" si="1"/>
        <v>0</v>
      </c>
    </row>
    <row r="32" spans="1:8">
      <c r="A32" s="392">
        <v>11.2</v>
      </c>
      <c r="B32" s="361" t="s">
        <v>716</v>
      </c>
      <c r="C32" s="656"/>
      <c r="D32" s="656"/>
      <c r="E32" s="657">
        <f t="shared" si="0"/>
        <v>0</v>
      </c>
      <c r="F32" s="349"/>
      <c r="G32" s="349"/>
      <c r="H32" s="350">
        <f t="shared" si="1"/>
        <v>0</v>
      </c>
    </row>
    <row r="33" spans="1:8">
      <c r="A33" s="392">
        <v>13</v>
      </c>
      <c r="B33" s="355" t="s">
        <v>89</v>
      </c>
      <c r="C33" s="656">
        <v>52896928.969999999</v>
      </c>
      <c r="D33" s="656">
        <v>7032611.9500000104</v>
      </c>
      <c r="E33" s="657">
        <f t="shared" si="0"/>
        <v>59929540.920000009</v>
      </c>
      <c r="F33" s="656">
        <v>47877446.290000014</v>
      </c>
      <c r="G33" s="656">
        <v>4529475.2</v>
      </c>
      <c r="H33" s="657">
        <f t="shared" si="1"/>
        <v>52406921.490000017</v>
      </c>
    </row>
    <row r="34" spans="1:8">
      <c r="A34" s="392">
        <v>13.1</v>
      </c>
      <c r="B34" s="362" t="s">
        <v>717</v>
      </c>
      <c r="C34" s="656">
        <v>26038814.609999999</v>
      </c>
      <c r="D34" s="656"/>
      <c r="E34" s="657">
        <f t="shared" si="0"/>
        <v>26038814.609999999</v>
      </c>
      <c r="F34" s="656">
        <v>16518198.929999992</v>
      </c>
      <c r="G34" s="656"/>
      <c r="H34" s="657">
        <f t="shared" si="1"/>
        <v>16518198.929999992</v>
      </c>
    </row>
    <row r="35" spans="1:8">
      <c r="A35" s="392">
        <v>13.2</v>
      </c>
      <c r="B35" s="362" t="s">
        <v>718</v>
      </c>
      <c r="C35" s="656"/>
      <c r="D35" s="656"/>
      <c r="E35" s="657">
        <f t="shared" si="0"/>
        <v>0</v>
      </c>
      <c r="F35" s="349"/>
      <c r="G35" s="349"/>
      <c r="H35" s="657">
        <f t="shared" si="1"/>
        <v>0</v>
      </c>
    </row>
    <row r="36" spans="1:8">
      <c r="A36" s="392">
        <v>14</v>
      </c>
      <c r="B36" s="363" t="s">
        <v>719</v>
      </c>
      <c r="C36" s="656">
        <f>SUM(C7,C11,C13,C14,C15,C19,C22,C23,C24,C27,C30,C33)</f>
        <v>2938095777.7697372</v>
      </c>
      <c r="D36" s="656">
        <f>SUM(D7,D11,D13,D14,D15,D19,D22,D23,D24,D27,D30,D33)</f>
        <v>486711429.53339791</v>
      </c>
      <c r="E36" s="657">
        <f t="shared" si="0"/>
        <v>3424807207.3031349</v>
      </c>
      <c r="F36" s="656">
        <f>SUM(F7,F11,F13,F14,F15,F19,F22,F23,F24,F27,F30,F33)</f>
        <v>2291249281.6252995</v>
      </c>
      <c r="G36" s="656">
        <f>SUM(G7,G11,G13,G14,G15,G19,G22,G23,G24,G27,G30,G33)</f>
        <v>404062756.6838302</v>
      </c>
      <c r="H36" s="657">
        <f t="shared" si="1"/>
        <v>2695312038.3091297</v>
      </c>
    </row>
    <row r="37" spans="1:8" ht="22.5" customHeight="1">
      <c r="A37" s="392"/>
      <c r="B37" s="364" t="s">
        <v>94</v>
      </c>
      <c r="C37" s="776"/>
      <c r="D37" s="777"/>
      <c r="E37" s="777"/>
      <c r="F37" s="777"/>
      <c r="G37" s="777"/>
      <c r="H37" s="778"/>
    </row>
    <row r="38" spans="1:8">
      <c r="A38" s="392">
        <v>15</v>
      </c>
      <c r="B38" s="365" t="s">
        <v>720</v>
      </c>
      <c r="C38" s="658">
        <v>3962499.94</v>
      </c>
      <c r="D38" s="658"/>
      <c r="E38" s="659">
        <f>C38+D38</f>
        <v>3962499.94</v>
      </c>
      <c r="F38" s="658">
        <v>3227465.49</v>
      </c>
      <c r="G38" s="366"/>
      <c r="H38" s="659">
        <f>F38+G38</f>
        <v>3227465.49</v>
      </c>
    </row>
    <row r="39" spans="1:8">
      <c r="A39" s="392">
        <v>15.1</v>
      </c>
      <c r="B39" s="367" t="s">
        <v>700</v>
      </c>
      <c r="C39" s="658">
        <v>3962499.94</v>
      </c>
      <c r="D39" s="658"/>
      <c r="E39" s="659">
        <f t="shared" ref="E39:E53" si="2">C39+D39</f>
        <v>3962499.94</v>
      </c>
      <c r="F39" s="658">
        <v>3227465.49</v>
      </c>
      <c r="G39" s="366"/>
      <c r="H39" s="659">
        <f t="shared" ref="H39:H53" si="3">F39+G39</f>
        <v>3227465.49</v>
      </c>
    </row>
    <row r="40" spans="1:8" ht="24" customHeight="1">
      <c r="A40" s="392">
        <v>16</v>
      </c>
      <c r="B40" s="359" t="s">
        <v>721</v>
      </c>
      <c r="C40" s="658"/>
      <c r="D40" s="658"/>
      <c r="E40" s="659">
        <f t="shared" si="2"/>
        <v>0</v>
      </c>
      <c r="F40" s="366"/>
      <c r="G40" s="366"/>
      <c r="H40" s="659">
        <f t="shared" si="3"/>
        <v>0</v>
      </c>
    </row>
    <row r="41" spans="1:8">
      <c r="A41" s="392">
        <v>17</v>
      </c>
      <c r="B41" s="359" t="s">
        <v>722</v>
      </c>
      <c r="C41" s="755">
        <f>SUM(C42:C45)</f>
        <v>2004170231.1499965</v>
      </c>
      <c r="D41" s="755">
        <f>SUM(D42:D45)</f>
        <v>762534302.30720019</v>
      </c>
      <c r="E41" s="659">
        <f t="shared" si="2"/>
        <v>2766704533.4571967</v>
      </c>
      <c r="F41" s="755">
        <f>SUM(F42:F45)</f>
        <v>1629266078.2800164</v>
      </c>
      <c r="G41" s="755">
        <f>SUM(G42:G45)</f>
        <v>546670398.93390095</v>
      </c>
      <c r="H41" s="659">
        <f t="shared" si="3"/>
        <v>2175936477.2139173</v>
      </c>
    </row>
    <row r="42" spans="1:8">
      <c r="A42" s="392">
        <v>17.100000000000001</v>
      </c>
      <c r="B42" s="368" t="s">
        <v>723</v>
      </c>
      <c r="C42" s="658">
        <v>959688428.08999658</v>
      </c>
      <c r="D42" s="658">
        <v>441908296.87720037</v>
      </c>
      <c r="E42" s="659">
        <f t="shared" si="2"/>
        <v>1401596724.9671969</v>
      </c>
      <c r="F42" s="658">
        <v>726628693.50001621</v>
      </c>
      <c r="G42" s="658">
        <v>322941507.42390102</v>
      </c>
      <c r="H42" s="659">
        <f t="shared" si="3"/>
        <v>1049570200.9239173</v>
      </c>
    </row>
    <row r="43" spans="1:8">
      <c r="A43" s="392">
        <v>17.2</v>
      </c>
      <c r="B43" s="369" t="s">
        <v>90</v>
      </c>
      <c r="C43" s="658">
        <v>1026015299.02</v>
      </c>
      <c r="D43" s="658">
        <v>315833182.94999981</v>
      </c>
      <c r="E43" s="659">
        <f t="shared" si="2"/>
        <v>1341848481.9699998</v>
      </c>
      <c r="F43" s="658">
        <v>886696816.26000011</v>
      </c>
      <c r="G43" s="658">
        <v>217395956.12</v>
      </c>
      <c r="H43" s="659">
        <f t="shared" si="3"/>
        <v>1104092772.3800001</v>
      </c>
    </row>
    <row r="44" spans="1:8">
      <c r="A44" s="392">
        <v>17.3</v>
      </c>
      <c r="B44" s="368" t="s">
        <v>724</v>
      </c>
      <c r="C44" s="658"/>
      <c r="D44" s="658"/>
      <c r="E44" s="659">
        <f t="shared" si="2"/>
        <v>0</v>
      </c>
      <c r="F44" s="366"/>
      <c r="G44" s="366"/>
      <c r="H44" s="659">
        <f t="shared" si="3"/>
        <v>0</v>
      </c>
    </row>
    <row r="45" spans="1:8">
      <c r="A45" s="392">
        <v>17.399999999999999</v>
      </c>
      <c r="B45" s="368" t="s">
        <v>725</v>
      </c>
      <c r="C45" s="658">
        <v>18466504.039999999</v>
      </c>
      <c r="D45" s="658">
        <v>4792822.4800000004</v>
      </c>
      <c r="E45" s="659">
        <f t="shared" si="2"/>
        <v>23259326.52</v>
      </c>
      <c r="F45" s="658">
        <v>15940568.52</v>
      </c>
      <c r="G45" s="658">
        <v>6332935.3899999997</v>
      </c>
      <c r="H45" s="659">
        <f t="shared" si="3"/>
        <v>22273503.91</v>
      </c>
    </row>
    <row r="46" spans="1:8">
      <c r="A46" s="392">
        <v>18</v>
      </c>
      <c r="B46" s="355" t="s">
        <v>726</v>
      </c>
      <c r="C46" s="658">
        <v>1768709.2000000002</v>
      </c>
      <c r="D46" s="658"/>
      <c r="E46" s="659">
        <f t="shared" si="2"/>
        <v>1768709.2000000002</v>
      </c>
      <c r="F46" s="366"/>
      <c r="G46" s="366"/>
      <c r="H46" s="659">
        <f t="shared" si="3"/>
        <v>0</v>
      </c>
    </row>
    <row r="47" spans="1:8">
      <c r="A47" s="392">
        <v>19</v>
      </c>
      <c r="B47" s="355" t="s">
        <v>727</v>
      </c>
      <c r="C47" s="755">
        <f>SUM(C48:C49)</f>
        <v>9217250.7799999937</v>
      </c>
      <c r="D47" s="755">
        <f>SUM(D48:D49)</f>
        <v>0</v>
      </c>
      <c r="E47" s="659">
        <f t="shared" si="2"/>
        <v>9217250.7799999937</v>
      </c>
      <c r="F47" s="755">
        <f>SUM(F48:F49)</f>
        <v>6841829.4399999958</v>
      </c>
      <c r="G47" s="401">
        <f>SUM(G48:G49)</f>
        <v>0</v>
      </c>
      <c r="H47" s="659">
        <f t="shared" si="3"/>
        <v>6841829.4399999958</v>
      </c>
    </row>
    <row r="48" spans="1:8">
      <c r="A48" s="392">
        <v>19.100000000000001</v>
      </c>
      <c r="B48" s="370" t="s">
        <v>728</v>
      </c>
      <c r="C48" s="658">
        <v>3651432.5699999947</v>
      </c>
      <c r="D48" s="658"/>
      <c r="E48" s="659">
        <f t="shared" si="2"/>
        <v>3651432.5699999947</v>
      </c>
      <c r="F48" s="658">
        <v>1741235.5999999968</v>
      </c>
      <c r="G48" s="366"/>
      <c r="H48" s="659">
        <f t="shared" si="3"/>
        <v>1741235.5999999968</v>
      </c>
    </row>
    <row r="49" spans="1:8">
      <c r="A49" s="392">
        <v>19.2</v>
      </c>
      <c r="B49" s="371" t="s">
        <v>729</v>
      </c>
      <c r="C49" s="658">
        <v>5565818.21</v>
      </c>
      <c r="D49" s="658"/>
      <c r="E49" s="659">
        <f t="shared" si="2"/>
        <v>5565818.21</v>
      </c>
      <c r="F49" s="658">
        <v>5100593.8399999989</v>
      </c>
      <c r="G49" s="366"/>
      <c r="H49" s="659">
        <f t="shared" si="3"/>
        <v>5100593.8399999989</v>
      </c>
    </row>
    <row r="50" spans="1:8">
      <c r="A50" s="392">
        <v>20</v>
      </c>
      <c r="B50" s="372" t="s">
        <v>91</v>
      </c>
      <c r="C50" s="658">
        <v>54315880.219999999</v>
      </c>
      <c r="D50" s="658">
        <v>116661039.03</v>
      </c>
      <c r="E50" s="659">
        <f t="shared" si="2"/>
        <v>170976919.25</v>
      </c>
      <c r="F50" s="658">
        <v>62688217.670000002</v>
      </c>
      <c r="G50" s="658">
        <v>66522853.489999995</v>
      </c>
      <c r="H50" s="659">
        <f t="shared" si="3"/>
        <v>129211071.16</v>
      </c>
    </row>
    <row r="51" spans="1:8">
      <c r="A51" s="392">
        <v>21</v>
      </c>
      <c r="B51" s="373" t="s">
        <v>79</v>
      </c>
      <c r="C51" s="658">
        <v>48194509.819999993</v>
      </c>
      <c r="D51" s="658">
        <v>2742761.1199999973</v>
      </c>
      <c r="E51" s="659">
        <f t="shared" si="2"/>
        <v>50937270.93999999</v>
      </c>
      <c r="F51" s="658">
        <v>42975384.690000013</v>
      </c>
      <c r="G51" s="658">
        <v>4249822.3400000036</v>
      </c>
      <c r="H51" s="659">
        <f t="shared" si="3"/>
        <v>47225207.030000016</v>
      </c>
    </row>
    <row r="52" spans="1:8">
      <c r="A52" s="392">
        <v>21.1</v>
      </c>
      <c r="B52" s="369" t="s">
        <v>730</v>
      </c>
      <c r="C52" s="658"/>
      <c r="D52" s="658"/>
      <c r="E52" s="659">
        <f t="shared" si="2"/>
        <v>0</v>
      </c>
      <c r="F52" s="366"/>
      <c r="G52" s="366"/>
      <c r="H52" s="659">
        <f t="shared" si="3"/>
        <v>0</v>
      </c>
    </row>
    <row r="53" spans="1:8">
      <c r="A53" s="392">
        <v>22</v>
      </c>
      <c r="B53" s="372" t="s">
        <v>731</v>
      </c>
      <c r="C53" s="658">
        <f>SUM(C38,C40,C41,C46,C47,C50,C51)</f>
        <v>2121629081.1099966</v>
      </c>
      <c r="D53" s="658">
        <f>SUM(D38,D40,D41,D46,D47,D50,D51)</f>
        <v>881938102.45720017</v>
      </c>
      <c r="E53" s="659">
        <f t="shared" si="2"/>
        <v>3003567183.5671968</v>
      </c>
      <c r="F53" s="658">
        <f>SUM(F38,F40,F41,F46,F47,F50,F51)</f>
        <v>1744998975.5700166</v>
      </c>
      <c r="G53" s="658">
        <f>SUM(G38,G40,G41,G46,G47,G50,G51)</f>
        <v>617443074.763901</v>
      </c>
      <c r="H53" s="659">
        <f t="shared" si="3"/>
        <v>2362442050.3339176</v>
      </c>
    </row>
    <row r="54" spans="1:8" ht="24" customHeight="1">
      <c r="A54" s="392"/>
      <c r="B54" s="374" t="s">
        <v>732</v>
      </c>
      <c r="C54" s="779"/>
      <c r="D54" s="780"/>
      <c r="E54" s="780"/>
      <c r="F54" s="780"/>
      <c r="G54" s="780"/>
      <c r="H54" s="781"/>
    </row>
    <row r="55" spans="1:8">
      <c r="A55" s="392">
        <v>23</v>
      </c>
      <c r="B55" s="596" t="s">
        <v>960</v>
      </c>
      <c r="C55" s="658">
        <v>5270620</v>
      </c>
      <c r="D55" s="658"/>
      <c r="E55" s="659">
        <f>C55+D55</f>
        <v>5270620</v>
      </c>
      <c r="F55" s="658">
        <v>5236850</v>
      </c>
      <c r="G55" s="366"/>
      <c r="H55" s="659">
        <f>F55+G55</f>
        <v>5236850</v>
      </c>
    </row>
    <row r="56" spans="1:8">
      <c r="A56" s="392">
        <v>24</v>
      </c>
      <c r="B56" s="372" t="s">
        <v>733</v>
      </c>
      <c r="C56" s="658"/>
      <c r="D56" s="658"/>
      <c r="E56" s="659">
        <f t="shared" ref="E56:E69" si="4">C56+D56</f>
        <v>0</v>
      </c>
      <c r="F56" s="658"/>
      <c r="G56" s="366"/>
      <c r="H56" s="659">
        <f t="shared" ref="H56:H69" si="5">F56+G56</f>
        <v>0</v>
      </c>
    </row>
    <row r="57" spans="1:8">
      <c r="A57" s="392">
        <v>25</v>
      </c>
      <c r="B57" s="372" t="s">
        <v>92</v>
      </c>
      <c r="C57" s="658">
        <v>41797125.18</v>
      </c>
      <c r="D57" s="658"/>
      <c r="E57" s="659">
        <f t="shared" si="4"/>
        <v>41797125.18</v>
      </c>
      <c r="F57" s="658">
        <v>38936573.159999996</v>
      </c>
      <c r="G57" s="366"/>
      <c r="H57" s="659">
        <f t="shared" si="5"/>
        <v>38936573.159999996</v>
      </c>
    </row>
    <row r="58" spans="1:8">
      <c r="A58" s="392">
        <v>26</v>
      </c>
      <c r="B58" s="355" t="s">
        <v>734</v>
      </c>
      <c r="C58" s="658"/>
      <c r="D58" s="658"/>
      <c r="E58" s="659">
        <f t="shared" si="4"/>
        <v>0</v>
      </c>
      <c r="F58" s="366"/>
      <c r="G58" s="366"/>
      <c r="H58" s="659">
        <f t="shared" si="5"/>
        <v>0</v>
      </c>
    </row>
    <row r="59" spans="1:8">
      <c r="A59" s="392">
        <v>27</v>
      </c>
      <c r="B59" s="355" t="s">
        <v>735</v>
      </c>
      <c r="C59" s="658">
        <f>SUM(C60:C61)</f>
        <v>0</v>
      </c>
      <c r="D59" s="658">
        <f>SUM(D60:D61)</f>
        <v>0</v>
      </c>
      <c r="E59" s="659">
        <f t="shared" si="4"/>
        <v>0</v>
      </c>
      <c r="F59" s="366">
        <v>0</v>
      </c>
      <c r="G59" s="366"/>
      <c r="H59" s="659">
        <f t="shared" si="5"/>
        <v>0</v>
      </c>
    </row>
    <row r="60" spans="1:8">
      <c r="A60" s="392">
        <v>27.1</v>
      </c>
      <c r="B60" s="370" t="s">
        <v>736</v>
      </c>
      <c r="C60" s="658"/>
      <c r="D60" s="658"/>
      <c r="E60" s="659">
        <f t="shared" si="4"/>
        <v>0</v>
      </c>
      <c r="F60" s="366"/>
      <c r="G60" s="366"/>
      <c r="H60" s="659">
        <f t="shared" si="5"/>
        <v>0</v>
      </c>
    </row>
    <row r="61" spans="1:8">
      <c r="A61" s="392">
        <v>27.2</v>
      </c>
      <c r="B61" s="368" t="s">
        <v>737</v>
      </c>
      <c r="C61" s="658"/>
      <c r="D61" s="658"/>
      <c r="E61" s="659">
        <f t="shared" si="4"/>
        <v>0</v>
      </c>
      <c r="F61" s="366"/>
      <c r="G61" s="366"/>
      <c r="H61" s="659">
        <f t="shared" si="5"/>
        <v>0</v>
      </c>
    </row>
    <row r="62" spans="1:8">
      <c r="A62" s="392">
        <v>28</v>
      </c>
      <c r="B62" s="373" t="s">
        <v>738</v>
      </c>
      <c r="C62" s="658"/>
      <c r="D62" s="658"/>
      <c r="E62" s="659">
        <f t="shared" si="4"/>
        <v>0</v>
      </c>
      <c r="F62" s="366"/>
      <c r="G62" s="366"/>
      <c r="H62" s="659">
        <f t="shared" si="5"/>
        <v>0</v>
      </c>
    </row>
    <row r="63" spans="1:8">
      <c r="A63" s="392">
        <v>29</v>
      </c>
      <c r="B63" s="355" t="s">
        <v>739</v>
      </c>
      <c r="C63" s="658">
        <f>SUM(C64:C66)</f>
        <v>0</v>
      </c>
      <c r="D63" s="658">
        <f>SUM(D64:D66)</f>
        <v>0</v>
      </c>
      <c r="E63" s="659">
        <f t="shared" si="4"/>
        <v>0</v>
      </c>
      <c r="F63" s="366">
        <v>0</v>
      </c>
      <c r="G63" s="366"/>
      <c r="H63" s="659">
        <f t="shared" si="5"/>
        <v>0</v>
      </c>
    </row>
    <row r="64" spans="1:8">
      <c r="A64" s="392">
        <v>29.1</v>
      </c>
      <c r="B64" s="358" t="s">
        <v>740</v>
      </c>
      <c r="C64" s="658"/>
      <c r="D64" s="658"/>
      <c r="E64" s="659">
        <f t="shared" si="4"/>
        <v>0</v>
      </c>
      <c r="F64" s="366"/>
      <c r="G64" s="366"/>
      <c r="H64" s="659">
        <f t="shared" si="5"/>
        <v>0</v>
      </c>
    </row>
    <row r="65" spans="1:8" ht="25.05" customHeight="1">
      <c r="A65" s="392">
        <v>29.2</v>
      </c>
      <c r="B65" s="370" t="s">
        <v>741</v>
      </c>
      <c r="C65" s="658"/>
      <c r="D65" s="658"/>
      <c r="E65" s="659">
        <f t="shared" si="4"/>
        <v>0</v>
      </c>
      <c r="F65" s="366"/>
      <c r="G65" s="366"/>
      <c r="H65" s="659">
        <f t="shared" si="5"/>
        <v>0</v>
      </c>
    </row>
    <row r="66" spans="1:8" ht="22.5" customHeight="1">
      <c r="A66" s="392">
        <v>29.3</v>
      </c>
      <c r="B66" s="361" t="s">
        <v>742</v>
      </c>
      <c r="C66" s="658"/>
      <c r="D66" s="658"/>
      <c r="E66" s="659">
        <f t="shared" si="4"/>
        <v>0</v>
      </c>
      <c r="F66" s="366"/>
      <c r="G66" s="366"/>
      <c r="H66" s="659">
        <f t="shared" si="5"/>
        <v>0</v>
      </c>
    </row>
    <row r="67" spans="1:8">
      <c r="A67" s="392">
        <v>30</v>
      </c>
      <c r="B67" s="355" t="s">
        <v>93</v>
      </c>
      <c r="C67" s="658">
        <v>374172278.06696802</v>
      </c>
      <c r="D67" s="658"/>
      <c r="E67" s="659">
        <f t="shared" si="4"/>
        <v>374172278.06696802</v>
      </c>
      <c r="F67" s="658">
        <v>288696564.04002368</v>
      </c>
      <c r="G67" s="658"/>
      <c r="H67" s="659">
        <f t="shared" si="5"/>
        <v>288696564.04002368</v>
      </c>
    </row>
    <row r="68" spans="1:8">
      <c r="A68" s="392">
        <v>31</v>
      </c>
      <c r="B68" s="375" t="s">
        <v>743</v>
      </c>
      <c r="C68" s="658">
        <f>SUM(C55,C56,C57,C58,C59,C62,C63,C67)</f>
        <v>421240023.24696803</v>
      </c>
      <c r="D68" s="658">
        <f>SUM(D55,D56,D57,D58,D59,D62,D63,D67)</f>
        <v>0</v>
      </c>
      <c r="E68" s="659">
        <f t="shared" si="4"/>
        <v>421240023.24696803</v>
      </c>
      <c r="F68" s="658">
        <f>SUM(F55,F56,F57,F58,F59,F62,F63,F67)</f>
        <v>332869987.20002365</v>
      </c>
      <c r="G68" s="658">
        <f>SUM(G55,G56,G57,G58,G59,G62,G63,G67)</f>
        <v>0</v>
      </c>
      <c r="H68" s="659">
        <f t="shared" si="5"/>
        <v>332869987.20002365</v>
      </c>
    </row>
    <row r="69" spans="1:8">
      <c r="A69" s="392">
        <v>32</v>
      </c>
      <c r="B69" s="376" t="s">
        <v>744</v>
      </c>
      <c r="C69" s="658">
        <f>SUM(C53,C68)</f>
        <v>2542869104.3569646</v>
      </c>
      <c r="D69" s="658">
        <f>SUM(D53,D68)</f>
        <v>881938102.45720017</v>
      </c>
      <c r="E69" s="659">
        <f t="shared" si="4"/>
        <v>3424807206.8141646</v>
      </c>
      <c r="F69" s="658">
        <f>SUM(F53,F68)</f>
        <v>2077868962.7700403</v>
      </c>
      <c r="G69" s="658">
        <f>SUM(G53,G68)</f>
        <v>617443074.763901</v>
      </c>
      <c r="H69" s="659">
        <f t="shared" si="5"/>
        <v>2695312037.5339413</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topLeftCell="C6" zoomScale="80" zoomScaleNormal="80" workbookViewId="0">
      <selection activeCell="I7" sqref="I7:L32"/>
    </sheetView>
  </sheetViews>
  <sheetFormatPr defaultColWidth="9.21875" defaultRowHeight="12"/>
  <cols>
    <col min="1" max="1" width="11.77734375" style="451" bestFit="1" customWidth="1"/>
    <col min="2" max="2" width="93.44140625" style="451" customWidth="1"/>
    <col min="3" max="3" width="14.6640625" style="451" customWidth="1"/>
    <col min="4" max="5" width="16.109375" style="451" customWidth="1"/>
    <col min="6" max="6" width="16.109375" style="468" customWidth="1"/>
    <col min="7" max="7" width="25.21875" style="468" customWidth="1"/>
    <col min="8" max="8" width="16.109375" style="451" customWidth="1"/>
    <col min="9" max="11" width="16.109375" style="468" customWidth="1"/>
    <col min="12" max="12" width="26.21875" style="468" customWidth="1"/>
    <col min="13" max="16384" width="9.21875" style="451"/>
  </cols>
  <sheetData>
    <row r="1" spans="1:12" ht="13.8">
      <c r="A1" s="326" t="s">
        <v>98</v>
      </c>
      <c r="B1" s="247" t="str">
        <f>Info!C2</f>
        <v>სს "კრედო ბანკი"</v>
      </c>
      <c r="F1" s="451"/>
      <c r="G1" s="451"/>
      <c r="I1" s="451"/>
      <c r="J1" s="451"/>
      <c r="K1" s="451"/>
      <c r="L1" s="451"/>
    </row>
    <row r="2" spans="1:12">
      <c r="A2" s="326" t="s">
        <v>99</v>
      </c>
      <c r="B2" s="329">
        <f>'1. key ratios'!B2</f>
        <v>45838</v>
      </c>
      <c r="F2" s="451"/>
      <c r="G2" s="451"/>
      <c r="I2" s="451"/>
      <c r="J2" s="451"/>
      <c r="K2" s="451"/>
      <c r="L2" s="451"/>
    </row>
    <row r="3" spans="1:12">
      <c r="A3" s="328" t="s">
        <v>564</v>
      </c>
      <c r="F3" s="451"/>
      <c r="G3" s="451"/>
      <c r="I3" s="451"/>
      <c r="J3" s="451"/>
      <c r="K3" s="451"/>
      <c r="L3" s="451"/>
    </row>
    <row r="4" spans="1:12">
      <c r="F4" s="451"/>
      <c r="G4" s="451"/>
      <c r="I4" s="451"/>
      <c r="J4" s="451"/>
      <c r="K4" s="451"/>
      <c r="L4" s="451"/>
    </row>
    <row r="5" spans="1:12" ht="37.5" customHeight="1">
      <c r="A5" s="835" t="s">
        <v>565</v>
      </c>
      <c r="B5" s="836"/>
      <c r="C5" s="884" t="s">
        <v>566</v>
      </c>
      <c r="D5" s="885"/>
      <c r="E5" s="885"/>
      <c r="F5" s="885"/>
      <c r="G5" s="885"/>
      <c r="H5" s="884" t="s">
        <v>876</v>
      </c>
      <c r="I5" s="886"/>
      <c r="J5" s="886"/>
      <c r="K5" s="886"/>
      <c r="L5" s="887"/>
    </row>
    <row r="6" spans="1:12" ht="39.450000000000003" customHeight="1">
      <c r="A6" s="839"/>
      <c r="B6" s="840"/>
      <c r="C6" s="333"/>
      <c r="D6" s="449" t="s">
        <v>861</v>
      </c>
      <c r="E6" s="449" t="s">
        <v>860</v>
      </c>
      <c r="F6" s="449" t="s">
        <v>859</v>
      </c>
      <c r="G6" s="449" t="s">
        <v>858</v>
      </c>
      <c r="H6" s="469"/>
      <c r="I6" s="449" t="s">
        <v>861</v>
      </c>
      <c r="J6" s="449" t="s">
        <v>860</v>
      </c>
      <c r="K6" s="449" t="s">
        <v>859</v>
      </c>
      <c r="L6" s="449" t="s">
        <v>858</v>
      </c>
    </row>
    <row r="7" spans="1:12">
      <c r="A7" s="441">
        <v>1</v>
      </c>
      <c r="B7" s="454" t="s">
        <v>488</v>
      </c>
      <c r="C7" s="722">
        <f>SUM(D7:G7)</f>
        <v>23938171.640000001</v>
      </c>
      <c r="D7" s="691">
        <v>23373563.289999999</v>
      </c>
      <c r="E7" s="691">
        <v>475413.59</v>
      </c>
      <c r="F7" s="720">
        <v>89194.76</v>
      </c>
      <c r="G7" s="720">
        <v>0</v>
      </c>
      <c r="H7" s="693">
        <f>SUM(I7:L7)</f>
        <v>390789.75</v>
      </c>
      <c r="I7" s="720">
        <v>220018.46</v>
      </c>
      <c r="J7" s="720">
        <v>97728.06</v>
      </c>
      <c r="K7" s="720">
        <v>73043.23</v>
      </c>
      <c r="L7" s="720">
        <v>0</v>
      </c>
    </row>
    <row r="8" spans="1:12">
      <c r="A8" s="441">
        <v>2</v>
      </c>
      <c r="B8" s="454" t="s">
        <v>489</v>
      </c>
      <c r="C8" s="722">
        <f t="shared" ref="C8:C32" si="0">SUM(D8:G8)</f>
        <v>16973629.009999998</v>
      </c>
      <c r="D8" s="691">
        <v>16660784.01</v>
      </c>
      <c r="E8" s="691">
        <v>287866.17</v>
      </c>
      <c r="F8" s="720">
        <v>24978.83</v>
      </c>
      <c r="G8" s="720">
        <v>0</v>
      </c>
      <c r="H8" s="693">
        <f t="shared" ref="H8:H32" si="1">SUM(I8:L8)</f>
        <v>221062.36000000002</v>
      </c>
      <c r="I8" s="720">
        <v>133749.5</v>
      </c>
      <c r="J8" s="720">
        <v>66853.91</v>
      </c>
      <c r="K8" s="720">
        <v>20458.95</v>
      </c>
      <c r="L8" s="720">
        <v>0</v>
      </c>
    </row>
    <row r="9" spans="1:12">
      <c r="A9" s="441">
        <v>3</v>
      </c>
      <c r="B9" s="454" t="s">
        <v>837</v>
      </c>
      <c r="C9" s="722">
        <f t="shared" si="0"/>
        <v>7587735.0899999999</v>
      </c>
      <c r="D9" s="691">
        <v>7280815.3799999999</v>
      </c>
      <c r="E9" s="691">
        <v>236363.89</v>
      </c>
      <c r="F9" s="721">
        <v>70555.820000000007</v>
      </c>
      <c r="G9" s="721">
        <v>0</v>
      </c>
      <c r="H9" s="693">
        <f t="shared" si="1"/>
        <v>192061.74000000002</v>
      </c>
      <c r="I9" s="721">
        <v>94132.38</v>
      </c>
      <c r="J9" s="721">
        <v>39862.83</v>
      </c>
      <c r="K9" s="721">
        <v>58066.53</v>
      </c>
      <c r="L9" s="721">
        <v>0</v>
      </c>
    </row>
    <row r="10" spans="1:12">
      <c r="A10" s="441">
        <v>4</v>
      </c>
      <c r="B10" s="454" t="s">
        <v>490</v>
      </c>
      <c r="C10" s="722">
        <f t="shared" si="0"/>
        <v>42209868.480000004</v>
      </c>
      <c r="D10" s="691">
        <v>42198373.700000003</v>
      </c>
      <c r="E10" s="691">
        <v>11494.78</v>
      </c>
      <c r="F10" s="721">
        <v>0</v>
      </c>
      <c r="G10" s="721">
        <v>0</v>
      </c>
      <c r="H10" s="693">
        <f t="shared" si="1"/>
        <v>107159.18000000001</v>
      </c>
      <c r="I10" s="721">
        <v>105376.57</v>
      </c>
      <c r="J10" s="721">
        <v>1782.61</v>
      </c>
      <c r="K10" s="721">
        <v>0</v>
      </c>
      <c r="L10" s="721">
        <v>0</v>
      </c>
    </row>
    <row r="11" spans="1:12">
      <c r="A11" s="441">
        <v>5</v>
      </c>
      <c r="B11" s="454" t="s">
        <v>491</v>
      </c>
      <c r="C11" s="722">
        <f t="shared" si="0"/>
        <v>43900583.789999999</v>
      </c>
      <c r="D11" s="691">
        <v>43158293.409999996</v>
      </c>
      <c r="E11" s="691">
        <v>700576.29</v>
      </c>
      <c r="F11" s="721">
        <v>41714.089999999997</v>
      </c>
      <c r="G11" s="721">
        <v>0</v>
      </c>
      <c r="H11" s="693">
        <f t="shared" si="1"/>
        <v>239292.15999999997</v>
      </c>
      <c r="I11" s="721">
        <v>141908.71</v>
      </c>
      <c r="J11" s="721">
        <v>71140.39</v>
      </c>
      <c r="K11" s="721">
        <v>26243.06</v>
      </c>
      <c r="L11" s="721">
        <v>0</v>
      </c>
    </row>
    <row r="12" spans="1:12">
      <c r="A12" s="441">
        <v>6</v>
      </c>
      <c r="B12" s="454" t="s">
        <v>492</v>
      </c>
      <c r="C12" s="722">
        <f t="shared" si="0"/>
        <v>17474331.370000001</v>
      </c>
      <c r="D12" s="691">
        <v>16721811.49</v>
      </c>
      <c r="E12" s="691">
        <v>630703.35999999999</v>
      </c>
      <c r="F12" s="721">
        <v>121816.52</v>
      </c>
      <c r="G12" s="721">
        <v>0</v>
      </c>
      <c r="H12" s="693">
        <f t="shared" si="1"/>
        <v>317361.25</v>
      </c>
      <c r="I12" s="721">
        <v>85148.44</v>
      </c>
      <c r="J12" s="721">
        <v>139443.85</v>
      </c>
      <c r="K12" s="721">
        <v>92768.960000000006</v>
      </c>
      <c r="L12" s="721">
        <v>0</v>
      </c>
    </row>
    <row r="13" spans="1:12">
      <c r="A13" s="441">
        <v>7</v>
      </c>
      <c r="B13" s="454" t="s">
        <v>493</v>
      </c>
      <c r="C13" s="722">
        <f t="shared" si="0"/>
        <v>4628713.99</v>
      </c>
      <c r="D13" s="691">
        <v>4164927.51</v>
      </c>
      <c r="E13" s="691">
        <v>394900.37</v>
      </c>
      <c r="F13" s="721">
        <v>68886.11</v>
      </c>
      <c r="G13" s="721">
        <v>0</v>
      </c>
      <c r="H13" s="693">
        <f t="shared" si="1"/>
        <v>164717.85</v>
      </c>
      <c r="I13" s="721">
        <v>32859.94</v>
      </c>
      <c r="J13" s="721">
        <v>75501.210000000006</v>
      </c>
      <c r="K13" s="721">
        <v>56356.7</v>
      </c>
      <c r="L13" s="721">
        <v>0</v>
      </c>
    </row>
    <row r="14" spans="1:12">
      <c r="A14" s="441">
        <v>8</v>
      </c>
      <c r="B14" s="454" t="s">
        <v>494</v>
      </c>
      <c r="C14" s="722">
        <f t="shared" si="0"/>
        <v>192698682.53999999</v>
      </c>
      <c r="D14" s="691">
        <v>183491629.63999999</v>
      </c>
      <c r="E14" s="691">
        <v>7466543.7800000003</v>
      </c>
      <c r="F14" s="721">
        <v>1734546.38</v>
      </c>
      <c r="G14" s="721">
        <v>5962.74</v>
      </c>
      <c r="H14" s="693">
        <f t="shared" si="1"/>
        <v>4148586.74</v>
      </c>
      <c r="I14" s="721">
        <v>1343149.61</v>
      </c>
      <c r="J14" s="721">
        <v>1464428.64</v>
      </c>
      <c r="K14" s="721">
        <v>1340940.03</v>
      </c>
      <c r="L14" s="721">
        <v>68.459999999999994</v>
      </c>
    </row>
    <row r="15" spans="1:12">
      <c r="A15" s="441">
        <v>9</v>
      </c>
      <c r="B15" s="454" t="s">
        <v>495</v>
      </c>
      <c r="C15" s="722">
        <f t="shared" si="0"/>
        <v>37574921.400000006</v>
      </c>
      <c r="D15" s="691">
        <v>36073003.210000001</v>
      </c>
      <c r="E15" s="691">
        <v>1236389.1299999999</v>
      </c>
      <c r="F15" s="721">
        <v>265529.06</v>
      </c>
      <c r="G15" s="721">
        <v>0</v>
      </c>
      <c r="H15" s="693">
        <f t="shared" si="1"/>
        <v>784475.2</v>
      </c>
      <c r="I15" s="721">
        <v>283660.46999999997</v>
      </c>
      <c r="J15" s="721">
        <v>284725.15999999997</v>
      </c>
      <c r="K15" s="721">
        <v>216089.57</v>
      </c>
      <c r="L15" s="721">
        <v>0</v>
      </c>
    </row>
    <row r="16" spans="1:12">
      <c r="A16" s="441">
        <v>10</v>
      </c>
      <c r="B16" s="454" t="s">
        <v>496</v>
      </c>
      <c r="C16" s="722">
        <f t="shared" si="0"/>
        <v>18330157.370000001</v>
      </c>
      <c r="D16" s="691">
        <v>17463429.199999999</v>
      </c>
      <c r="E16" s="691">
        <v>691855.76</v>
      </c>
      <c r="F16" s="721">
        <v>174872.41</v>
      </c>
      <c r="G16" s="721">
        <v>0</v>
      </c>
      <c r="H16" s="693">
        <f t="shared" si="1"/>
        <v>386266.48</v>
      </c>
      <c r="I16" s="721">
        <v>127280.79</v>
      </c>
      <c r="J16" s="721">
        <v>114175.18</v>
      </c>
      <c r="K16" s="721">
        <v>144810.51</v>
      </c>
      <c r="L16" s="721">
        <v>0</v>
      </c>
    </row>
    <row r="17" spans="1:12">
      <c r="A17" s="441">
        <v>11</v>
      </c>
      <c r="B17" s="454" t="s">
        <v>497</v>
      </c>
      <c r="C17" s="722">
        <f t="shared" si="0"/>
        <v>8461611.6399999987</v>
      </c>
      <c r="D17" s="691">
        <v>8029980.2199999997</v>
      </c>
      <c r="E17" s="691">
        <v>360053.22</v>
      </c>
      <c r="F17" s="721">
        <v>65122.02</v>
      </c>
      <c r="G17" s="721">
        <v>6456.18</v>
      </c>
      <c r="H17" s="693">
        <f t="shared" si="1"/>
        <v>207156.4</v>
      </c>
      <c r="I17" s="721">
        <v>75070.94</v>
      </c>
      <c r="J17" s="721">
        <v>77953.149999999994</v>
      </c>
      <c r="K17" s="721">
        <v>54058.19</v>
      </c>
      <c r="L17" s="721">
        <v>74.12</v>
      </c>
    </row>
    <row r="18" spans="1:12">
      <c r="A18" s="441">
        <v>12</v>
      </c>
      <c r="B18" s="454" t="s">
        <v>498</v>
      </c>
      <c r="C18" s="722">
        <f t="shared" si="0"/>
        <v>145983419.84999999</v>
      </c>
      <c r="D18" s="691">
        <v>139391879.44999999</v>
      </c>
      <c r="E18" s="691">
        <v>5399815.6900000004</v>
      </c>
      <c r="F18" s="721">
        <v>1191724.71</v>
      </c>
      <c r="G18" s="721">
        <v>0</v>
      </c>
      <c r="H18" s="693">
        <f t="shared" si="1"/>
        <v>3314138.99</v>
      </c>
      <c r="I18" s="721">
        <v>1054087.6200000001</v>
      </c>
      <c r="J18" s="721">
        <v>1296675.45</v>
      </c>
      <c r="K18" s="721">
        <v>963375.92</v>
      </c>
      <c r="L18" s="721">
        <v>0</v>
      </c>
    </row>
    <row r="19" spans="1:12">
      <c r="A19" s="441">
        <v>13</v>
      </c>
      <c r="B19" s="454" t="s">
        <v>499</v>
      </c>
      <c r="C19" s="722">
        <f t="shared" si="0"/>
        <v>24297949.630000003</v>
      </c>
      <c r="D19" s="691">
        <v>22972336.670000002</v>
      </c>
      <c r="E19" s="691">
        <v>1158690.6200000001</v>
      </c>
      <c r="F19" s="721">
        <v>166922.34</v>
      </c>
      <c r="G19" s="721">
        <v>0</v>
      </c>
      <c r="H19" s="693">
        <f t="shared" si="1"/>
        <v>669309.01</v>
      </c>
      <c r="I19" s="721">
        <v>253710.74</v>
      </c>
      <c r="J19" s="721">
        <v>277947.49</v>
      </c>
      <c r="K19" s="721">
        <v>137650.78</v>
      </c>
      <c r="L19" s="721">
        <v>0</v>
      </c>
    </row>
    <row r="20" spans="1:12">
      <c r="A20" s="441">
        <v>14</v>
      </c>
      <c r="B20" s="454" t="s">
        <v>500</v>
      </c>
      <c r="C20" s="722">
        <f t="shared" si="0"/>
        <v>80043274.910000011</v>
      </c>
      <c r="D20" s="691">
        <v>76469240.170000002</v>
      </c>
      <c r="E20" s="691">
        <v>3425870.76</v>
      </c>
      <c r="F20" s="721">
        <v>148163.98000000001</v>
      </c>
      <c r="G20" s="721">
        <v>0</v>
      </c>
      <c r="H20" s="693">
        <f t="shared" si="1"/>
        <v>797523.7</v>
      </c>
      <c r="I20" s="721">
        <v>333452.37</v>
      </c>
      <c r="J20" s="721">
        <v>343860.51</v>
      </c>
      <c r="K20" s="721">
        <v>120210.82</v>
      </c>
      <c r="L20" s="721">
        <v>0</v>
      </c>
    </row>
    <row r="21" spans="1:12">
      <c r="A21" s="441">
        <v>15</v>
      </c>
      <c r="B21" s="454" t="s">
        <v>501</v>
      </c>
      <c r="C21" s="722">
        <f t="shared" si="0"/>
        <v>55847681.57</v>
      </c>
      <c r="D21" s="691">
        <v>52896267.590000004</v>
      </c>
      <c r="E21" s="691">
        <v>2527921.98</v>
      </c>
      <c r="F21" s="721">
        <v>423492</v>
      </c>
      <c r="G21" s="721">
        <v>0</v>
      </c>
      <c r="H21" s="693">
        <f t="shared" si="1"/>
        <v>1262126.1200000001</v>
      </c>
      <c r="I21" s="721">
        <v>474129.46</v>
      </c>
      <c r="J21" s="721">
        <v>451606.67</v>
      </c>
      <c r="K21" s="721">
        <v>336389.99</v>
      </c>
      <c r="L21" s="721">
        <v>0</v>
      </c>
    </row>
    <row r="22" spans="1:12">
      <c r="A22" s="441">
        <v>16</v>
      </c>
      <c r="B22" s="454" t="s">
        <v>502</v>
      </c>
      <c r="C22" s="722">
        <f t="shared" si="0"/>
        <v>14454613.690000001</v>
      </c>
      <c r="D22" s="691">
        <v>12847519.42</v>
      </c>
      <c r="E22" s="691">
        <v>1470964.05</v>
      </c>
      <c r="F22" s="721">
        <v>136130.22</v>
      </c>
      <c r="G22" s="721">
        <v>0</v>
      </c>
      <c r="H22" s="693">
        <f t="shared" si="1"/>
        <v>438623.33999999997</v>
      </c>
      <c r="I22" s="721">
        <v>89224.52</v>
      </c>
      <c r="J22" s="721">
        <v>245268.16</v>
      </c>
      <c r="K22" s="721">
        <v>104130.66</v>
      </c>
      <c r="L22" s="721">
        <v>0</v>
      </c>
    </row>
    <row r="23" spans="1:12">
      <c r="A23" s="441">
        <v>17</v>
      </c>
      <c r="B23" s="454" t="s">
        <v>503</v>
      </c>
      <c r="C23" s="722">
        <f t="shared" si="0"/>
        <v>930497.18</v>
      </c>
      <c r="D23" s="691">
        <v>905004.16</v>
      </c>
      <c r="E23" s="691">
        <v>19216.88</v>
      </c>
      <c r="F23" s="721">
        <v>6276.14</v>
      </c>
      <c r="G23" s="721">
        <v>0</v>
      </c>
      <c r="H23" s="693">
        <f t="shared" si="1"/>
        <v>18860.39</v>
      </c>
      <c r="I23" s="721">
        <v>9091.56</v>
      </c>
      <c r="J23" s="721">
        <v>4605.37</v>
      </c>
      <c r="K23" s="721">
        <v>5163.46</v>
      </c>
      <c r="L23" s="721">
        <v>0</v>
      </c>
    </row>
    <row r="24" spans="1:12">
      <c r="A24" s="441">
        <v>18</v>
      </c>
      <c r="B24" s="454" t="s">
        <v>504</v>
      </c>
      <c r="C24" s="722">
        <f t="shared" si="0"/>
        <v>4383892.0199999996</v>
      </c>
      <c r="D24" s="691">
        <v>4211964.17</v>
      </c>
      <c r="E24" s="691">
        <v>142091.06</v>
      </c>
      <c r="F24" s="721">
        <v>29836.79</v>
      </c>
      <c r="G24" s="721">
        <v>0</v>
      </c>
      <c r="H24" s="693">
        <f t="shared" si="1"/>
        <v>97389.65</v>
      </c>
      <c r="I24" s="721">
        <v>46737.440000000002</v>
      </c>
      <c r="J24" s="721">
        <v>26142.560000000001</v>
      </c>
      <c r="K24" s="721">
        <v>24509.65</v>
      </c>
      <c r="L24" s="721">
        <v>0</v>
      </c>
    </row>
    <row r="25" spans="1:12">
      <c r="A25" s="441">
        <v>19</v>
      </c>
      <c r="B25" s="454" t="s">
        <v>505</v>
      </c>
      <c r="C25" s="722">
        <f t="shared" si="0"/>
        <v>7513013.2500000009</v>
      </c>
      <c r="D25" s="691">
        <v>7112306.1500000004</v>
      </c>
      <c r="E25" s="691">
        <v>238595.9</v>
      </c>
      <c r="F25" s="721">
        <v>162111.20000000001</v>
      </c>
      <c r="G25" s="721">
        <v>0</v>
      </c>
      <c r="H25" s="693">
        <f t="shared" si="1"/>
        <v>255061.05</v>
      </c>
      <c r="I25" s="721">
        <v>47460.87</v>
      </c>
      <c r="J25" s="721">
        <v>73269.5</v>
      </c>
      <c r="K25" s="721">
        <v>134330.68</v>
      </c>
      <c r="L25" s="721">
        <v>0</v>
      </c>
    </row>
    <row r="26" spans="1:12">
      <c r="A26" s="441">
        <v>20</v>
      </c>
      <c r="B26" s="454" t="s">
        <v>506</v>
      </c>
      <c r="C26" s="722">
        <f t="shared" si="0"/>
        <v>20532626.529999997</v>
      </c>
      <c r="D26" s="691">
        <v>20227146.469999999</v>
      </c>
      <c r="E26" s="691">
        <v>229512.66</v>
      </c>
      <c r="F26" s="721">
        <v>75967.399999999994</v>
      </c>
      <c r="G26" s="721">
        <v>0</v>
      </c>
      <c r="H26" s="693">
        <f t="shared" si="1"/>
        <v>245964.52</v>
      </c>
      <c r="I26" s="721">
        <v>137134.79999999999</v>
      </c>
      <c r="J26" s="721">
        <v>46417.06</v>
      </c>
      <c r="K26" s="721">
        <v>62412.66</v>
      </c>
      <c r="L26" s="721">
        <v>0</v>
      </c>
    </row>
    <row r="27" spans="1:12">
      <c r="A27" s="441">
        <v>21</v>
      </c>
      <c r="B27" s="454" t="s">
        <v>507</v>
      </c>
      <c r="C27" s="722">
        <f t="shared" si="0"/>
        <v>2833232.9099999997</v>
      </c>
      <c r="D27" s="691">
        <v>2795081.8</v>
      </c>
      <c r="E27" s="691">
        <v>27310.09</v>
      </c>
      <c r="F27" s="721">
        <v>10841.02</v>
      </c>
      <c r="G27" s="721">
        <v>0</v>
      </c>
      <c r="H27" s="693">
        <f t="shared" si="1"/>
        <v>30949.08</v>
      </c>
      <c r="I27" s="721">
        <v>18992.36</v>
      </c>
      <c r="J27" s="721">
        <v>3132.85</v>
      </c>
      <c r="K27" s="721">
        <v>8823.8700000000008</v>
      </c>
      <c r="L27" s="721">
        <v>0</v>
      </c>
    </row>
    <row r="28" spans="1:12">
      <c r="A28" s="441">
        <v>22</v>
      </c>
      <c r="B28" s="454" t="s">
        <v>508</v>
      </c>
      <c r="C28" s="722">
        <f t="shared" si="0"/>
        <v>1360573.74</v>
      </c>
      <c r="D28" s="691">
        <v>1319328.98</v>
      </c>
      <c r="E28" s="691">
        <v>5930.41</v>
      </c>
      <c r="F28" s="721">
        <v>35314.35</v>
      </c>
      <c r="G28" s="721">
        <v>0</v>
      </c>
      <c r="H28" s="693">
        <f t="shared" si="1"/>
        <v>39226.71</v>
      </c>
      <c r="I28" s="721">
        <v>7282.97</v>
      </c>
      <c r="J28" s="721">
        <v>2629.96</v>
      </c>
      <c r="K28" s="721">
        <v>29313.78</v>
      </c>
      <c r="L28" s="721">
        <v>0</v>
      </c>
    </row>
    <row r="29" spans="1:12">
      <c r="A29" s="441">
        <v>23</v>
      </c>
      <c r="B29" s="454" t="s">
        <v>509</v>
      </c>
      <c r="C29" s="722">
        <f t="shared" si="0"/>
        <v>648797306.23000014</v>
      </c>
      <c r="D29" s="691">
        <v>610148023.32000005</v>
      </c>
      <c r="E29" s="691">
        <v>30071453.129999999</v>
      </c>
      <c r="F29" s="721">
        <v>8555803.3200000003</v>
      </c>
      <c r="G29" s="721">
        <v>22026.46</v>
      </c>
      <c r="H29" s="693">
        <f t="shared" si="1"/>
        <v>19320455.530000001</v>
      </c>
      <c r="I29" s="721">
        <v>5653069.3099999996</v>
      </c>
      <c r="J29" s="721">
        <v>6865398.9500000002</v>
      </c>
      <c r="K29" s="721">
        <v>6800041.3300000001</v>
      </c>
      <c r="L29" s="721">
        <v>1945.94</v>
      </c>
    </row>
    <row r="30" spans="1:12">
      <c r="A30" s="441">
        <v>24</v>
      </c>
      <c r="B30" s="454" t="s">
        <v>510</v>
      </c>
      <c r="C30" s="722">
        <f t="shared" si="0"/>
        <v>1002018777.36</v>
      </c>
      <c r="D30" s="691">
        <v>951297902.96000004</v>
      </c>
      <c r="E30" s="691">
        <v>42194282.039999999</v>
      </c>
      <c r="F30" s="721">
        <v>8526592.3599999994</v>
      </c>
      <c r="G30" s="721">
        <v>0</v>
      </c>
      <c r="H30" s="693">
        <f t="shared" si="1"/>
        <v>24166006.760000002</v>
      </c>
      <c r="I30" s="721">
        <v>8481603</v>
      </c>
      <c r="J30" s="721">
        <v>8714519.2100000009</v>
      </c>
      <c r="K30" s="721">
        <v>6969884.5499999998</v>
      </c>
      <c r="L30" s="721">
        <v>0</v>
      </c>
    </row>
    <row r="31" spans="1:12">
      <c r="A31" s="441">
        <v>25</v>
      </c>
      <c r="B31" s="454" t="s">
        <v>511</v>
      </c>
      <c r="C31" s="722">
        <f t="shared" si="0"/>
        <v>272283773.09000003</v>
      </c>
      <c r="D31" s="691">
        <v>260566321.40000001</v>
      </c>
      <c r="E31" s="691">
        <v>8124166.0099999998</v>
      </c>
      <c r="F31" s="721">
        <v>3587290.86</v>
      </c>
      <c r="G31" s="721">
        <v>5994.82</v>
      </c>
      <c r="H31" s="693">
        <f t="shared" si="1"/>
        <v>6999845.6099999994</v>
      </c>
      <c r="I31" s="721">
        <v>2250011.1</v>
      </c>
      <c r="J31" s="721">
        <v>1975121.4</v>
      </c>
      <c r="K31" s="721">
        <v>2774644.28</v>
      </c>
      <c r="L31" s="721">
        <v>68.83</v>
      </c>
    </row>
    <row r="32" spans="1:12">
      <c r="A32" s="441">
        <v>26</v>
      </c>
      <c r="B32" s="454" t="s">
        <v>567</v>
      </c>
      <c r="C32" s="722">
        <f t="shared" si="0"/>
        <v>80534548.950000003</v>
      </c>
      <c r="D32" s="691">
        <v>76139922.379999995</v>
      </c>
      <c r="E32" s="691">
        <v>3418405.93</v>
      </c>
      <c r="F32" s="721">
        <v>976220.64</v>
      </c>
      <c r="G32" s="721">
        <v>0</v>
      </c>
      <c r="H32" s="693">
        <f t="shared" si="1"/>
        <v>2406293.2599999998</v>
      </c>
      <c r="I32" s="721">
        <v>827505.74</v>
      </c>
      <c r="J32" s="721">
        <v>785862.75</v>
      </c>
      <c r="K32" s="721">
        <v>792924.77</v>
      </c>
      <c r="L32" s="721">
        <v>0</v>
      </c>
    </row>
    <row r="33" spans="1:12">
      <c r="A33" s="441">
        <v>27</v>
      </c>
      <c r="B33" s="497" t="s">
        <v>67</v>
      </c>
      <c r="C33" s="722">
        <f>SUM(C7:C32)</f>
        <v>2775593587.23</v>
      </c>
      <c r="D33" s="722">
        <f t="shared" ref="D33:G33" si="2">SUM(D7:D32)</f>
        <v>2637916856.1500001</v>
      </c>
      <c r="E33" s="722">
        <f t="shared" si="2"/>
        <v>110946387.55000001</v>
      </c>
      <c r="F33" s="722">
        <f t="shared" si="2"/>
        <v>26689903.329999998</v>
      </c>
      <c r="G33" s="722">
        <f t="shared" si="2"/>
        <v>40440.199999999997</v>
      </c>
      <c r="H33" s="693">
        <f>SUM(H7:H32)</f>
        <v>67220702.830000013</v>
      </c>
      <c r="I33" s="723">
        <f>SUM(I7:I32)</f>
        <v>22325849.669999998</v>
      </c>
      <c r="J33" s="723">
        <f t="shared" ref="J33:L33" si="3">SUM(J7:J32)</f>
        <v>23546052.879999999</v>
      </c>
      <c r="K33" s="723">
        <f t="shared" si="3"/>
        <v>21346642.93</v>
      </c>
      <c r="L33" s="723">
        <f t="shared" si="3"/>
        <v>2157.35</v>
      </c>
    </row>
    <row r="35" spans="1:12">
      <c r="B35" s="496"/>
      <c r="C35" s="496"/>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opLeftCell="B1" zoomScale="70" zoomScaleNormal="70" workbookViewId="0">
      <selection activeCell="C6" sqref="C6:K11"/>
    </sheetView>
  </sheetViews>
  <sheetFormatPr defaultColWidth="8.77734375" defaultRowHeight="12"/>
  <cols>
    <col min="1" max="1" width="11.77734375" style="334" bestFit="1" customWidth="1"/>
    <col min="2" max="2" width="67.109375" style="334" customWidth="1"/>
    <col min="3" max="3" width="22" style="334" bestFit="1" customWidth="1"/>
    <col min="4" max="4" width="25.77734375" style="334" bestFit="1" customWidth="1"/>
    <col min="5" max="5" width="27.44140625" style="334" bestFit="1" customWidth="1"/>
    <col min="6" max="6" width="27.21875" style="334" bestFit="1" customWidth="1"/>
    <col min="7" max="7" width="22" style="334" bestFit="1" customWidth="1"/>
    <col min="8" max="8" width="25.5546875" style="334" bestFit="1" customWidth="1"/>
    <col min="9" max="9" width="26.88671875" style="334" bestFit="1" customWidth="1"/>
    <col min="10" max="10" width="22" style="334" bestFit="1" customWidth="1"/>
    <col min="11" max="11" width="28.21875" style="334" customWidth="1"/>
    <col min="12" max="16384" width="8.77734375" style="334"/>
  </cols>
  <sheetData>
    <row r="1" spans="1:11" s="327" customFormat="1" ht="13.8">
      <c r="A1" s="326" t="s">
        <v>98</v>
      </c>
      <c r="B1" s="247" t="str">
        <f>Info!C2</f>
        <v>სს "კრედო ბანკი"</v>
      </c>
      <c r="C1" s="451"/>
      <c r="D1" s="451"/>
      <c r="E1" s="451"/>
      <c r="F1" s="451"/>
      <c r="G1" s="451"/>
      <c r="H1" s="451"/>
      <c r="I1" s="451"/>
      <c r="J1" s="451"/>
      <c r="K1" s="451"/>
    </row>
    <row r="2" spans="1:11" s="327" customFormat="1">
      <c r="A2" s="326" t="s">
        <v>99</v>
      </c>
      <c r="B2" s="329">
        <f>'1. key ratios'!B2</f>
        <v>45838</v>
      </c>
      <c r="C2" s="451"/>
      <c r="D2" s="451"/>
      <c r="E2" s="451"/>
      <c r="F2" s="451"/>
      <c r="G2" s="451"/>
      <c r="H2" s="451"/>
      <c r="I2" s="451"/>
      <c r="J2" s="451"/>
      <c r="K2" s="451"/>
    </row>
    <row r="3" spans="1:11" s="327" customFormat="1">
      <c r="A3" s="328" t="s">
        <v>568</v>
      </c>
      <c r="B3" s="451"/>
      <c r="C3" s="451"/>
      <c r="D3" s="451"/>
      <c r="E3" s="451"/>
      <c r="F3" s="451"/>
      <c r="G3" s="451"/>
      <c r="H3" s="451"/>
      <c r="I3" s="451"/>
      <c r="J3" s="451"/>
      <c r="K3" s="451"/>
    </row>
    <row r="4" spans="1:11">
      <c r="A4" s="501"/>
      <c r="B4" s="501"/>
      <c r="C4" s="500" t="s">
        <v>472</v>
      </c>
      <c r="D4" s="500" t="s">
        <v>473</v>
      </c>
      <c r="E4" s="500" t="s">
        <v>474</v>
      </c>
      <c r="F4" s="500" t="s">
        <v>475</v>
      </c>
      <c r="G4" s="500" t="s">
        <v>476</v>
      </c>
      <c r="H4" s="500" t="s">
        <v>477</v>
      </c>
      <c r="I4" s="500" t="s">
        <v>478</v>
      </c>
      <c r="J4" s="500" t="s">
        <v>479</v>
      </c>
      <c r="K4" s="500" t="s">
        <v>480</v>
      </c>
    </row>
    <row r="5" spans="1:11" ht="103.95" customHeight="1">
      <c r="A5" s="888" t="s">
        <v>875</v>
      </c>
      <c r="B5" s="889"/>
      <c r="C5" s="499" t="s">
        <v>569</v>
      </c>
      <c r="D5" s="499" t="s">
        <v>562</v>
      </c>
      <c r="E5" s="499" t="s">
        <v>563</v>
      </c>
      <c r="F5" s="499" t="s">
        <v>874</v>
      </c>
      <c r="G5" s="499" t="s">
        <v>570</v>
      </c>
      <c r="H5" s="499" t="s">
        <v>571</v>
      </c>
      <c r="I5" s="499" t="s">
        <v>572</v>
      </c>
      <c r="J5" s="499" t="s">
        <v>573</v>
      </c>
      <c r="K5" s="499" t="s">
        <v>574</v>
      </c>
    </row>
    <row r="6" spans="1:11">
      <c r="A6" s="441">
        <v>1</v>
      </c>
      <c r="B6" s="441" t="s">
        <v>575</v>
      </c>
      <c r="C6" s="691">
        <v>7691463.8841344118</v>
      </c>
      <c r="D6" s="691">
        <v>60792.117947795196</v>
      </c>
      <c r="E6" s="691"/>
      <c r="F6" s="691"/>
      <c r="G6" s="691">
        <v>936797906.89899874</v>
      </c>
      <c r="H6" s="691"/>
      <c r="I6" s="691">
        <v>115327126.91958702</v>
      </c>
      <c r="J6" s="691">
        <v>310280607.66444266</v>
      </c>
      <c r="K6" s="691">
        <v>1405435689.7268791</v>
      </c>
    </row>
    <row r="7" spans="1:11">
      <c r="A7" s="441">
        <v>2</v>
      </c>
      <c r="B7" s="441" t="s">
        <v>576</v>
      </c>
      <c r="C7" s="691"/>
      <c r="D7" s="691"/>
      <c r="E7" s="691"/>
      <c r="F7" s="691"/>
      <c r="G7" s="691"/>
      <c r="H7" s="691"/>
      <c r="I7" s="691"/>
      <c r="J7" s="691"/>
      <c r="K7" s="691"/>
    </row>
    <row r="8" spans="1:11">
      <c r="A8" s="441">
        <v>3</v>
      </c>
      <c r="B8" s="441" t="s">
        <v>540</v>
      </c>
      <c r="C8" s="691">
        <v>2750105.2671827162</v>
      </c>
      <c r="D8" s="691">
        <v>0</v>
      </c>
      <c r="E8" s="691"/>
      <c r="F8" s="691"/>
      <c r="G8" s="691">
        <v>16891267.418685801</v>
      </c>
      <c r="H8" s="691"/>
      <c r="I8" s="691">
        <v>361835.53796483198</v>
      </c>
      <c r="J8" s="691">
        <v>11405082.149614032</v>
      </c>
      <c r="K8" s="691">
        <v>353866670.16553003</v>
      </c>
    </row>
    <row r="9" spans="1:11">
      <c r="A9" s="441">
        <v>4</v>
      </c>
      <c r="B9" s="458" t="s">
        <v>873</v>
      </c>
      <c r="C9" s="736">
        <v>0</v>
      </c>
      <c r="D9" s="736">
        <v>0</v>
      </c>
      <c r="E9" s="736"/>
      <c r="F9" s="736"/>
      <c r="G9" s="736">
        <v>1675580.979344144</v>
      </c>
      <c r="H9" s="736"/>
      <c r="I9" s="736">
        <v>2194597.1212767079</v>
      </c>
      <c r="J9" s="736">
        <v>3092494.1432630001</v>
      </c>
      <c r="K9" s="736">
        <v>19767667.970288798</v>
      </c>
    </row>
    <row r="10" spans="1:11">
      <c r="A10" s="441">
        <v>5</v>
      </c>
      <c r="B10" s="458" t="s">
        <v>872</v>
      </c>
      <c r="C10" s="736"/>
      <c r="D10" s="736"/>
      <c r="E10" s="736"/>
      <c r="F10" s="736"/>
      <c r="G10" s="736"/>
      <c r="H10" s="736"/>
      <c r="I10" s="736"/>
      <c r="J10" s="736"/>
      <c r="K10" s="736"/>
    </row>
    <row r="11" spans="1:11">
      <c r="A11" s="441">
        <v>6</v>
      </c>
      <c r="B11" s="458" t="s">
        <v>871</v>
      </c>
      <c r="C11" s="736"/>
      <c r="D11" s="736"/>
      <c r="E11" s="736"/>
      <c r="F11" s="736"/>
      <c r="G11" s="736"/>
      <c r="H11" s="736"/>
      <c r="I11" s="736"/>
      <c r="J11" s="736"/>
      <c r="K11" s="736"/>
    </row>
    <row r="13" spans="1:11" ht="13.8">
      <c r="B13" s="498"/>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C20" sqref="C20"/>
    </sheetView>
  </sheetViews>
  <sheetFormatPr defaultColWidth="8.77734375" defaultRowHeight="14.4"/>
  <cols>
    <col min="1" max="1" width="10" style="502" bestFit="1" customWidth="1"/>
    <col min="2" max="2" width="71.77734375" style="502" customWidth="1"/>
    <col min="3" max="3" width="11.6640625" style="502" bestFit="1" customWidth="1"/>
    <col min="4" max="5" width="15.21875" style="502" bestFit="1" customWidth="1"/>
    <col min="6" max="6" width="20" style="502" bestFit="1" customWidth="1"/>
    <col min="7" max="7" width="37.6640625" style="502" bestFit="1" customWidth="1"/>
    <col min="8" max="8" width="11.6640625" style="502" bestFit="1" customWidth="1"/>
    <col min="9" max="10" width="15.21875" style="502" bestFit="1" customWidth="1"/>
    <col min="11" max="11" width="20" style="502" bestFit="1" customWidth="1"/>
    <col min="12" max="12" width="37.6640625" style="502" bestFit="1" customWidth="1"/>
    <col min="13" max="13" width="10.6640625" style="502" bestFit="1" customWidth="1"/>
    <col min="14" max="15" width="15.21875" style="502" bestFit="1" customWidth="1"/>
    <col min="16" max="16" width="20" style="502" bestFit="1" customWidth="1"/>
    <col min="17" max="17" width="37.6640625" style="502" bestFit="1" customWidth="1"/>
    <col min="18" max="18" width="18" style="502" bestFit="1" customWidth="1"/>
    <col min="19" max="19" width="48" style="502" bestFit="1" customWidth="1"/>
    <col min="20" max="20" width="45.77734375" style="502" bestFit="1" customWidth="1"/>
    <col min="21" max="21" width="48" style="502" bestFit="1" customWidth="1"/>
    <col min="22" max="22" width="44.33203125" style="502" bestFit="1" customWidth="1"/>
    <col min="23" max="16384" width="8.77734375" style="502"/>
  </cols>
  <sheetData>
    <row r="1" spans="1:22">
      <c r="A1" s="326" t="s">
        <v>98</v>
      </c>
      <c r="B1" s="247" t="str">
        <f>Info!C2</f>
        <v>სს "კრედო ბანკი"</v>
      </c>
    </row>
    <row r="2" spans="1:22">
      <c r="A2" s="326" t="s">
        <v>99</v>
      </c>
      <c r="B2" s="329">
        <f>'1. key ratios'!B2</f>
        <v>45838</v>
      </c>
    </row>
    <row r="3" spans="1:22">
      <c r="A3" s="328" t="s">
        <v>658</v>
      </c>
      <c r="B3" s="451"/>
    </row>
    <row r="4" spans="1:22">
      <c r="A4" s="328"/>
      <c r="B4" s="451"/>
    </row>
    <row r="5" spans="1:22" ht="24" customHeight="1">
      <c r="A5" s="890" t="s">
        <v>685</v>
      </c>
      <c r="B5" s="890"/>
      <c r="C5" s="892" t="s">
        <v>877</v>
      </c>
      <c r="D5" s="892"/>
      <c r="E5" s="892"/>
      <c r="F5" s="892"/>
      <c r="G5" s="892"/>
      <c r="H5" s="892" t="s">
        <v>566</v>
      </c>
      <c r="I5" s="892"/>
      <c r="J5" s="892"/>
      <c r="K5" s="892"/>
      <c r="L5" s="892"/>
      <c r="M5" s="892" t="s">
        <v>876</v>
      </c>
      <c r="N5" s="892"/>
      <c r="O5" s="892"/>
      <c r="P5" s="892"/>
      <c r="Q5" s="892"/>
      <c r="R5" s="891" t="s">
        <v>684</v>
      </c>
      <c r="S5" s="891" t="s">
        <v>688</v>
      </c>
      <c r="T5" s="891" t="s">
        <v>687</v>
      </c>
      <c r="U5" s="891" t="s">
        <v>915</v>
      </c>
      <c r="V5" s="891" t="s">
        <v>916</v>
      </c>
    </row>
    <row r="6" spans="1:22" ht="36" customHeight="1">
      <c r="A6" s="890"/>
      <c r="B6" s="890"/>
      <c r="C6" s="511"/>
      <c r="D6" s="449" t="s">
        <v>861</v>
      </c>
      <c r="E6" s="449" t="s">
        <v>860</v>
      </c>
      <c r="F6" s="449" t="s">
        <v>859</v>
      </c>
      <c r="G6" s="449" t="s">
        <v>858</v>
      </c>
      <c r="H6" s="511"/>
      <c r="I6" s="449" t="s">
        <v>861</v>
      </c>
      <c r="J6" s="449" t="s">
        <v>860</v>
      </c>
      <c r="K6" s="449" t="s">
        <v>859</v>
      </c>
      <c r="L6" s="449" t="s">
        <v>858</v>
      </c>
      <c r="M6" s="511"/>
      <c r="N6" s="449" t="s">
        <v>861</v>
      </c>
      <c r="O6" s="449" t="s">
        <v>860</v>
      </c>
      <c r="P6" s="449" t="s">
        <v>859</v>
      </c>
      <c r="Q6" s="449" t="s">
        <v>858</v>
      </c>
      <c r="R6" s="891"/>
      <c r="S6" s="891"/>
      <c r="T6" s="891"/>
      <c r="U6" s="891"/>
      <c r="V6" s="891"/>
    </row>
    <row r="7" spans="1:22">
      <c r="A7" s="506">
        <v>1</v>
      </c>
      <c r="B7" s="510" t="s">
        <v>659</v>
      </c>
      <c r="C7" s="737">
        <f>SUM(D7:G7)</f>
        <v>29257292.894600067</v>
      </c>
      <c r="D7" s="736">
        <v>27476964.614600066</v>
      </c>
      <c r="E7" s="736">
        <v>884542.94000000041</v>
      </c>
      <c r="F7" s="736">
        <v>874196.32000000007</v>
      </c>
      <c r="G7" s="736">
        <v>21589.02</v>
      </c>
      <c r="H7" s="737">
        <f>SUM(I7:L7)</f>
        <v>30020416.905993141</v>
      </c>
      <c r="I7" s="736">
        <v>27933093.533135358</v>
      </c>
      <c r="J7" s="736">
        <v>950333.38001253165</v>
      </c>
      <c r="K7" s="736">
        <v>1114963.5361268539</v>
      </c>
      <c r="L7" s="736">
        <v>22026.456718398302</v>
      </c>
      <c r="M7" s="737">
        <f>SUM(N7:Q7)</f>
        <v>1456467.7394787341</v>
      </c>
      <c r="N7" s="736">
        <v>315966.16290143499</v>
      </c>
      <c r="O7" s="736">
        <v>349673.63829341793</v>
      </c>
      <c r="P7" s="736">
        <v>788881.99441637972</v>
      </c>
      <c r="Q7" s="736">
        <v>1945.9438675016299</v>
      </c>
      <c r="R7" s="736">
        <v>24868</v>
      </c>
      <c r="S7" s="738">
        <v>0.21029999999999999</v>
      </c>
      <c r="T7" s="738">
        <v>0.299234</v>
      </c>
      <c r="U7" s="738">
        <v>0.23</v>
      </c>
      <c r="V7" s="735">
        <v>34.8307</v>
      </c>
    </row>
    <row r="8" spans="1:22">
      <c r="A8" s="506">
        <v>2</v>
      </c>
      <c r="B8" s="509" t="s">
        <v>660</v>
      </c>
      <c r="C8" s="737">
        <f t="shared" ref="C8:C18" si="0">SUM(D8:G8)</f>
        <v>1125221013.2266846</v>
      </c>
      <c r="D8" s="736">
        <v>1043029306.1100848</v>
      </c>
      <c r="E8" s="736">
        <v>70453829.156599686</v>
      </c>
      <c r="F8" s="736">
        <v>11737877.959999986</v>
      </c>
      <c r="G8" s="736">
        <v>0</v>
      </c>
      <c r="H8" s="737">
        <f t="shared" ref="H8:H18" si="1">SUM(I8:L8)</f>
        <v>1118974682.7877443</v>
      </c>
      <c r="I8" s="736">
        <v>1037236355.626755</v>
      </c>
      <c r="J8" s="736">
        <v>68296469.289119512</v>
      </c>
      <c r="K8" s="736">
        <v>13441857.87186984</v>
      </c>
      <c r="L8" s="736">
        <v>0</v>
      </c>
      <c r="M8" s="737">
        <f t="shared" ref="M8:M18" si="2">SUM(N8:Q8)</f>
        <v>35795802.060731038</v>
      </c>
      <c r="N8" s="736">
        <v>10507352.802929332</v>
      </c>
      <c r="O8" s="736">
        <v>14297016.904459538</v>
      </c>
      <c r="P8" s="736">
        <v>10991432.353342164</v>
      </c>
      <c r="Q8" s="736">
        <v>0</v>
      </c>
      <c r="R8" s="736">
        <v>163976</v>
      </c>
      <c r="S8" s="738">
        <v>0.2339</v>
      </c>
      <c r="T8" s="738">
        <v>0.314473</v>
      </c>
      <c r="U8" s="738">
        <v>0.22</v>
      </c>
      <c r="V8" s="735">
        <v>40.351799999999997</v>
      </c>
    </row>
    <row r="9" spans="1:22">
      <c r="A9" s="506">
        <v>3</v>
      </c>
      <c r="B9" s="509" t="s">
        <v>661</v>
      </c>
      <c r="C9" s="737">
        <f t="shared" si="0"/>
        <v>0</v>
      </c>
      <c r="D9" s="736">
        <v>0</v>
      </c>
      <c r="E9" s="736">
        <v>0</v>
      </c>
      <c r="F9" s="736">
        <v>0</v>
      </c>
      <c r="G9" s="736">
        <v>0</v>
      </c>
      <c r="H9" s="737">
        <f t="shared" si="1"/>
        <v>0</v>
      </c>
      <c r="I9" s="736">
        <v>0</v>
      </c>
      <c r="J9" s="736">
        <v>0</v>
      </c>
      <c r="K9" s="736">
        <v>0</v>
      </c>
      <c r="L9" s="736">
        <v>0</v>
      </c>
      <c r="M9" s="737">
        <f t="shared" si="2"/>
        <v>0</v>
      </c>
      <c r="N9" s="736">
        <v>0</v>
      </c>
      <c r="O9" s="736">
        <v>0</v>
      </c>
      <c r="P9" s="736">
        <v>0</v>
      </c>
      <c r="Q9" s="736">
        <v>0</v>
      </c>
      <c r="R9" s="736">
        <v>0</v>
      </c>
      <c r="S9" s="738">
        <v>0</v>
      </c>
      <c r="T9" s="738">
        <v>0</v>
      </c>
      <c r="U9" s="738">
        <v>0</v>
      </c>
      <c r="V9" s="735">
        <v>0</v>
      </c>
    </row>
    <row r="10" spans="1:22">
      <c r="A10" s="506">
        <v>4</v>
      </c>
      <c r="B10" s="509" t="s">
        <v>662</v>
      </c>
      <c r="C10" s="737">
        <f t="shared" si="0"/>
        <v>251442680.69999769</v>
      </c>
      <c r="D10" s="736">
        <v>241410889.5399977</v>
      </c>
      <c r="E10" s="736">
        <v>6815926.0500000017</v>
      </c>
      <c r="F10" s="736">
        <v>3215865.1099999975</v>
      </c>
      <c r="G10" s="736">
        <v>0</v>
      </c>
      <c r="H10" s="737">
        <f t="shared" si="1"/>
        <v>269629778.17447174</v>
      </c>
      <c r="I10" s="736">
        <v>256296043.40293261</v>
      </c>
      <c r="J10" s="736">
        <v>8299668.8605244104</v>
      </c>
      <c r="K10" s="736">
        <v>5034065.9110147087</v>
      </c>
      <c r="L10" s="736">
        <v>0</v>
      </c>
      <c r="M10" s="737">
        <f t="shared" si="2"/>
        <v>10117785.512209559</v>
      </c>
      <c r="N10" s="736">
        <v>3544825.3260316164</v>
      </c>
      <c r="O10" s="736">
        <v>2475563.3284787829</v>
      </c>
      <c r="P10" s="736">
        <v>4097396.8576991591</v>
      </c>
      <c r="Q10" s="736">
        <v>0</v>
      </c>
      <c r="R10" s="736">
        <v>283339</v>
      </c>
      <c r="S10" s="738">
        <v>9.5799999999999996E-2</v>
      </c>
      <c r="T10" s="738">
        <v>0.19442899999999999</v>
      </c>
      <c r="U10" s="738">
        <v>0.14000000000000001</v>
      </c>
      <c r="V10" s="735">
        <v>16.832799999999999</v>
      </c>
    </row>
    <row r="11" spans="1:22">
      <c r="A11" s="506">
        <v>5</v>
      </c>
      <c r="B11" s="509" t="s">
        <v>663</v>
      </c>
      <c r="C11" s="737">
        <f t="shared" si="0"/>
        <v>1433381.4922</v>
      </c>
      <c r="D11" s="736">
        <v>1433381.4922</v>
      </c>
      <c r="E11" s="736">
        <v>0</v>
      </c>
      <c r="F11" s="736">
        <v>0</v>
      </c>
      <c r="G11" s="736">
        <v>0</v>
      </c>
      <c r="H11" s="737">
        <f t="shared" si="1"/>
        <v>1479896.65049247</v>
      </c>
      <c r="I11" s="736">
        <v>1479896.65049247</v>
      </c>
      <c r="J11" s="736">
        <v>0</v>
      </c>
      <c r="K11" s="736">
        <v>0</v>
      </c>
      <c r="L11" s="736">
        <v>0</v>
      </c>
      <c r="M11" s="737">
        <f t="shared" si="2"/>
        <v>3948.8241034473504</v>
      </c>
      <c r="N11" s="736">
        <v>3948.8241034473504</v>
      </c>
      <c r="O11" s="736">
        <v>0</v>
      </c>
      <c r="P11" s="736">
        <v>0</v>
      </c>
      <c r="Q11" s="736">
        <v>0</v>
      </c>
      <c r="R11" s="736">
        <v>20</v>
      </c>
      <c r="S11" s="738">
        <v>0.10340000000000001</v>
      </c>
      <c r="T11" s="738">
        <v>0.12723400000000001</v>
      </c>
      <c r="U11" s="738">
        <v>0.11</v>
      </c>
      <c r="V11" s="735">
        <v>8.7218999999999998</v>
      </c>
    </row>
    <row r="12" spans="1:22">
      <c r="A12" s="506">
        <v>6</v>
      </c>
      <c r="B12" s="509" t="s">
        <v>664</v>
      </c>
      <c r="C12" s="737">
        <f t="shared" si="0"/>
        <v>74574073.419999525</v>
      </c>
      <c r="D12" s="736">
        <v>70675784.729999527</v>
      </c>
      <c r="E12" s="736">
        <v>2225794.7699999991</v>
      </c>
      <c r="F12" s="736">
        <v>1672493.9199999997</v>
      </c>
      <c r="G12" s="736">
        <v>0</v>
      </c>
      <c r="H12" s="737">
        <f t="shared" si="1"/>
        <v>74880062.465704829</v>
      </c>
      <c r="I12" s="736">
        <v>70965099.87927869</v>
      </c>
      <c r="J12" s="736">
        <v>2236094.5243322616</v>
      </c>
      <c r="K12" s="736">
        <v>1678868.0620938889</v>
      </c>
      <c r="L12" s="736">
        <v>0</v>
      </c>
      <c r="M12" s="737">
        <f t="shared" si="2"/>
        <v>3283865.0766828097</v>
      </c>
      <c r="N12" s="736">
        <v>1035723.7546567321</v>
      </c>
      <c r="O12" s="736">
        <v>881591.00674988737</v>
      </c>
      <c r="P12" s="736">
        <v>1366550.3152761904</v>
      </c>
      <c r="Q12" s="736">
        <v>0</v>
      </c>
      <c r="R12" s="736">
        <v>120724</v>
      </c>
      <c r="S12" s="738">
        <v>0.34989999999999999</v>
      </c>
      <c r="T12" s="738">
        <v>0.42072199999999998</v>
      </c>
      <c r="U12" s="738">
        <v>0.34</v>
      </c>
      <c r="V12" s="735">
        <v>322.78730000000002</v>
      </c>
    </row>
    <row r="13" spans="1:22">
      <c r="A13" s="506">
        <v>7</v>
      </c>
      <c r="B13" s="509" t="s">
        <v>665</v>
      </c>
      <c r="C13" s="737">
        <f t="shared" si="0"/>
        <v>286272843.62710088</v>
      </c>
      <c r="D13" s="739">
        <f>SUM(D14:D16)</f>
        <v>282179288.41710085</v>
      </c>
      <c r="E13" s="739">
        <f t="shared" ref="E13:G13" si="3">SUM(E14:E16)</f>
        <v>2940454.3699999996</v>
      </c>
      <c r="F13" s="739">
        <f t="shared" si="3"/>
        <v>1147162.4300000004</v>
      </c>
      <c r="G13" s="739">
        <f t="shared" si="3"/>
        <v>5938.41</v>
      </c>
      <c r="H13" s="737">
        <f t="shared" si="1"/>
        <v>287920921.26605874</v>
      </c>
      <c r="I13" s="739">
        <f>SUM(I14:I16)</f>
        <v>283795500.37421501</v>
      </c>
      <c r="J13" s="739">
        <f t="shared" ref="J13:L13" si="4">SUM(J14:J16)</f>
        <v>2852279.8290643408</v>
      </c>
      <c r="K13" s="739">
        <f t="shared" si="4"/>
        <v>1267178.3276614812</v>
      </c>
      <c r="L13" s="739">
        <f t="shared" si="4"/>
        <v>5962.7351178919598</v>
      </c>
      <c r="M13" s="737">
        <f t="shared" si="2"/>
        <v>2748201.5601411201</v>
      </c>
      <c r="N13" s="739">
        <f>SUM(N14:N16)</f>
        <v>1241424.7302981245</v>
      </c>
      <c r="O13" s="739">
        <f t="shared" ref="O13:Q13" si="5">SUM(O14:O16)</f>
        <v>620692.45080613578</v>
      </c>
      <c r="P13" s="739">
        <f t="shared" si="5"/>
        <v>886015.92047161772</v>
      </c>
      <c r="Q13" s="739">
        <f t="shared" si="5"/>
        <v>68.458565241934394</v>
      </c>
      <c r="R13" s="739">
        <v>11842</v>
      </c>
      <c r="S13" s="738">
        <v>0.1545</v>
      </c>
      <c r="T13" s="738">
        <v>0.18937399999999999</v>
      </c>
      <c r="U13" s="738">
        <v>0.15129999999999999</v>
      </c>
      <c r="V13" s="735">
        <v>100.6557</v>
      </c>
    </row>
    <row r="14" spans="1:22">
      <c r="A14" s="504">
        <v>7.1</v>
      </c>
      <c r="B14" s="503" t="s">
        <v>666</v>
      </c>
      <c r="C14" s="737">
        <f t="shared" si="0"/>
        <v>198538421.78370073</v>
      </c>
      <c r="D14" s="736">
        <v>197687249.09370074</v>
      </c>
      <c r="E14" s="736">
        <v>134157.19</v>
      </c>
      <c r="F14" s="736">
        <v>717015.50000000012</v>
      </c>
      <c r="G14" s="736">
        <v>0</v>
      </c>
      <c r="H14" s="737">
        <f t="shared" si="1"/>
        <v>200602250.58407378</v>
      </c>
      <c r="I14" s="736">
        <v>199685420.77273402</v>
      </c>
      <c r="J14" s="736">
        <v>134793.9738181984</v>
      </c>
      <c r="K14" s="736">
        <v>782035.83752155525</v>
      </c>
      <c r="L14" s="736">
        <v>0</v>
      </c>
      <c r="M14" s="737">
        <f t="shared" si="2"/>
        <v>1127905.086734144</v>
      </c>
      <c r="N14" s="736">
        <v>594268.98272744007</v>
      </c>
      <c r="O14" s="736">
        <v>44247.222286118253</v>
      </c>
      <c r="P14" s="736">
        <v>489388.88172058581</v>
      </c>
      <c r="Q14" s="736">
        <v>0</v>
      </c>
      <c r="R14" s="736">
        <v>2255</v>
      </c>
      <c r="S14" s="738">
        <v>0.13980000000000001</v>
      </c>
      <c r="T14" s="738">
        <v>0.16490099999999999</v>
      </c>
      <c r="U14" s="738">
        <v>0.13</v>
      </c>
      <c r="V14" s="735">
        <v>123.0521</v>
      </c>
    </row>
    <row r="15" spans="1:22" ht="24">
      <c r="A15" s="504">
        <v>7.2</v>
      </c>
      <c r="B15" s="503" t="s">
        <v>667</v>
      </c>
      <c r="C15" s="737">
        <f t="shared" si="0"/>
        <v>3843227.8121999996</v>
      </c>
      <c r="D15" s="736">
        <v>3774100.5521999998</v>
      </c>
      <c r="E15" s="736">
        <v>69127.259999999995</v>
      </c>
      <c r="F15" s="736">
        <v>0</v>
      </c>
      <c r="G15" s="736">
        <v>0</v>
      </c>
      <c r="H15" s="737">
        <f t="shared" si="1"/>
        <v>3856541.0530443741</v>
      </c>
      <c r="I15" s="736">
        <v>3788047.3133609467</v>
      </c>
      <c r="J15" s="736">
        <v>68493.739683427601</v>
      </c>
      <c r="K15" s="736">
        <v>0</v>
      </c>
      <c r="L15" s="736">
        <v>0</v>
      </c>
      <c r="M15" s="737">
        <f t="shared" si="2"/>
        <v>29867.013972543333</v>
      </c>
      <c r="N15" s="736">
        <v>9382.3646520942293</v>
      </c>
      <c r="O15" s="736">
        <v>20484.649320449102</v>
      </c>
      <c r="P15" s="736">
        <v>0</v>
      </c>
      <c r="Q15" s="736">
        <v>0</v>
      </c>
      <c r="R15" s="736">
        <v>52</v>
      </c>
      <c r="S15" s="738">
        <v>0.1298</v>
      </c>
      <c r="T15" s="738">
        <v>0.15659000000000001</v>
      </c>
      <c r="U15" s="738">
        <v>0.12</v>
      </c>
      <c r="V15" s="735">
        <v>94.546300000000002</v>
      </c>
    </row>
    <row r="16" spans="1:22">
      <c r="A16" s="504">
        <v>7.3</v>
      </c>
      <c r="B16" s="503" t="s">
        <v>668</v>
      </c>
      <c r="C16" s="737">
        <f t="shared" si="0"/>
        <v>83891194.031200111</v>
      </c>
      <c r="D16" s="736">
        <v>80717938.771200106</v>
      </c>
      <c r="E16" s="736">
        <v>2737169.9199999995</v>
      </c>
      <c r="F16" s="736">
        <v>430146.93000000023</v>
      </c>
      <c r="G16" s="736">
        <v>5938.41</v>
      </c>
      <c r="H16" s="737">
        <f t="shared" si="1"/>
        <v>83462129.628940567</v>
      </c>
      <c r="I16" s="736">
        <v>80322032.288120031</v>
      </c>
      <c r="J16" s="736">
        <v>2648992.1155627146</v>
      </c>
      <c r="K16" s="736">
        <v>485142.49013992591</v>
      </c>
      <c r="L16" s="736">
        <v>5962.7351178919598</v>
      </c>
      <c r="M16" s="737">
        <f t="shared" si="2"/>
        <v>1590429.4594344324</v>
      </c>
      <c r="N16" s="736">
        <v>637773.38291859021</v>
      </c>
      <c r="O16" s="736">
        <v>555960.57919956848</v>
      </c>
      <c r="P16" s="736">
        <v>396627.03875103191</v>
      </c>
      <c r="Q16" s="736">
        <v>68.458565241934394</v>
      </c>
      <c r="R16" s="736">
        <v>9535</v>
      </c>
      <c r="S16" s="738">
        <v>0.19420000000000001</v>
      </c>
      <c r="T16" s="738">
        <v>0.25506200000000001</v>
      </c>
      <c r="U16" s="738">
        <v>0.2</v>
      </c>
      <c r="V16" s="735">
        <v>47.931899999999999</v>
      </c>
    </row>
    <row r="17" spans="1:22">
      <c r="A17" s="506">
        <v>8</v>
      </c>
      <c r="B17" s="509" t="s">
        <v>669</v>
      </c>
      <c r="C17" s="737">
        <f t="shared" si="0"/>
        <v>0</v>
      </c>
      <c r="D17" s="736">
        <v>0</v>
      </c>
      <c r="E17" s="736">
        <v>0</v>
      </c>
      <c r="F17" s="736">
        <v>0</v>
      </c>
      <c r="G17" s="736">
        <v>0</v>
      </c>
      <c r="H17" s="737">
        <f t="shared" si="1"/>
        <v>0</v>
      </c>
      <c r="I17" s="736">
        <v>0</v>
      </c>
      <c r="J17" s="736">
        <v>0</v>
      </c>
      <c r="K17" s="736">
        <v>0</v>
      </c>
      <c r="L17" s="736">
        <v>0</v>
      </c>
      <c r="M17" s="737">
        <f t="shared" si="2"/>
        <v>0</v>
      </c>
      <c r="N17" s="736">
        <v>0</v>
      </c>
      <c r="O17" s="736">
        <v>0</v>
      </c>
      <c r="P17" s="736">
        <v>0</v>
      </c>
      <c r="Q17" s="736">
        <v>0</v>
      </c>
      <c r="R17" s="736">
        <v>0</v>
      </c>
      <c r="S17" s="738">
        <v>0</v>
      </c>
      <c r="T17" s="738">
        <v>0</v>
      </c>
      <c r="U17" s="738">
        <v>0</v>
      </c>
      <c r="V17" s="735">
        <v>0</v>
      </c>
    </row>
    <row r="18" spans="1:22">
      <c r="A18" s="508">
        <v>9</v>
      </c>
      <c r="B18" s="507" t="s">
        <v>670</v>
      </c>
      <c r="C18" s="737">
        <f t="shared" si="0"/>
        <v>7387930.095499998</v>
      </c>
      <c r="D18" s="740">
        <v>7319098.6654999983</v>
      </c>
      <c r="E18" s="740">
        <v>57559.799999999988</v>
      </c>
      <c r="F18" s="740">
        <v>11271.63</v>
      </c>
      <c r="G18" s="740">
        <v>0</v>
      </c>
      <c r="H18" s="737">
        <f t="shared" si="1"/>
        <v>7869639.8398018898</v>
      </c>
      <c r="I18" s="740">
        <v>7792618.2958629886</v>
      </c>
      <c r="J18" s="740">
        <v>63902.395932647341</v>
      </c>
      <c r="K18" s="740">
        <v>13119.14800625343</v>
      </c>
      <c r="L18" s="740">
        <v>0</v>
      </c>
      <c r="M18" s="737">
        <f t="shared" si="2"/>
        <v>123923.12662784831</v>
      </c>
      <c r="N18" s="740">
        <v>95634.424931544883</v>
      </c>
      <c r="O18" s="740">
        <v>17540.06737701485</v>
      </c>
      <c r="P18" s="740">
        <v>10748.634319288563</v>
      </c>
      <c r="Q18" s="740">
        <v>0</v>
      </c>
      <c r="R18" s="740">
        <v>2434</v>
      </c>
      <c r="S18" s="738">
        <v>7.0199999999999999E-2</v>
      </c>
      <c r="T18" s="738">
        <v>9.1934000000000002E-2</v>
      </c>
      <c r="U18" s="738">
        <v>0.04</v>
      </c>
      <c r="V18" s="735">
        <v>45.182200000000002</v>
      </c>
    </row>
    <row r="19" spans="1:22">
      <c r="A19" s="506">
        <v>10</v>
      </c>
      <c r="B19" s="505" t="s">
        <v>686</v>
      </c>
      <c r="C19" s="737">
        <f>SUM(C7:C13)+C17+C18</f>
        <v>1775589215.4560828</v>
      </c>
      <c r="D19" s="737">
        <f t="shared" ref="D19:G19" si="6">SUM(D7:D13)+D17+D18</f>
        <v>1673524713.5694828</v>
      </c>
      <c r="E19" s="737">
        <f t="shared" si="6"/>
        <v>83378107.086599678</v>
      </c>
      <c r="F19" s="737">
        <f t="shared" si="6"/>
        <v>18658867.369999982</v>
      </c>
      <c r="G19" s="737">
        <f t="shared" si="6"/>
        <v>27527.43</v>
      </c>
      <c r="H19" s="737">
        <f>SUM(H7:H13)+H17+H18</f>
        <v>1790775398.0902672</v>
      </c>
      <c r="I19" s="737">
        <f t="shared" ref="I19:L19" si="7">SUM(I7:I13)+I17+I18</f>
        <v>1685498607.7626722</v>
      </c>
      <c r="J19" s="737">
        <f t="shared" si="7"/>
        <v>82698748.278985694</v>
      </c>
      <c r="K19" s="737">
        <f t="shared" si="7"/>
        <v>22550052.856773023</v>
      </c>
      <c r="L19" s="737">
        <f t="shared" si="7"/>
        <v>27989.191836290262</v>
      </c>
      <c r="M19" s="737">
        <f>SUM(M7:M13)+M17+M18</f>
        <v>53529993.899974555</v>
      </c>
      <c r="N19" s="737">
        <f t="shared" ref="N19:Q19" si="8">SUM(N7:N13)+N17+N18</f>
        <v>16744876.025852231</v>
      </c>
      <c r="O19" s="737">
        <f t="shared" si="8"/>
        <v>18642077.396164779</v>
      </c>
      <c r="P19" s="737">
        <f t="shared" si="8"/>
        <v>18141026.075524796</v>
      </c>
      <c r="Q19" s="737">
        <f t="shared" si="8"/>
        <v>2014.4024327435643</v>
      </c>
      <c r="R19" s="741">
        <v>607203</v>
      </c>
      <c r="S19" s="738">
        <v>0.19</v>
      </c>
      <c r="T19" s="738">
        <v>0.27</v>
      </c>
      <c r="U19" s="738">
        <v>0.20100000000000001</v>
      </c>
      <c r="V19" s="735">
        <v>58.509599999999999</v>
      </c>
    </row>
    <row r="20" spans="1:22" ht="24">
      <c r="A20" s="504">
        <v>10.1</v>
      </c>
      <c r="B20" s="503" t="s">
        <v>689</v>
      </c>
      <c r="C20" s="737">
        <f>SUM(D20:G20)</f>
        <v>2715921.9100000006</v>
      </c>
      <c r="D20" s="736">
        <v>2583087.5000000005</v>
      </c>
      <c r="E20" s="736">
        <v>129683.82999999999</v>
      </c>
      <c r="F20" s="736">
        <v>3150.58</v>
      </c>
      <c r="G20" s="736">
        <v>0</v>
      </c>
      <c r="H20" s="737">
        <f>SUM(I20:L20)</f>
        <v>2727859.9774948601</v>
      </c>
      <c r="I20" s="736">
        <v>2598110.7331688292</v>
      </c>
      <c r="J20" s="736">
        <v>125827.90693066284</v>
      </c>
      <c r="K20" s="736">
        <v>3921.3373953682699</v>
      </c>
      <c r="L20" s="736">
        <v>0</v>
      </c>
      <c r="M20" s="737">
        <f>SUM(N20:Q20)</f>
        <v>66773.295448638746</v>
      </c>
      <c r="N20" s="736">
        <v>29445.497832397319</v>
      </c>
      <c r="O20" s="736">
        <v>34136.088209615569</v>
      </c>
      <c r="P20" s="736">
        <v>3191.7094066258601</v>
      </c>
      <c r="Q20" s="736">
        <v>0</v>
      </c>
      <c r="R20" s="736">
        <v>1138</v>
      </c>
      <c r="S20" s="738">
        <v>0.2044</v>
      </c>
      <c r="T20" s="738">
        <v>0.28256999999999999</v>
      </c>
      <c r="U20" s="738">
        <v>0.21640000000000001</v>
      </c>
      <c r="V20" s="735">
        <v>41.418399999999998</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ignoredErrors>
    <ignoredError sqref="C7:C18 D13:G13 H7:H12 I13:L13 M7:M12 N13:Q13 H14:H18 M14:M18" formulaRange="1"/>
    <ignoredError sqref="H13 M13 M19" formula="1" formulaRange="1"/>
    <ignoredError sqref="C19 H19" 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2" zoomScale="110" zoomScaleNormal="110" workbookViewId="0">
      <selection activeCell="B62" sqref="B62:C62"/>
    </sheetView>
  </sheetViews>
  <sheetFormatPr defaultColWidth="43.5546875" defaultRowHeight="12"/>
  <cols>
    <col min="1" max="1" width="8" style="128" customWidth="1"/>
    <col min="2" max="2" width="66.21875" style="129" customWidth="1"/>
    <col min="3" max="3" width="131.44140625" style="130" customWidth="1"/>
    <col min="4" max="5" width="10.21875" style="121" customWidth="1"/>
    <col min="6" max="6" width="67.6640625" style="121" customWidth="1"/>
    <col min="7" max="16384" width="43.5546875" style="121"/>
  </cols>
  <sheetData>
    <row r="1" spans="1:3" ht="13.2" thickTop="1" thickBot="1">
      <c r="A1" s="944" t="s">
        <v>177</v>
      </c>
      <c r="B1" s="945"/>
      <c r="C1" s="946"/>
    </row>
    <row r="2" spans="1:3" ht="26.25" customHeight="1">
      <c r="A2" s="335"/>
      <c r="B2" s="947" t="s">
        <v>178</v>
      </c>
      <c r="C2" s="947"/>
    </row>
    <row r="3" spans="1:3" s="126" customFormat="1" ht="11.25" customHeight="1">
      <c r="A3" s="125"/>
      <c r="B3" s="947" t="s">
        <v>252</v>
      </c>
      <c r="C3" s="947"/>
    </row>
    <row r="4" spans="1:3" ht="12" customHeight="1" thickBot="1">
      <c r="A4" s="926" t="s">
        <v>256</v>
      </c>
      <c r="B4" s="927"/>
      <c r="C4" s="928"/>
    </row>
    <row r="5" spans="1:3" ht="12.6" thickTop="1">
      <c r="A5" s="122"/>
      <c r="B5" s="929" t="s">
        <v>179</v>
      </c>
      <c r="C5" s="930"/>
    </row>
    <row r="6" spans="1:3">
      <c r="A6" s="335"/>
      <c r="B6" s="908" t="s">
        <v>253</v>
      </c>
      <c r="C6" s="909"/>
    </row>
    <row r="7" spans="1:3">
      <c r="A7" s="335"/>
      <c r="B7" s="908" t="s">
        <v>180</v>
      </c>
      <c r="C7" s="909"/>
    </row>
    <row r="8" spans="1:3">
      <c r="A8" s="335"/>
      <c r="B8" s="908" t="s">
        <v>254</v>
      </c>
      <c r="C8" s="909"/>
    </row>
    <row r="9" spans="1:3">
      <c r="A9" s="335"/>
      <c r="B9" s="950" t="s">
        <v>255</v>
      </c>
      <c r="C9" s="951"/>
    </row>
    <row r="10" spans="1:3">
      <c r="A10" s="335"/>
      <c r="B10" s="942" t="s">
        <v>181</v>
      </c>
      <c r="C10" s="943" t="s">
        <v>181</v>
      </c>
    </row>
    <row r="11" spans="1:3">
      <c r="A11" s="335"/>
      <c r="B11" s="942" t="s">
        <v>182</v>
      </c>
      <c r="C11" s="943" t="s">
        <v>182</v>
      </c>
    </row>
    <row r="12" spans="1:3">
      <c r="A12" s="335"/>
      <c r="B12" s="942" t="s">
        <v>183</v>
      </c>
      <c r="C12" s="943" t="s">
        <v>183</v>
      </c>
    </row>
    <row r="13" spans="1:3">
      <c r="A13" s="335"/>
      <c r="B13" s="942" t="s">
        <v>184</v>
      </c>
      <c r="C13" s="943" t="s">
        <v>184</v>
      </c>
    </row>
    <row r="14" spans="1:3">
      <c r="A14" s="335"/>
      <c r="B14" s="942" t="s">
        <v>185</v>
      </c>
      <c r="C14" s="943" t="s">
        <v>185</v>
      </c>
    </row>
    <row r="15" spans="1:3" ht="21.75" customHeight="1">
      <c r="A15" s="335"/>
      <c r="B15" s="942" t="s">
        <v>186</v>
      </c>
      <c r="C15" s="943" t="s">
        <v>186</v>
      </c>
    </row>
    <row r="16" spans="1:3">
      <c r="A16" s="335"/>
      <c r="B16" s="942" t="s">
        <v>187</v>
      </c>
      <c r="C16" s="943" t="s">
        <v>188</v>
      </c>
    </row>
    <row r="17" spans="1:6">
      <c r="A17" s="335"/>
      <c r="B17" s="942" t="s">
        <v>189</v>
      </c>
      <c r="C17" s="943" t="s">
        <v>190</v>
      </c>
    </row>
    <row r="18" spans="1:6">
      <c r="A18" s="335"/>
      <c r="B18" s="942" t="s">
        <v>191</v>
      </c>
      <c r="C18" s="943" t="s">
        <v>192</v>
      </c>
    </row>
    <row r="19" spans="1:6">
      <c r="A19" s="592"/>
      <c r="B19" s="948" t="s">
        <v>193</v>
      </c>
      <c r="C19" s="949" t="s">
        <v>193</v>
      </c>
    </row>
    <row r="20" spans="1:6">
      <c r="A20" s="592"/>
      <c r="B20" s="948" t="s">
        <v>918</v>
      </c>
      <c r="C20" s="949" t="s">
        <v>194</v>
      </c>
    </row>
    <row r="21" spans="1:6">
      <c r="A21" s="335"/>
      <c r="B21" s="948" t="s">
        <v>961</v>
      </c>
      <c r="C21" s="949" t="s">
        <v>195</v>
      </c>
    </row>
    <row r="22" spans="1:6" ht="23.25" customHeight="1">
      <c r="A22" s="335"/>
      <c r="B22" s="942" t="s">
        <v>196</v>
      </c>
      <c r="C22" s="943" t="s">
        <v>197</v>
      </c>
      <c r="F22" s="556"/>
    </row>
    <row r="23" spans="1:6">
      <c r="A23" s="335"/>
      <c r="B23" s="942" t="s">
        <v>198</v>
      </c>
      <c r="C23" s="943" t="s">
        <v>198</v>
      </c>
    </row>
    <row r="24" spans="1:6">
      <c r="A24" s="335"/>
      <c r="B24" s="942" t="s">
        <v>199</v>
      </c>
      <c r="C24" s="943" t="s">
        <v>200</v>
      </c>
    </row>
    <row r="25" spans="1:6" ht="12.6" thickBot="1">
      <c r="A25" s="123"/>
      <c r="B25" s="936" t="s">
        <v>201</v>
      </c>
      <c r="C25" s="937"/>
    </row>
    <row r="26" spans="1:6" ht="13.2" thickTop="1" thickBot="1">
      <c r="A26" s="926" t="s">
        <v>813</v>
      </c>
      <c r="B26" s="927"/>
      <c r="C26" s="928"/>
    </row>
    <row r="27" spans="1:6" ht="13.2" thickTop="1" thickBot="1">
      <c r="A27" s="124"/>
      <c r="B27" s="938" t="s">
        <v>814</v>
      </c>
      <c r="C27" s="939"/>
    </row>
    <row r="28" spans="1:6" ht="13.2" thickTop="1" thickBot="1">
      <c r="A28" s="926" t="s">
        <v>257</v>
      </c>
      <c r="B28" s="927"/>
      <c r="C28" s="928"/>
    </row>
    <row r="29" spans="1:6" ht="12.6" thickTop="1">
      <c r="A29" s="122"/>
      <c r="B29" s="940" t="s">
        <v>817</v>
      </c>
      <c r="C29" s="941" t="s">
        <v>202</v>
      </c>
    </row>
    <row r="30" spans="1:6">
      <c r="A30" s="335"/>
      <c r="B30" s="917" t="s">
        <v>206</v>
      </c>
      <c r="C30" s="918" t="s">
        <v>203</v>
      </c>
    </row>
    <row r="31" spans="1:6">
      <c r="A31" s="335"/>
      <c r="B31" s="917" t="s">
        <v>815</v>
      </c>
      <c r="C31" s="918" t="s">
        <v>204</v>
      </c>
    </row>
    <row r="32" spans="1:6">
      <c r="A32" s="335"/>
      <c r="B32" s="917" t="s">
        <v>816</v>
      </c>
      <c r="C32" s="918" t="s">
        <v>205</v>
      </c>
    </row>
    <row r="33" spans="1:3">
      <c r="A33" s="335"/>
      <c r="B33" s="917" t="s">
        <v>209</v>
      </c>
      <c r="C33" s="918" t="s">
        <v>210</v>
      </c>
    </row>
    <row r="34" spans="1:3">
      <c r="A34" s="335"/>
      <c r="B34" s="917" t="s">
        <v>818</v>
      </c>
      <c r="C34" s="918" t="s">
        <v>207</v>
      </c>
    </row>
    <row r="35" spans="1:3">
      <c r="A35" s="335"/>
      <c r="B35" s="917" t="s">
        <v>819</v>
      </c>
      <c r="C35" s="918" t="s">
        <v>208</v>
      </c>
    </row>
    <row r="36" spans="1:3">
      <c r="A36" s="335"/>
      <c r="B36" s="933" t="s">
        <v>820</v>
      </c>
      <c r="C36" s="934"/>
    </row>
    <row r="37" spans="1:3" ht="24.75" customHeight="1">
      <c r="A37" s="335"/>
      <c r="B37" s="917" t="s">
        <v>821</v>
      </c>
      <c r="C37" s="918" t="s">
        <v>211</v>
      </c>
    </row>
    <row r="38" spans="1:3" ht="23.25" customHeight="1">
      <c r="A38" s="335"/>
      <c r="B38" s="917" t="s">
        <v>822</v>
      </c>
      <c r="C38" s="918" t="s">
        <v>212</v>
      </c>
    </row>
    <row r="39" spans="1:3" ht="23.25" customHeight="1">
      <c r="A39" s="404"/>
      <c r="B39" s="933" t="s">
        <v>823</v>
      </c>
      <c r="C39" s="935"/>
    </row>
    <row r="40" spans="1:3" ht="12" customHeight="1">
      <c r="A40" s="335"/>
      <c r="B40" s="917" t="s">
        <v>824</v>
      </c>
      <c r="C40" s="918"/>
    </row>
    <row r="41" spans="1:3" ht="12.6" thickBot="1">
      <c r="A41" s="926" t="s">
        <v>258</v>
      </c>
      <c r="B41" s="927"/>
      <c r="C41" s="928"/>
    </row>
    <row r="42" spans="1:3" ht="12.6" thickTop="1">
      <c r="A42" s="122"/>
      <c r="B42" s="929" t="s">
        <v>288</v>
      </c>
      <c r="C42" s="930" t="s">
        <v>213</v>
      </c>
    </row>
    <row r="43" spans="1:3">
      <c r="A43" s="335"/>
      <c r="B43" s="908" t="s">
        <v>287</v>
      </c>
      <c r="C43" s="909"/>
    </row>
    <row r="44" spans="1:3" ht="23.25" customHeight="1" thickBot="1">
      <c r="A44" s="123"/>
      <c r="B44" s="924" t="s">
        <v>214</v>
      </c>
      <c r="C44" s="925" t="s">
        <v>215</v>
      </c>
    </row>
    <row r="45" spans="1:3" ht="11.25" customHeight="1" thickTop="1" thickBot="1">
      <c r="A45" s="926" t="s">
        <v>259</v>
      </c>
      <c r="B45" s="927"/>
      <c r="C45" s="928"/>
    </row>
    <row r="46" spans="1:3" ht="26.25" customHeight="1" thickTop="1">
      <c r="A46" s="335"/>
      <c r="B46" s="908" t="s">
        <v>260</v>
      </c>
      <c r="C46" s="909"/>
    </row>
    <row r="47" spans="1:3" ht="12.6" thickBot="1">
      <c r="A47" s="926" t="s">
        <v>261</v>
      </c>
      <c r="B47" s="927"/>
      <c r="C47" s="928"/>
    </row>
    <row r="48" spans="1:3" ht="12.6" thickTop="1">
      <c r="A48" s="122"/>
      <c r="B48" s="929" t="s">
        <v>216</v>
      </c>
      <c r="C48" s="930" t="s">
        <v>216</v>
      </c>
    </row>
    <row r="49" spans="1:3" ht="11.25" customHeight="1">
      <c r="A49" s="335"/>
      <c r="B49" s="908" t="s">
        <v>217</v>
      </c>
      <c r="C49" s="909" t="s">
        <v>217</v>
      </c>
    </row>
    <row r="50" spans="1:3">
      <c r="A50" s="335"/>
      <c r="B50" s="908" t="s">
        <v>218</v>
      </c>
      <c r="C50" s="909" t="s">
        <v>218</v>
      </c>
    </row>
    <row r="51" spans="1:3" ht="11.25" customHeight="1">
      <c r="A51" s="335"/>
      <c r="B51" s="908" t="s">
        <v>826</v>
      </c>
      <c r="C51" s="909" t="s">
        <v>219</v>
      </c>
    </row>
    <row r="52" spans="1:3" ht="33.6" customHeight="1">
      <c r="A52" s="335"/>
      <c r="B52" s="908" t="s">
        <v>220</v>
      </c>
      <c r="C52" s="909" t="s">
        <v>220</v>
      </c>
    </row>
    <row r="53" spans="1:3" ht="11.25" customHeight="1">
      <c r="A53" s="335"/>
      <c r="B53" s="908" t="s">
        <v>308</v>
      </c>
      <c r="C53" s="909" t="s">
        <v>221</v>
      </c>
    </row>
    <row r="54" spans="1:3" ht="11.25" customHeight="1" thickBot="1">
      <c r="A54" s="926" t="s">
        <v>262</v>
      </c>
      <c r="B54" s="927"/>
      <c r="C54" s="928"/>
    </row>
    <row r="55" spans="1:3" ht="12.6" thickTop="1">
      <c r="A55" s="122"/>
      <c r="B55" s="929" t="s">
        <v>216</v>
      </c>
      <c r="C55" s="930" t="s">
        <v>216</v>
      </c>
    </row>
    <row r="56" spans="1:3">
      <c r="A56" s="335"/>
      <c r="B56" s="908" t="s">
        <v>222</v>
      </c>
      <c r="C56" s="909" t="s">
        <v>222</v>
      </c>
    </row>
    <row r="57" spans="1:3">
      <c r="A57" s="335"/>
      <c r="B57" s="908" t="s">
        <v>265</v>
      </c>
      <c r="C57" s="909" t="s">
        <v>223</v>
      </c>
    </row>
    <row r="58" spans="1:3">
      <c r="A58" s="335"/>
      <c r="B58" s="908" t="s">
        <v>224</v>
      </c>
      <c r="C58" s="909" t="s">
        <v>224</v>
      </c>
    </row>
    <row r="59" spans="1:3">
      <c r="A59" s="335"/>
      <c r="B59" s="908" t="s">
        <v>225</v>
      </c>
      <c r="C59" s="909" t="s">
        <v>225</v>
      </c>
    </row>
    <row r="60" spans="1:3">
      <c r="A60" s="335"/>
      <c r="B60" s="908" t="s">
        <v>226</v>
      </c>
      <c r="C60" s="909" t="s">
        <v>226</v>
      </c>
    </row>
    <row r="61" spans="1:3">
      <c r="A61" s="335"/>
      <c r="B61" s="908" t="s">
        <v>266</v>
      </c>
      <c r="C61" s="909" t="s">
        <v>227</v>
      </c>
    </row>
    <row r="62" spans="1:3" ht="12" customHeight="1">
      <c r="A62" s="335"/>
      <c r="B62" s="895" t="s">
        <v>998</v>
      </c>
      <c r="C62" s="896" t="s">
        <v>228</v>
      </c>
    </row>
    <row r="63" spans="1:3" ht="22.5" customHeight="1" thickBot="1">
      <c r="A63" s="123"/>
      <c r="B63" s="924" t="s">
        <v>229</v>
      </c>
      <c r="C63" s="925" t="s">
        <v>229</v>
      </c>
    </row>
    <row r="64" spans="1:3" ht="11.25" customHeight="1" thickTop="1">
      <c r="A64" s="914" t="s">
        <v>263</v>
      </c>
      <c r="B64" s="915"/>
      <c r="C64" s="916"/>
    </row>
    <row r="65" spans="1:3" ht="12.6" thickBot="1">
      <c r="A65" s="123"/>
      <c r="B65" s="924" t="s">
        <v>230</v>
      </c>
      <c r="C65" s="925" t="s">
        <v>230</v>
      </c>
    </row>
    <row r="66" spans="1:3" ht="11.25" customHeight="1" thickTop="1">
      <c r="A66" s="914" t="s">
        <v>951</v>
      </c>
      <c r="B66" s="915"/>
      <c r="C66" s="916"/>
    </row>
    <row r="67" spans="1:3" ht="12.6" thickBot="1">
      <c r="A67" s="123"/>
      <c r="B67" s="924" t="s">
        <v>950</v>
      </c>
      <c r="C67" s="925"/>
    </row>
    <row r="68" spans="1:3" ht="11.25" customHeight="1" thickTop="1" thickBot="1">
      <c r="A68" s="926" t="s">
        <v>264</v>
      </c>
      <c r="B68" s="927"/>
      <c r="C68" s="928"/>
    </row>
    <row r="69" spans="1:3" ht="12.6" thickTop="1">
      <c r="A69" s="122"/>
      <c r="B69" s="929" t="s">
        <v>231</v>
      </c>
      <c r="C69" s="930" t="s">
        <v>231</v>
      </c>
    </row>
    <row r="70" spans="1:3">
      <c r="A70" s="335"/>
      <c r="B70" s="908" t="s">
        <v>828</v>
      </c>
      <c r="C70" s="909" t="s">
        <v>232</v>
      </c>
    </row>
    <row r="71" spans="1:3">
      <c r="A71" s="335"/>
      <c r="B71" s="908" t="s">
        <v>233</v>
      </c>
      <c r="C71" s="909" t="s">
        <v>233</v>
      </c>
    </row>
    <row r="72" spans="1:3" ht="55.05" customHeight="1">
      <c r="A72" s="335"/>
      <c r="B72" s="931" t="s">
        <v>962</v>
      </c>
      <c r="C72" s="932" t="s">
        <v>234</v>
      </c>
    </row>
    <row r="73" spans="1:3" ht="33.75" customHeight="1">
      <c r="A73" s="335"/>
      <c r="B73" s="922" t="s">
        <v>267</v>
      </c>
      <c r="C73" s="923" t="s">
        <v>235</v>
      </c>
    </row>
    <row r="74" spans="1:3" ht="15.75" customHeight="1">
      <c r="A74" s="335"/>
      <c r="B74" s="922" t="s">
        <v>829</v>
      </c>
      <c r="C74" s="923" t="s">
        <v>236</v>
      </c>
    </row>
    <row r="75" spans="1:3">
      <c r="A75" s="335"/>
      <c r="B75" s="908" t="s">
        <v>237</v>
      </c>
      <c r="C75" s="909" t="s">
        <v>237</v>
      </c>
    </row>
    <row r="76" spans="1:3" ht="12.6" thickBot="1">
      <c r="A76" s="123"/>
      <c r="B76" s="924" t="s">
        <v>238</v>
      </c>
      <c r="C76" s="925" t="s">
        <v>238</v>
      </c>
    </row>
    <row r="77" spans="1:3" ht="12.6" thickTop="1">
      <c r="A77" s="914" t="s">
        <v>291</v>
      </c>
      <c r="B77" s="915"/>
      <c r="C77" s="916"/>
    </row>
    <row r="78" spans="1:3">
      <c r="A78" s="335"/>
      <c r="B78" s="908" t="s">
        <v>230</v>
      </c>
      <c r="C78" s="909"/>
    </row>
    <row r="79" spans="1:3">
      <c r="A79" s="335"/>
      <c r="B79" s="908" t="s">
        <v>289</v>
      </c>
      <c r="C79" s="909"/>
    </row>
    <row r="80" spans="1:3">
      <c r="A80" s="335"/>
      <c r="B80" s="908" t="s">
        <v>290</v>
      </c>
      <c r="C80" s="909"/>
    </row>
    <row r="81" spans="1:3">
      <c r="A81" s="914" t="s">
        <v>292</v>
      </c>
      <c r="B81" s="915"/>
      <c r="C81" s="916"/>
    </row>
    <row r="82" spans="1:3">
      <c r="A82" s="335"/>
      <c r="B82" s="908" t="s">
        <v>230</v>
      </c>
      <c r="C82" s="909"/>
    </row>
    <row r="83" spans="1:3">
      <c r="A83" s="335"/>
      <c r="B83" s="908" t="s">
        <v>293</v>
      </c>
      <c r="C83" s="909"/>
    </row>
    <row r="84" spans="1:3" ht="79.5" customHeight="1">
      <c r="A84" s="335"/>
      <c r="B84" s="908" t="s">
        <v>307</v>
      </c>
      <c r="C84" s="909"/>
    </row>
    <row r="85" spans="1:3" ht="53.25" customHeight="1">
      <c r="A85" s="335"/>
      <c r="B85" s="908" t="s">
        <v>306</v>
      </c>
      <c r="C85" s="909"/>
    </row>
    <row r="86" spans="1:3">
      <c r="A86" s="335"/>
      <c r="B86" s="908" t="s">
        <v>294</v>
      </c>
      <c r="C86" s="909"/>
    </row>
    <row r="87" spans="1:3">
      <c r="A87" s="335"/>
      <c r="B87" s="908" t="s">
        <v>295</v>
      </c>
      <c r="C87" s="909"/>
    </row>
    <row r="88" spans="1:3">
      <c r="A88" s="335"/>
      <c r="B88" s="908" t="s">
        <v>296</v>
      </c>
      <c r="C88" s="909"/>
    </row>
    <row r="89" spans="1:3">
      <c r="A89" s="914" t="s">
        <v>297</v>
      </c>
      <c r="B89" s="915"/>
      <c r="C89" s="916"/>
    </row>
    <row r="90" spans="1:3">
      <c r="A90" s="335"/>
      <c r="B90" s="908" t="s">
        <v>230</v>
      </c>
      <c r="C90" s="909"/>
    </row>
    <row r="91" spans="1:3">
      <c r="A91" s="335"/>
      <c r="B91" s="908" t="s">
        <v>299</v>
      </c>
      <c r="C91" s="909"/>
    </row>
    <row r="92" spans="1:3" ht="12" customHeight="1">
      <c r="A92" s="335"/>
      <c r="B92" s="908" t="s">
        <v>300</v>
      </c>
      <c r="C92" s="909"/>
    </row>
    <row r="93" spans="1:3">
      <c r="A93" s="335"/>
      <c r="B93" s="908" t="s">
        <v>301</v>
      </c>
      <c r="C93" s="909"/>
    </row>
    <row r="94" spans="1:3" ht="24.75" customHeight="1">
      <c r="A94" s="335"/>
      <c r="B94" s="917" t="s">
        <v>337</v>
      </c>
      <c r="C94" s="918"/>
    </row>
    <row r="95" spans="1:3" ht="24" customHeight="1">
      <c r="A95" s="335"/>
      <c r="B95" s="917" t="s">
        <v>338</v>
      </c>
      <c r="C95" s="918"/>
    </row>
    <row r="96" spans="1:3" ht="13.5" customHeight="1">
      <c r="A96" s="335"/>
      <c r="B96" s="917" t="s">
        <v>302</v>
      </c>
      <c r="C96" s="918"/>
    </row>
    <row r="97" spans="1:3" ht="11.25" customHeight="1" thickBot="1">
      <c r="A97" s="919" t="s">
        <v>333</v>
      </c>
      <c r="B97" s="920"/>
      <c r="C97" s="921"/>
    </row>
    <row r="98" spans="1:3" ht="13.2" thickTop="1" thickBot="1">
      <c r="A98" s="913" t="s">
        <v>239</v>
      </c>
      <c r="B98" s="913"/>
      <c r="C98" s="913"/>
    </row>
    <row r="99" spans="1:3">
      <c r="A99" s="195">
        <v>2</v>
      </c>
      <c r="B99" s="323" t="s">
        <v>313</v>
      </c>
      <c r="C99" s="323" t="s">
        <v>334</v>
      </c>
    </row>
    <row r="100" spans="1:3">
      <c r="A100" s="127">
        <v>3</v>
      </c>
      <c r="B100" s="324" t="s">
        <v>314</v>
      </c>
      <c r="C100" s="325" t="s">
        <v>335</v>
      </c>
    </row>
    <row r="101" spans="1:3">
      <c r="A101" s="127">
        <v>4</v>
      </c>
      <c r="B101" s="324" t="s">
        <v>315</v>
      </c>
      <c r="C101" s="325" t="s">
        <v>339</v>
      </c>
    </row>
    <row r="102" spans="1:3" ht="11.25" customHeight="1">
      <c r="A102" s="127">
        <v>5</v>
      </c>
      <c r="B102" s="324" t="s">
        <v>316</v>
      </c>
      <c r="C102" s="325" t="s">
        <v>336</v>
      </c>
    </row>
    <row r="103" spans="1:3" ht="12" customHeight="1">
      <c r="A103" s="127">
        <v>6</v>
      </c>
      <c r="B103" s="324" t="s">
        <v>331</v>
      </c>
      <c r="C103" s="325" t="s">
        <v>317</v>
      </c>
    </row>
    <row r="104" spans="1:3" ht="12" customHeight="1">
      <c r="A104" s="127">
        <v>7</v>
      </c>
      <c r="B104" s="324" t="s">
        <v>318</v>
      </c>
      <c r="C104" s="325" t="s">
        <v>332</v>
      </c>
    </row>
    <row r="105" spans="1:3">
      <c r="A105" s="127">
        <v>8</v>
      </c>
      <c r="B105" s="324" t="s">
        <v>323</v>
      </c>
      <c r="C105" s="325" t="s">
        <v>343</v>
      </c>
    </row>
    <row r="106" spans="1:3" ht="11.25" customHeight="1">
      <c r="A106" s="914" t="s">
        <v>303</v>
      </c>
      <c r="B106" s="915"/>
      <c r="C106" s="916"/>
    </row>
    <row r="107" spans="1:3" ht="12" customHeight="1">
      <c r="A107" s="335"/>
      <c r="B107" s="895" t="s">
        <v>999</v>
      </c>
      <c r="C107" s="896"/>
    </row>
    <row r="108" spans="1:3">
      <c r="A108" s="914" t="s">
        <v>459</v>
      </c>
      <c r="B108" s="915"/>
      <c r="C108" s="916"/>
    </row>
    <row r="109" spans="1:3" ht="12" customHeight="1">
      <c r="A109" s="335"/>
      <c r="B109" s="908" t="s">
        <v>461</v>
      </c>
      <c r="C109" s="909"/>
    </row>
    <row r="110" spans="1:3">
      <c r="A110" s="335"/>
      <c r="B110" s="908" t="s">
        <v>462</v>
      </c>
      <c r="C110" s="909"/>
    </row>
    <row r="111" spans="1:3">
      <c r="A111" s="335"/>
      <c r="B111" s="908" t="s">
        <v>460</v>
      </c>
      <c r="C111" s="909"/>
    </row>
    <row r="112" spans="1:3">
      <c r="A112" s="906" t="s">
        <v>693</v>
      </c>
      <c r="B112" s="906"/>
      <c r="C112" s="906"/>
    </row>
    <row r="113" spans="1:3">
      <c r="A113" s="910" t="s">
        <v>177</v>
      </c>
      <c r="B113" s="910"/>
      <c r="C113" s="910"/>
    </row>
    <row r="114" spans="1:3">
      <c r="A114" s="539">
        <v>1</v>
      </c>
      <c r="B114" s="897" t="s">
        <v>577</v>
      </c>
      <c r="C114" s="898"/>
    </row>
    <row r="115" spans="1:3">
      <c r="A115" s="539">
        <v>2</v>
      </c>
      <c r="B115" s="911" t="s">
        <v>578</v>
      </c>
      <c r="C115" s="912"/>
    </row>
    <row r="116" spans="1:3">
      <c r="A116" s="539">
        <v>3</v>
      </c>
      <c r="B116" s="897" t="s">
        <v>903</v>
      </c>
      <c r="C116" s="898"/>
    </row>
    <row r="117" spans="1:3">
      <c r="A117" s="539">
        <v>4</v>
      </c>
      <c r="B117" s="897" t="s">
        <v>902</v>
      </c>
      <c r="C117" s="898"/>
    </row>
    <row r="118" spans="1:3">
      <c r="A118" s="539">
        <v>5</v>
      </c>
      <c r="B118" s="543" t="s">
        <v>901</v>
      </c>
      <c r="C118" s="542"/>
    </row>
    <row r="119" spans="1:3">
      <c r="A119" s="539">
        <v>6</v>
      </c>
      <c r="B119" s="899" t="s">
        <v>968</v>
      </c>
      <c r="C119" s="900"/>
    </row>
    <row r="120" spans="1:3" ht="48.45" customHeight="1">
      <c r="A120" s="539">
        <v>7</v>
      </c>
      <c r="B120" s="899" t="s">
        <v>969</v>
      </c>
      <c r="C120" s="900"/>
    </row>
    <row r="121" spans="1:3">
      <c r="A121" s="517">
        <v>8</v>
      </c>
      <c r="B121" s="512" t="s">
        <v>604</v>
      </c>
      <c r="C121" s="536" t="s">
        <v>900</v>
      </c>
    </row>
    <row r="122" spans="1:3" ht="24">
      <c r="A122" s="539">
        <v>9.01</v>
      </c>
      <c r="B122" s="512" t="s">
        <v>488</v>
      </c>
      <c r="C122" s="513" t="s">
        <v>653</v>
      </c>
    </row>
    <row r="123" spans="1:3" ht="36">
      <c r="A123" s="539">
        <v>9.02</v>
      </c>
      <c r="B123" s="512" t="s">
        <v>489</v>
      </c>
      <c r="C123" s="513" t="s">
        <v>656</v>
      </c>
    </row>
    <row r="124" spans="1:3">
      <c r="A124" s="539">
        <v>9.0299999999999994</v>
      </c>
      <c r="B124" s="513" t="s">
        <v>837</v>
      </c>
      <c r="C124" s="513" t="s">
        <v>579</v>
      </c>
    </row>
    <row r="125" spans="1:3">
      <c r="A125" s="539">
        <v>9.0399999999999991</v>
      </c>
      <c r="B125" s="512" t="s">
        <v>490</v>
      </c>
      <c r="C125" s="513" t="s">
        <v>580</v>
      </c>
    </row>
    <row r="126" spans="1:3">
      <c r="A126" s="539">
        <v>9.0500000000000007</v>
      </c>
      <c r="B126" s="512" t="s">
        <v>491</v>
      </c>
      <c r="C126" s="513" t="s">
        <v>581</v>
      </c>
    </row>
    <row r="127" spans="1:3" ht="24">
      <c r="A127" s="539">
        <v>9.06</v>
      </c>
      <c r="B127" s="512" t="s">
        <v>492</v>
      </c>
      <c r="C127" s="513" t="s">
        <v>582</v>
      </c>
    </row>
    <row r="128" spans="1:3">
      <c r="A128" s="539">
        <v>9.07</v>
      </c>
      <c r="B128" s="541" t="s">
        <v>493</v>
      </c>
      <c r="C128" s="513" t="s">
        <v>583</v>
      </c>
    </row>
    <row r="129" spans="1:3" ht="24">
      <c r="A129" s="539">
        <v>9.08</v>
      </c>
      <c r="B129" s="512" t="s">
        <v>494</v>
      </c>
      <c r="C129" s="513" t="s">
        <v>584</v>
      </c>
    </row>
    <row r="130" spans="1:3" ht="24">
      <c r="A130" s="539">
        <v>9.09</v>
      </c>
      <c r="B130" s="512" t="s">
        <v>495</v>
      </c>
      <c r="C130" s="513" t="s">
        <v>585</v>
      </c>
    </row>
    <row r="131" spans="1:3">
      <c r="A131" s="540">
        <v>9.1</v>
      </c>
      <c r="B131" s="512" t="s">
        <v>496</v>
      </c>
      <c r="C131" s="513" t="s">
        <v>586</v>
      </c>
    </row>
    <row r="132" spans="1:3">
      <c r="A132" s="539">
        <v>9.11</v>
      </c>
      <c r="B132" s="512" t="s">
        <v>497</v>
      </c>
      <c r="C132" s="513" t="s">
        <v>587</v>
      </c>
    </row>
    <row r="133" spans="1:3">
      <c r="A133" s="539">
        <v>9.1199999999999992</v>
      </c>
      <c r="B133" s="512" t="s">
        <v>498</v>
      </c>
      <c r="C133" s="513" t="s">
        <v>588</v>
      </c>
    </row>
    <row r="134" spans="1:3">
      <c r="A134" s="539">
        <v>9.1300000000000008</v>
      </c>
      <c r="B134" s="512" t="s">
        <v>499</v>
      </c>
      <c r="C134" s="513" t="s">
        <v>589</v>
      </c>
    </row>
    <row r="135" spans="1:3">
      <c r="A135" s="539">
        <v>9.14</v>
      </c>
      <c r="B135" s="512" t="s">
        <v>500</v>
      </c>
      <c r="C135" s="513" t="s">
        <v>590</v>
      </c>
    </row>
    <row r="136" spans="1:3">
      <c r="A136" s="539">
        <v>9.15</v>
      </c>
      <c r="B136" s="512" t="s">
        <v>501</v>
      </c>
      <c r="C136" s="513" t="s">
        <v>591</v>
      </c>
    </row>
    <row r="137" spans="1:3">
      <c r="A137" s="539">
        <v>9.16</v>
      </c>
      <c r="B137" s="512" t="s">
        <v>502</v>
      </c>
      <c r="C137" s="513" t="s">
        <v>592</v>
      </c>
    </row>
    <row r="138" spans="1:3">
      <c r="A138" s="539">
        <v>9.17</v>
      </c>
      <c r="B138" s="513" t="s">
        <v>503</v>
      </c>
      <c r="C138" s="513" t="s">
        <v>593</v>
      </c>
    </row>
    <row r="139" spans="1:3" ht="24">
      <c r="A139" s="539">
        <v>9.18</v>
      </c>
      <c r="B139" s="512" t="s">
        <v>504</v>
      </c>
      <c r="C139" s="513" t="s">
        <v>594</v>
      </c>
    </row>
    <row r="140" spans="1:3">
      <c r="A140" s="539">
        <v>9.19</v>
      </c>
      <c r="B140" s="512" t="s">
        <v>505</v>
      </c>
      <c r="C140" s="513" t="s">
        <v>595</v>
      </c>
    </row>
    <row r="141" spans="1:3">
      <c r="A141" s="540">
        <v>9.1999999999999993</v>
      </c>
      <c r="B141" s="512" t="s">
        <v>506</v>
      </c>
      <c r="C141" s="513" t="s">
        <v>596</v>
      </c>
    </row>
    <row r="142" spans="1:3">
      <c r="A142" s="539">
        <v>9.2100000000000009</v>
      </c>
      <c r="B142" s="512" t="s">
        <v>507</v>
      </c>
      <c r="C142" s="513" t="s">
        <v>597</v>
      </c>
    </row>
    <row r="143" spans="1:3">
      <c r="A143" s="539">
        <v>9.2200000000000006</v>
      </c>
      <c r="B143" s="512" t="s">
        <v>508</v>
      </c>
      <c r="C143" s="513" t="s">
        <v>598</v>
      </c>
    </row>
    <row r="144" spans="1:3" ht="24">
      <c r="A144" s="539">
        <v>9.23</v>
      </c>
      <c r="B144" s="512" t="s">
        <v>509</v>
      </c>
      <c r="C144" s="513" t="s">
        <v>599</v>
      </c>
    </row>
    <row r="145" spans="1:3" ht="24">
      <c r="A145" s="539">
        <v>9.24</v>
      </c>
      <c r="B145" s="512" t="s">
        <v>510</v>
      </c>
      <c r="C145" s="513" t="s">
        <v>600</v>
      </c>
    </row>
    <row r="146" spans="1:3">
      <c r="A146" s="539">
        <v>9.2500000000000107</v>
      </c>
      <c r="B146" s="512" t="s">
        <v>511</v>
      </c>
      <c r="C146" s="513" t="s">
        <v>601</v>
      </c>
    </row>
    <row r="147" spans="1:3" ht="24">
      <c r="A147" s="539">
        <v>9.2600000000000193</v>
      </c>
      <c r="B147" s="512" t="s">
        <v>602</v>
      </c>
      <c r="C147" s="538" t="s">
        <v>603</v>
      </c>
    </row>
    <row r="148" spans="1:3" s="336" customFormat="1" ht="24">
      <c r="A148" s="539">
        <v>9.2700000000000298</v>
      </c>
      <c r="B148" s="512" t="s">
        <v>89</v>
      </c>
      <c r="C148" s="538" t="s">
        <v>654</v>
      </c>
    </row>
    <row r="149" spans="1:3" s="336" customFormat="1">
      <c r="A149" s="518"/>
      <c r="B149" s="893" t="s">
        <v>605</v>
      </c>
      <c r="C149" s="894"/>
    </row>
    <row r="150" spans="1:3" s="336" customFormat="1">
      <c r="A150" s="517">
        <v>1</v>
      </c>
      <c r="B150" s="895" t="s">
        <v>899</v>
      </c>
      <c r="C150" s="896"/>
    </row>
    <row r="151" spans="1:3" s="336" customFormat="1">
      <c r="A151" s="517">
        <v>2</v>
      </c>
      <c r="B151" s="895" t="s">
        <v>655</v>
      </c>
      <c r="C151" s="896"/>
    </row>
    <row r="152" spans="1:3" s="336" customFormat="1">
      <c r="A152" s="517">
        <v>3</v>
      </c>
      <c r="B152" s="895" t="s">
        <v>652</v>
      </c>
      <c r="C152" s="896"/>
    </row>
    <row r="153" spans="1:3" s="336" customFormat="1">
      <c r="A153" s="518"/>
      <c r="B153" s="893" t="s">
        <v>606</v>
      </c>
      <c r="C153" s="894"/>
    </row>
    <row r="154" spans="1:3" s="336" customFormat="1">
      <c r="A154" s="517">
        <v>1</v>
      </c>
      <c r="B154" s="901" t="s">
        <v>898</v>
      </c>
      <c r="C154" s="902"/>
    </row>
    <row r="155" spans="1:3" s="336" customFormat="1">
      <c r="A155" s="517">
        <v>2</v>
      </c>
      <c r="B155" s="512" t="s">
        <v>835</v>
      </c>
      <c r="C155" s="593" t="s">
        <v>963</v>
      </c>
    </row>
    <row r="156" spans="1:3" ht="24">
      <c r="A156" s="517">
        <v>3</v>
      </c>
      <c r="B156" s="512" t="s">
        <v>834</v>
      </c>
      <c r="C156" s="536" t="s">
        <v>897</v>
      </c>
    </row>
    <row r="157" spans="1:3">
      <c r="A157" s="517">
        <v>4</v>
      </c>
      <c r="B157" s="512" t="s">
        <v>481</v>
      </c>
      <c r="C157" s="512" t="s">
        <v>914</v>
      </c>
    </row>
    <row r="158" spans="1:3" ht="25.05" customHeight="1">
      <c r="A158" s="518"/>
      <c r="B158" s="893" t="s">
        <v>607</v>
      </c>
      <c r="C158" s="894"/>
    </row>
    <row r="159" spans="1:3" ht="36">
      <c r="A159" s="517"/>
      <c r="B159" s="512" t="s">
        <v>886</v>
      </c>
      <c r="C159" s="594" t="s">
        <v>964</v>
      </c>
    </row>
    <row r="160" spans="1:3">
      <c r="A160" s="518"/>
      <c r="B160" s="893" t="s">
        <v>608</v>
      </c>
      <c r="C160" s="894"/>
    </row>
    <row r="161" spans="1:3" ht="39" customHeight="1">
      <c r="A161" s="518"/>
      <c r="B161" s="895" t="s">
        <v>896</v>
      </c>
      <c r="C161" s="896"/>
    </row>
    <row r="162" spans="1:3">
      <c r="A162" s="518" t="s">
        <v>609</v>
      </c>
      <c r="B162" s="537" t="s">
        <v>519</v>
      </c>
      <c r="C162" s="529" t="s">
        <v>610</v>
      </c>
    </row>
    <row r="163" spans="1:3">
      <c r="A163" s="518" t="s">
        <v>358</v>
      </c>
      <c r="B163" s="534" t="s">
        <v>520</v>
      </c>
      <c r="C163" s="536" t="s">
        <v>895</v>
      </c>
    </row>
    <row r="164" spans="1:3" ht="24">
      <c r="A164" s="518" t="s">
        <v>365</v>
      </c>
      <c r="B164" s="529" t="s">
        <v>521</v>
      </c>
      <c r="C164" s="536" t="s">
        <v>611</v>
      </c>
    </row>
    <row r="165" spans="1:3">
      <c r="A165" s="518" t="s">
        <v>612</v>
      </c>
      <c r="B165" s="534" t="s">
        <v>522</v>
      </c>
      <c r="C165" s="535" t="s">
        <v>613</v>
      </c>
    </row>
    <row r="166" spans="1:3" ht="24">
      <c r="A166" s="518" t="s">
        <v>614</v>
      </c>
      <c r="B166" s="534" t="s">
        <v>850</v>
      </c>
      <c r="C166" s="528" t="s">
        <v>894</v>
      </c>
    </row>
    <row r="167" spans="1:3" ht="24">
      <c r="A167" s="518" t="s">
        <v>366</v>
      </c>
      <c r="B167" s="534" t="s">
        <v>523</v>
      </c>
      <c r="C167" s="528" t="s">
        <v>616</v>
      </c>
    </row>
    <row r="168" spans="1:3" ht="24">
      <c r="A168" s="518" t="s">
        <v>615</v>
      </c>
      <c r="B168" s="532" t="s">
        <v>526</v>
      </c>
      <c r="C168" s="533" t="s">
        <v>623</v>
      </c>
    </row>
    <row r="169" spans="1:3" ht="24">
      <c r="A169" s="518" t="s">
        <v>617</v>
      </c>
      <c r="B169" s="532" t="s">
        <v>524</v>
      </c>
      <c r="C169" s="528" t="s">
        <v>619</v>
      </c>
    </row>
    <row r="170" spans="1:3" ht="26.55" customHeight="1">
      <c r="A170" s="518" t="s">
        <v>618</v>
      </c>
      <c r="B170" s="532" t="s">
        <v>525</v>
      </c>
      <c r="C170" s="533" t="s">
        <v>621</v>
      </c>
    </row>
    <row r="171" spans="1:3" ht="24">
      <c r="A171" s="518" t="s">
        <v>620</v>
      </c>
      <c r="B171" s="513" t="s">
        <v>527</v>
      </c>
      <c r="C171" s="533" t="s">
        <v>625</v>
      </c>
    </row>
    <row r="172" spans="1:3" ht="24">
      <c r="A172" s="518" t="s">
        <v>622</v>
      </c>
      <c r="B172" s="532" t="s">
        <v>528</v>
      </c>
      <c r="C172" s="531" t="s">
        <v>626</v>
      </c>
    </row>
    <row r="173" spans="1:3">
      <c r="A173" s="518" t="s">
        <v>624</v>
      </c>
      <c r="B173" s="530" t="s">
        <v>529</v>
      </c>
      <c r="C173" s="529" t="s">
        <v>627</v>
      </c>
    </row>
    <row r="174" spans="1:3" ht="24">
      <c r="A174" s="518"/>
      <c r="B174" s="528" t="s">
        <v>893</v>
      </c>
      <c r="C174" s="513" t="s">
        <v>628</v>
      </c>
    </row>
    <row r="175" spans="1:3" ht="24">
      <c r="A175" s="518"/>
      <c r="B175" s="528" t="s">
        <v>892</v>
      </c>
      <c r="C175" s="513" t="s">
        <v>629</v>
      </c>
    </row>
    <row r="176" spans="1:3" ht="24">
      <c r="A176" s="518"/>
      <c r="B176" s="528" t="s">
        <v>891</v>
      </c>
      <c r="C176" s="513" t="s">
        <v>630</v>
      </c>
    </row>
    <row r="177" spans="1:3">
      <c r="A177" s="518"/>
      <c r="B177" s="893" t="s">
        <v>631</v>
      </c>
      <c r="C177" s="894"/>
    </row>
    <row r="178" spans="1:3">
      <c r="A178" s="518"/>
      <c r="B178" s="895" t="s">
        <v>890</v>
      </c>
      <c r="C178" s="896"/>
    </row>
    <row r="179" spans="1:3">
      <c r="A179" s="517">
        <v>1</v>
      </c>
      <c r="B179" s="513" t="s">
        <v>533</v>
      </c>
      <c r="C179" s="513" t="s">
        <v>533</v>
      </c>
    </row>
    <row r="180" spans="1:3" ht="24">
      <c r="A180" s="517">
        <v>2</v>
      </c>
      <c r="B180" s="513" t="s">
        <v>632</v>
      </c>
      <c r="C180" s="513" t="s">
        <v>633</v>
      </c>
    </row>
    <row r="181" spans="1:3">
      <c r="A181" s="517">
        <v>3</v>
      </c>
      <c r="B181" s="513" t="s">
        <v>535</v>
      </c>
      <c r="C181" s="513" t="s">
        <v>634</v>
      </c>
    </row>
    <row r="182" spans="1:3" ht="24">
      <c r="A182" s="517">
        <v>4</v>
      </c>
      <c r="B182" s="513" t="s">
        <v>536</v>
      </c>
      <c r="C182" s="513" t="s">
        <v>635</v>
      </c>
    </row>
    <row r="183" spans="1:3" ht="24">
      <c r="A183" s="517">
        <v>5</v>
      </c>
      <c r="B183" s="513" t="s">
        <v>537</v>
      </c>
      <c r="C183" s="513" t="s">
        <v>657</v>
      </c>
    </row>
    <row r="184" spans="1:3" ht="48">
      <c r="A184" s="517">
        <v>6</v>
      </c>
      <c r="B184" s="513" t="s">
        <v>538</v>
      </c>
      <c r="C184" s="513" t="s">
        <v>636</v>
      </c>
    </row>
    <row r="185" spans="1:3">
      <c r="A185" s="518"/>
      <c r="B185" s="893" t="s">
        <v>637</v>
      </c>
      <c r="C185" s="894"/>
    </row>
    <row r="186" spans="1:3">
      <c r="A186" s="518"/>
      <c r="B186" s="904" t="s">
        <v>889</v>
      </c>
      <c r="C186" s="901"/>
    </row>
    <row r="187" spans="1:3" ht="24">
      <c r="A187" s="518">
        <v>1.1000000000000001</v>
      </c>
      <c r="B187" s="527" t="s">
        <v>543</v>
      </c>
      <c r="C187" s="513" t="s">
        <v>638</v>
      </c>
    </row>
    <row r="188" spans="1:3" ht="49.95" customHeight="1">
      <c r="A188" s="518" t="s">
        <v>147</v>
      </c>
      <c r="B188" s="514" t="s">
        <v>544</v>
      </c>
      <c r="C188" s="513" t="s">
        <v>639</v>
      </c>
    </row>
    <row r="189" spans="1:3">
      <c r="A189" s="518" t="s">
        <v>545</v>
      </c>
      <c r="B189" s="526" t="s">
        <v>546</v>
      </c>
      <c r="C189" s="905" t="s">
        <v>888</v>
      </c>
    </row>
    <row r="190" spans="1:3">
      <c r="A190" s="518" t="s">
        <v>547</v>
      </c>
      <c r="B190" s="526" t="s">
        <v>548</v>
      </c>
      <c r="C190" s="905"/>
    </row>
    <row r="191" spans="1:3">
      <c r="A191" s="518" t="s">
        <v>549</v>
      </c>
      <c r="B191" s="526" t="s">
        <v>550</v>
      </c>
      <c r="C191" s="905"/>
    </row>
    <row r="192" spans="1:3">
      <c r="A192" s="518" t="s">
        <v>551</v>
      </c>
      <c r="B192" s="526" t="s">
        <v>552</v>
      </c>
      <c r="C192" s="905"/>
    </row>
    <row r="193" spans="1:4" ht="25.5" customHeight="1">
      <c r="A193" s="518">
        <v>1.2</v>
      </c>
      <c r="B193" s="525" t="s">
        <v>864</v>
      </c>
      <c r="C193" s="595" t="s">
        <v>965</v>
      </c>
    </row>
    <row r="194" spans="1:4" ht="24">
      <c r="A194" s="518" t="s">
        <v>554</v>
      </c>
      <c r="B194" s="520" t="s">
        <v>555</v>
      </c>
      <c r="C194" s="523" t="s">
        <v>640</v>
      </c>
    </row>
    <row r="195" spans="1:4" ht="24">
      <c r="A195" s="518" t="s">
        <v>556</v>
      </c>
      <c r="B195" s="524" t="s">
        <v>557</v>
      </c>
      <c r="C195" s="523" t="s">
        <v>641</v>
      </c>
    </row>
    <row r="196" spans="1:4" ht="25.95" customHeight="1">
      <c r="A196" s="518" t="s">
        <v>558</v>
      </c>
      <c r="B196" s="522" t="s">
        <v>559</v>
      </c>
      <c r="C196" s="512" t="s">
        <v>642</v>
      </c>
    </row>
    <row r="197" spans="1:4" ht="24">
      <c r="A197" s="518" t="s">
        <v>560</v>
      </c>
      <c r="B197" s="521" t="s">
        <v>561</v>
      </c>
      <c r="C197" s="512" t="s">
        <v>643</v>
      </c>
      <c r="D197" s="337"/>
    </row>
    <row r="198" spans="1:4" ht="12.6">
      <c r="A198" s="518">
        <v>1.4</v>
      </c>
      <c r="B198" s="520" t="s">
        <v>650</v>
      </c>
      <c r="C198" s="519" t="s">
        <v>644</v>
      </c>
      <c r="D198" s="338"/>
    </row>
    <row r="199" spans="1:4" ht="12.6">
      <c r="A199" s="518">
        <v>1.5</v>
      </c>
      <c r="B199" s="520" t="s">
        <v>651</v>
      </c>
      <c r="C199" s="519" t="s">
        <v>644</v>
      </c>
      <c r="D199" s="339"/>
    </row>
    <row r="200" spans="1:4" ht="12.6">
      <c r="A200" s="518"/>
      <c r="B200" s="906" t="s">
        <v>645</v>
      </c>
      <c r="C200" s="906"/>
      <c r="D200" s="339"/>
    </row>
    <row r="201" spans="1:4" ht="12.6">
      <c r="A201" s="518"/>
      <c r="B201" s="904" t="s">
        <v>887</v>
      </c>
      <c r="C201" s="904"/>
      <c r="D201" s="339"/>
    </row>
    <row r="202" spans="1:4" ht="12.6">
      <c r="A202" s="517"/>
      <c r="B202" s="512" t="s">
        <v>886</v>
      </c>
      <c r="C202" s="594" t="s">
        <v>963</v>
      </c>
      <c r="D202" s="339"/>
    </row>
    <row r="203" spans="1:4" ht="12.6">
      <c r="A203" s="518"/>
      <c r="B203" s="906" t="s">
        <v>646</v>
      </c>
      <c r="C203" s="906"/>
      <c r="D203" s="340"/>
    </row>
    <row r="204" spans="1:4" ht="12.6">
      <c r="A204" s="517"/>
      <c r="B204" s="904" t="s">
        <v>885</v>
      </c>
      <c r="C204" s="904"/>
      <c r="D204" s="341"/>
    </row>
    <row r="205" spans="1:4" ht="12.6">
      <c r="B205" s="906" t="s">
        <v>683</v>
      </c>
      <c r="C205" s="906"/>
      <c r="D205" s="342"/>
    </row>
    <row r="206" spans="1:4" ht="24">
      <c r="A206" s="514">
        <v>1</v>
      </c>
      <c r="B206" s="512" t="s">
        <v>659</v>
      </c>
      <c r="C206" s="512" t="s">
        <v>671</v>
      </c>
      <c r="D206" s="341"/>
    </row>
    <row r="207" spans="1:4" ht="18" customHeight="1">
      <c r="A207" s="514">
        <v>2</v>
      </c>
      <c r="B207" s="512" t="s">
        <v>660</v>
      </c>
      <c r="C207" s="512" t="s">
        <v>672</v>
      </c>
      <c r="D207" s="342"/>
    </row>
    <row r="208" spans="1:4" ht="24">
      <c r="A208" s="514">
        <v>3</v>
      </c>
      <c r="B208" s="512" t="s">
        <v>661</v>
      </c>
      <c r="C208" s="512" t="s">
        <v>673</v>
      </c>
      <c r="D208" s="343"/>
    </row>
    <row r="209" spans="1:4" ht="12.6">
      <c r="A209" s="514">
        <v>4</v>
      </c>
      <c r="B209" s="512" t="s">
        <v>662</v>
      </c>
      <c r="C209" s="512" t="s">
        <v>674</v>
      </c>
      <c r="D209" s="343"/>
    </row>
    <row r="210" spans="1:4" ht="24">
      <c r="A210" s="514">
        <v>5</v>
      </c>
      <c r="B210" s="512" t="s">
        <v>663</v>
      </c>
      <c r="C210" s="512" t="s">
        <v>675</v>
      </c>
    </row>
    <row r="211" spans="1:4" ht="24.45" customHeight="1">
      <c r="A211" s="514">
        <v>6</v>
      </c>
      <c r="B211" s="512" t="s">
        <v>664</v>
      </c>
      <c r="C211" s="512" t="s">
        <v>676</v>
      </c>
    </row>
    <row r="212" spans="1:4" ht="24">
      <c r="A212" s="514">
        <v>7</v>
      </c>
      <c r="B212" s="512" t="s">
        <v>665</v>
      </c>
      <c r="C212" s="512" t="s">
        <v>677</v>
      </c>
    </row>
    <row r="213" spans="1:4">
      <c r="A213" s="514">
        <v>7.1</v>
      </c>
      <c r="B213" s="516" t="s">
        <v>666</v>
      </c>
      <c r="C213" s="512" t="s">
        <v>678</v>
      </c>
    </row>
    <row r="214" spans="1:4">
      <c r="A214" s="514">
        <v>7.2</v>
      </c>
      <c r="B214" s="516" t="s">
        <v>667</v>
      </c>
      <c r="C214" s="512" t="s">
        <v>679</v>
      </c>
    </row>
    <row r="215" spans="1:4">
      <c r="A215" s="514">
        <v>7.3</v>
      </c>
      <c r="B215" s="515" t="s">
        <v>668</v>
      </c>
      <c r="C215" s="512" t="s">
        <v>680</v>
      </c>
    </row>
    <row r="216" spans="1:4" ht="39.450000000000003" customHeight="1">
      <c r="A216" s="514">
        <v>8</v>
      </c>
      <c r="B216" s="512" t="s">
        <v>669</v>
      </c>
      <c r="C216" s="512" t="s">
        <v>681</v>
      </c>
    </row>
    <row r="217" spans="1:4">
      <c r="A217" s="514">
        <v>9</v>
      </c>
      <c r="B217" s="512" t="s">
        <v>670</v>
      </c>
      <c r="C217" s="512" t="s">
        <v>682</v>
      </c>
    </row>
    <row r="218" spans="1:4" ht="24">
      <c r="A218" s="551">
        <v>10.1</v>
      </c>
      <c r="B218" s="552" t="s">
        <v>690</v>
      </c>
      <c r="C218" s="544" t="s">
        <v>691</v>
      </c>
    </row>
    <row r="219" spans="1:4">
      <c r="A219" s="907"/>
      <c r="B219" s="553" t="s">
        <v>877</v>
      </c>
      <c r="C219" s="512" t="s">
        <v>884</v>
      </c>
    </row>
    <row r="220" spans="1:4">
      <c r="A220" s="907"/>
      <c r="B220" s="513" t="s">
        <v>542</v>
      </c>
      <c r="C220" s="512" t="s">
        <v>883</v>
      </c>
    </row>
    <row r="221" spans="1:4">
      <c r="A221" s="907"/>
      <c r="B221" s="513" t="s">
        <v>876</v>
      </c>
      <c r="C221" s="595" t="s">
        <v>966</v>
      </c>
    </row>
    <row r="222" spans="1:4">
      <c r="A222" s="907"/>
      <c r="B222" s="513" t="s">
        <v>684</v>
      </c>
      <c r="C222" s="512" t="s">
        <v>882</v>
      </c>
    </row>
    <row r="223" spans="1:4" ht="24">
      <c r="A223" s="907"/>
      <c r="B223" s="513" t="s">
        <v>688</v>
      </c>
      <c r="C223" s="513" t="s">
        <v>881</v>
      </c>
    </row>
    <row r="224" spans="1:4" ht="36">
      <c r="A224" s="907"/>
      <c r="B224" s="513" t="s">
        <v>687</v>
      </c>
      <c r="C224" s="512" t="s">
        <v>880</v>
      </c>
    </row>
    <row r="225" spans="1:3">
      <c r="A225" s="907"/>
      <c r="B225" s="513" t="s">
        <v>915</v>
      </c>
      <c r="C225" s="512" t="s">
        <v>879</v>
      </c>
    </row>
    <row r="226" spans="1:3" ht="24">
      <c r="A226" s="907"/>
      <c r="B226" s="513" t="s">
        <v>916</v>
      </c>
      <c r="C226" s="512" t="s">
        <v>878</v>
      </c>
    </row>
    <row r="227" spans="1:3" ht="12.6">
      <c r="A227" s="545"/>
      <c r="B227" s="546"/>
      <c r="C227" s="547"/>
    </row>
    <row r="228" spans="1:3" ht="12.6">
      <c r="A228" s="545"/>
      <c r="B228" s="547"/>
      <c r="C228" s="547"/>
    </row>
    <row r="229" spans="1:3" ht="12.6">
      <c r="A229" s="545"/>
      <c r="B229" s="547"/>
      <c r="C229" s="547"/>
    </row>
    <row r="230" spans="1:3" ht="12.6">
      <c r="A230" s="545"/>
      <c r="B230" s="548"/>
      <c r="C230" s="547"/>
    </row>
    <row r="231" spans="1:3">
      <c r="A231" s="903"/>
      <c r="B231" s="549"/>
      <c r="C231" s="547"/>
    </row>
    <row r="232" spans="1:3">
      <c r="A232" s="903"/>
      <c r="B232" s="549"/>
      <c r="C232" s="547"/>
    </row>
    <row r="233" spans="1:3">
      <c r="A233" s="903"/>
      <c r="B233" s="549"/>
      <c r="C233" s="547"/>
    </row>
    <row r="234" spans="1:3">
      <c r="A234" s="903"/>
      <c r="B234" s="549"/>
      <c r="C234" s="550"/>
    </row>
    <row r="235" spans="1:3" ht="40.5" customHeight="1">
      <c r="A235" s="903"/>
      <c r="B235" s="549"/>
      <c r="C235" s="547"/>
    </row>
    <row r="236" spans="1:3" ht="24" customHeight="1">
      <c r="A236" s="903"/>
      <c r="B236" s="549"/>
      <c r="C236" s="547"/>
    </row>
    <row r="237" spans="1:3">
      <c r="A237" s="903"/>
      <c r="B237" s="549"/>
      <c r="C237" s="547"/>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69696"/>
  </sheetPr>
  <dimension ref="A1:H45"/>
  <sheetViews>
    <sheetView topLeftCell="B1" zoomScale="80" zoomScaleNormal="80" workbookViewId="0">
      <selection activeCell="F6" sqref="F6:G45"/>
    </sheetView>
  </sheetViews>
  <sheetFormatPr defaultRowHeight="14.4"/>
  <cols>
    <col min="2" max="2" width="66.6640625" customWidth="1"/>
    <col min="3" max="8" width="17.77734375" customWidth="1"/>
  </cols>
  <sheetData>
    <row r="1" spans="1:8">
      <c r="A1" s="12" t="s">
        <v>98</v>
      </c>
      <c r="B1" s="247" t="str">
        <f>Info!C2</f>
        <v>სს "კრედო ბანკი"</v>
      </c>
      <c r="C1" s="11"/>
      <c r="D1" s="1"/>
      <c r="E1" s="1"/>
      <c r="F1" s="1"/>
      <c r="G1" s="1"/>
    </row>
    <row r="2" spans="1:8">
      <c r="A2" s="12" t="s">
        <v>99</v>
      </c>
      <c r="B2" s="282">
        <f>'1. key ratios'!B2</f>
        <v>45838</v>
      </c>
      <c r="C2" s="11"/>
      <c r="D2" s="1"/>
      <c r="E2" s="1"/>
      <c r="F2" s="1"/>
      <c r="G2" s="1"/>
    </row>
    <row r="3" spans="1:8">
      <c r="A3" s="12"/>
      <c r="B3" s="11"/>
      <c r="C3" s="11"/>
      <c r="D3" s="1"/>
      <c r="E3" s="1"/>
      <c r="F3" s="1"/>
      <c r="G3" s="1"/>
    </row>
    <row r="4" spans="1:8">
      <c r="A4" s="789" t="s">
        <v>26</v>
      </c>
      <c r="B4" s="787" t="s">
        <v>156</v>
      </c>
      <c r="C4" s="785" t="s">
        <v>104</v>
      </c>
      <c r="D4" s="785"/>
      <c r="E4" s="785"/>
      <c r="F4" s="785" t="s">
        <v>105</v>
      </c>
      <c r="G4" s="785"/>
      <c r="H4" s="786"/>
    </row>
    <row r="5" spans="1:8" ht="15.45" customHeight="1">
      <c r="A5" s="790"/>
      <c r="B5" s="788"/>
      <c r="C5" s="378" t="s">
        <v>27</v>
      </c>
      <c r="D5" s="378" t="s">
        <v>78</v>
      </c>
      <c r="E5" s="378" t="s">
        <v>67</v>
      </c>
      <c r="F5" s="378" t="s">
        <v>27</v>
      </c>
      <c r="G5" s="378" t="s">
        <v>78</v>
      </c>
      <c r="H5" s="378" t="s">
        <v>67</v>
      </c>
    </row>
    <row r="6" spans="1:8">
      <c r="A6" s="405">
        <v>1</v>
      </c>
      <c r="B6" s="379" t="s">
        <v>745</v>
      </c>
      <c r="C6" s="755">
        <f>SUM(C7:C12)</f>
        <v>295044668.15999341</v>
      </c>
      <c r="D6" s="755">
        <f>SUM(D7:D12)</f>
        <v>13800429.680000007</v>
      </c>
      <c r="E6" s="659">
        <f>C6+D6</f>
        <v>308845097.83999342</v>
      </c>
      <c r="F6" s="755">
        <f>SUM(F7:F12)</f>
        <v>234356605.46001977</v>
      </c>
      <c r="G6" s="755">
        <f>SUM(G7:G12)</f>
        <v>10921772.76000002</v>
      </c>
      <c r="H6" s="659">
        <f>F6+G6</f>
        <v>245278378.22001979</v>
      </c>
    </row>
    <row r="7" spans="1:8">
      <c r="A7" s="405">
        <v>1.1000000000000001</v>
      </c>
      <c r="B7" s="380" t="s">
        <v>699</v>
      </c>
      <c r="C7" s="658"/>
      <c r="D7" s="658"/>
      <c r="E7" s="659">
        <f t="shared" ref="E7:E45" si="0">C7+D7</f>
        <v>0</v>
      </c>
      <c r="F7" s="658"/>
      <c r="G7" s="658"/>
      <c r="H7" s="659">
        <f t="shared" ref="H7:H44" si="1">F7+G7</f>
        <v>0</v>
      </c>
    </row>
    <row r="8" spans="1:8" ht="20.399999999999999">
      <c r="A8" s="405">
        <v>1.2</v>
      </c>
      <c r="B8" s="380" t="s">
        <v>746</v>
      </c>
      <c r="C8" s="658"/>
      <c r="D8" s="658"/>
      <c r="E8" s="659">
        <f t="shared" si="0"/>
        <v>0</v>
      </c>
      <c r="F8" s="658"/>
      <c r="G8" s="658"/>
      <c r="H8" s="659">
        <f t="shared" si="1"/>
        <v>0</v>
      </c>
    </row>
    <row r="9" spans="1:8" ht="21.45" customHeight="1">
      <c r="A9" s="405">
        <v>1.3</v>
      </c>
      <c r="B9" s="370" t="s">
        <v>747</v>
      </c>
      <c r="C9" s="658"/>
      <c r="D9" s="658"/>
      <c r="E9" s="659">
        <f t="shared" si="0"/>
        <v>0</v>
      </c>
      <c r="F9" s="658"/>
      <c r="G9" s="658"/>
      <c r="H9" s="659">
        <f t="shared" si="1"/>
        <v>0</v>
      </c>
    </row>
    <row r="10" spans="1:8" ht="20.399999999999999">
      <c r="A10" s="405">
        <v>1.4</v>
      </c>
      <c r="B10" s="370" t="s">
        <v>703</v>
      </c>
      <c r="C10" s="658"/>
      <c r="D10" s="658"/>
      <c r="E10" s="659">
        <f t="shared" si="0"/>
        <v>0</v>
      </c>
      <c r="F10" s="658"/>
      <c r="G10" s="658"/>
      <c r="H10" s="659">
        <f t="shared" si="1"/>
        <v>0</v>
      </c>
    </row>
    <row r="11" spans="1:8">
      <c r="A11" s="405">
        <v>1.5</v>
      </c>
      <c r="B11" s="370" t="s">
        <v>706</v>
      </c>
      <c r="C11" s="658">
        <v>295044668.15999341</v>
      </c>
      <c r="D11" s="658">
        <v>13800429.680000007</v>
      </c>
      <c r="E11" s="659">
        <f t="shared" si="0"/>
        <v>308845097.83999342</v>
      </c>
      <c r="F11" s="658">
        <v>234356605.46001977</v>
      </c>
      <c r="G11" s="658">
        <v>10921772.76000002</v>
      </c>
      <c r="H11" s="659">
        <f t="shared" si="1"/>
        <v>245278378.22001979</v>
      </c>
    </row>
    <row r="12" spans="1:8">
      <c r="A12" s="405">
        <v>1.6</v>
      </c>
      <c r="B12" s="371" t="s">
        <v>89</v>
      </c>
      <c r="C12" s="658"/>
      <c r="D12" s="658"/>
      <c r="E12" s="659">
        <f t="shared" si="0"/>
        <v>0</v>
      </c>
      <c r="F12" s="658"/>
      <c r="G12" s="658"/>
      <c r="H12" s="659">
        <f t="shared" si="1"/>
        <v>0</v>
      </c>
    </row>
    <row r="13" spans="1:8">
      <c r="A13" s="405">
        <v>2</v>
      </c>
      <c r="B13" s="381" t="s">
        <v>748</v>
      </c>
      <c r="C13" s="755">
        <f>SUM(C14:C17)</f>
        <v>-108218794.48999999</v>
      </c>
      <c r="D13" s="755">
        <f>SUM(D14:D17)</f>
        <v>-14795788.439999998</v>
      </c>
      <c r="E13" s="659">
        <f t="shared" si="0"/>
        <v>-123014582.92999999</v>
      </c>
      <c r="F13" s="755">
        <f>SUM(F14:F17)</f>
        <v>-94149604.890000015</v>
      </c>
      <c r="G13" s="755">
        <f>SUM(G14:G17)</f>
        <v>-10257382.689999998</v>
      </c>
      <c r="H13" s="659">
        <f t="shared" si="1"/>
        <v>-104406987.58000001</v>
      </c>
    </row>
    <row r="14" spans="1:8">
      <c r="A14" s="405">
        <v>2.1</v>
      </c>
      <c r="B14" s="370" t="s">
        <v>749</v>
      </c>
      <c r="C14" s="658"/>
      <c r="D14" s="658"/>
      <c r="E14" s="659">
        <f t="shared" si="0"/>
        <v>0</v>
      </c>
      <c r="F14" s="658"/>
      <c r="G14" s="658"/>
      <c r="H14" s="659">
        <f t="shared" si="1"/>
        <v>0</v>
      </c>
    </row>
    <row r="15" spans="1:8" ht="24.45" customHeight="1">
      <c r="A15" s="405">
        <v>2.2000000000000002</v>
      </c>
      <c r="B15" s="370" t="s">
        <v>750</v>
      </c>
      <c r="C15" s="658"/>
      <c r="D15" s="658"/>
      <c r="E15" s="659">
        <f t="shared" si="0"/>
        <v>0</v>
      </c>
      <c r="F15" s="658"/>
      <c r="G15" s="658"/>
      <c r="H15" s="659">
        <f t="shared" si="1"/>
        <v>0</v>
      </c>
    </row>
    <row r="16" spans="1:8" ht="20.55" customHeight="1">
      <c r="A16" s="405">
        <v>2.2999999999999998</v>
      </c>
      <c r="B16" s="370" t="s">
        <v>751</v>
      </c>
      <c r="C16" s="658">
        <v>-108218794.48999999</v>
      </c>
      <c r="D16" s="658">
        <v>-14795788.439999998</v>
      </c>
      <c r="E16" s="659">
        <f t="shared" si="0"/>
        <v>-123014582.92999999</v>
      </c>
      <c r="F16" s="658">
        <v>-94149604.890000015</v>
      </c>
      <c r="G16" s="658">
        <v>-10257382.689999998</v>
      </c>
      <c r="H16" s="659">
        <f t="shared" si="1"/>
        <v>-104406987.58000001</v>
      </c>
    </row>
    <row r="17" spans="1:8">
      <c r="A17" s="405">
        <v>2.4</v>
      </c>
      <c r="B17" s="370" t="s">
        <v>752</v>
      </c>
      <c r="C17" s="658"/>
      <c r="D17" s="658"/>
      <c r="E17" s="659">
        <f t="shared" si="0"/>
        <v>0</v>
      </c>
      <c r="F17" s="658"/>
      <c r="G17" s="658"/>
      <c r="H17" s="659">
        <f t="shared" si="1"/>
        <v>0</v>
      </c>
    </row>
    <row r="18" spans="1:8">
      <c r="A18" s="405">
        <v>3</v>
      </c>
      <c r="B18" s="381" t="s">
        <v>753</v>
      </c>
      <c r="C18" s="658"/>
      <c r="D18" s="658"/>
      <c r="E18" s="659">
        <f t="shared" si="0"/>
        <v>0</v>
      </c>
      <c r="F18" s="658"/>
      <c r="G18" s="658"/>
      <c r="H18" s="659">
        <f t="shared" si="1"/>
        <v>0</v>
      </c>
    </row>
    <row r="19" spans="1:8">
      <c r="A19" s="405">
        <v>4</v>
      </c>
      <c r="B19" s="381" t="s">
        <v>754</v>
      </c>
      <c r="C19" s="658">
        <v>30490832.460000008</v>
      </c>
      <c r="D19" s="658">
        <v>5412996.6100000069</v>
      </c>
      <c r="E19" s="659">
        <f t="shared" si="0"/>
        <v>35903829.070000015</v>
      </c>
      <c r="F19" s="658">
        <v>25946054.460000001</v>
      </c>
      <c r="G19" s="658">
        <v>4495919.66</v>
      </c>
      <c r="H19" s="659">
        <f t="shared" si="1"/>
        <v>30441974.120000001</v>
      </c>
    </row>
    <row r="20" spans="1:8">
      <c r="A20" s="405">
        <v>5</v>
      </c>
      <c r="B20" s="381" t="s">
        <v>755</v>
      </c>
      <c r="C20" s="658">
        <v>-10742842.739999998</v>
      </c>
      <c r="D20" s="658">
        <v>-6156663.1499999985</v>
      </c>
      <c r="E20" s="659">
        <f t="shared" si="0"/>
        <v>-16899505.889999997</v>
      </c>
      <c r="F20" s="658">
        <v>-8085111.4600000028</v>
      </c>
      <c r="G20" s="658">
        <v>-3513750.4500000011</v>
      </c>
      <c r="H20" s="659">
        <f t="shared" si="1"/>
        <v>-11598861.910000004</v>
      </c>
    </row>
    <row r="21" spans="1:8" ht="38.549999999999997" customHeight="1">
      <c r="A21" s="405">
        <v>6</v>
      </c>
      <c r="B21" s="381" t="s">
        <v>756</v>
      </c>
      <c r="C21" s="658"/>
      <c r="D21" s="658"/>
      <c r="E21" s="659">
        <f t="shared" si="0"/>
        <v>0</v>
      </c>
      <c r="F21" s="658"/>
      <c r="G21" s="658"/>
      <c r="H21" s="659">
        <f t="shared" si="1"/>
        <v>0</v>
      </c>
    </row>
    <row r="22" spans="1:8" ht="27.45" customHeight="1">
      <c r="A22" s="405">
        <v>7</v>
      </c>
      <c r="B22" s="381" t="s">
        <v>757</v>
      </c>
      <c r="C22" s="658">
        <v>-10365235</v>
      </c>
      <c r="D22" s="658"/>
      <c r="E22" s="659">
        <f t="shared" si="0"/>
        <v>-10365235</v>
      </c>
      <c r="F22" s="658">
        <v>-5877632.7699999483</v>
      </c>
      <c r="G22" s="658"/>
      <c r="H22" s="659">
        <f t="shared" si="1"/>
        <v>-5877632.7699999483</v>
      </c>
    </row>
    <row r="23" spans="1:8" ht="37.049999999999997" customHeight="1">
      <c r="A23" s="405">
        <v>8</v>
      </c>
      <c r="B23" s="382" t="s">
        <v>758</v>
      </c>
      <c r="C23" s="658"/>
      <c r="D23" s="658"/>
      <c r="E23" s="659">
        <f t="shared" si="0"/>
        <v>0</v>
      </c>
      <c r="F23" s="658"/>
      <c r="G23" s="658"/>
      <c r="H23" s="659">
        <f t="shared" si="1"/>
        <v>0</v>
      </c>
    </row>
    <row r="24" spans="1:8" ht="34.5" customHeight="1">
      <c r="A24" s="405">
        <v>9</v>
      </c>
      <c r="B24" s="382" t="s">
        <v>759</v>
      </c>
      <c r="C24" s="658"/>
      <c r="D24" s="658"/>
      <c r="E24" s="659">
        <f t="shared" si="0"/>
        <v>0</v>
      </c>
      <c r="F24" s="658"/>
      <c r="G24" s="658"/>
      <c r="H24" s="659">
        <f t="shared" si="1"/>
        <v>0</v>
      </c>
    </row>
    <row r="25" spans="1:8">
      <c r="A25" s="405">
        <v>10</v>
      </c>
      <c r="B25" s="381" t="s">
        <v>760</v>
      </c>
      <c r="C25" s="658">
        <v>4846539.1399999997</v>
      </c>
      <c r="D25" s="658"/>
      <c r="E25" s="659">
        <f t="shared" si="0"/>
        <v>4846539.1399999997</v>
      </c>
      <c r="F25" s="658">
        <v>3029730.5</v>
      </c>
      <c r="G25" s="658"/>
      <c r="H25" s="659">
        <f t="shared" si="1"/>
        <v>3029730.5</v>
      </c>
    </row>
    <row r="26" spans="1:8" ht="27" customHeight="1">
      <c r="A26" s="405">
        <v>11</v>
      </c>
      <c r="B26" s="383" t="s">
        <v>761</v>
      </c>
      <c r="C26" s="658">
        <v>15544.129999999997</v>
      </c>
      <c r="D26" s="658"/>
      <c r="E26" s="659">
        <f t="shared" si="0"/>
        <v>15544.129999999997</v>
      </c>
      <c r="F26" s="658">
        <v>96157.060000000085</v>
      </c>
      <c r="G26" s="658"/>
      <c r="H26" s="659">
        <f t="shared" si="1"/>
        <v>96157.060000000085</v>
      </c>
    </row>
    <row r="27" spans="1:8">
      <c r="A27" s="405">
        <v>12</v>
      </c>
      <c r="B27" s="381" t="s">
        <v>762</v>
      </c>
      <c r="C27" s="658">
        <v>713885.54999999993</v>
      </c>
      <c r="D27" s="658">
        <v>15023.479999999981</v>
      </c>
      <c r="E27" s="659">
        <f t="shared" si="0"/>
        <v>728909.02999999991</v>
      </c>
      <c r="F27" s="658">
        <v>731186.7699999999</v>
      </c>
      <c r="G27" s="658">
        <v>462</v>
      </c>
      <c r="H27" s="659">
        <f t="shared" si="1"/>
        <v>731648.7699999999</v>
      </c>
    </row>
    <row r="28" spans="1:8">
      <c r="A28" s="405">
        <v>13</v>
      </c>
      <c r="B28" s="384" t="s">
        <v>763</v>
      </c>
      <c r="C28" s="756">
        <v>-13673322.449999997</v>
      </c>
      <c r="D28" s="756">
        <v>-497535.35000000149</v>
      </c>
      <c r="E28" s="659">
        <f t="shared" si="0"/>
        <v>-14170857.799999999</v>
      </c>
      <c r="F28" s="658">
        <v>-12854218.830000002</v>
      </c>
      <c r="G28" s="658">
        <v>-369307.49000000022</v>
      </c>
      <c r="H28" s="659">
        <f t="shared" si="1"/>
        <v>-13223526.320000002</v>
      </c>
    </row>
    <row r="29" spans="1:8">
      <c r="A29" s="405">
        <v>14</v>
      </c>
      <c r="B29" s="385" t="s">
        <v>764</v>
      </c>
      <c r="C29" s="755">
        <f>SUM(C30:C31)</f>
        <v>-77861672.080000028</v>
      </c>
      <c r="D29" s="755">
        <f>SUM(D30:D31)</f>
        <v>-650914.78999999992</v>
      </c>
      <c r="E29" s="659">
        <f t="shared" si="0"/>
        <v>-78512586.870000035</v>
      </c>
      <c r="F29" s="755">
        <f>SUM(F30:F31)</f>
        <v>-67221197.329999998</v>
      </c>
      <c r="G29" s="755">
        <f>SUM(G30:G31)</f>
        <v>-771700.89</v>
      </c>
      <c r="H29" s="659">
        <f t="shared" si="1"/>
        <v>-67992898.219999999</v>
      </c>
    </row>
    <row r="30" spans="1:8">
      <c r="A30" s="405">
        <v>14.1</v>
      </c>
      <c r="B30" s="361" t="s">
        <v>765</v>
      </c>
      <c r="C30" s="658">
        <v>-73971656.880000025</v>
      </c>
      <c r="D30" s="658">
        <v>-95056.85</v>
      </c>
      <c r="E30" s="659">
        <f t="shared" si="0"/>
        <v>-74066713.730000019</v>
      </c>
      <c r="F30" s="658">
        <v>-64211217.640000001</v>
      </c>
      <c r="G30" s="658">
        <v>-83421.36</v>
      </c>
      <c r="H30" s="659">
        <f t="shared" si="1"/>
        <v>-64294639</v>
      </c>
    </row>
    <row r="31" spans="1:8">
      <c r="A31" s="405">
        <v>14.2</v>
      </c>
      <c r="B31" s="361" t="s">
        <v>766</v>
      </c>
      <c r="C31" s="658">
        <v>-3890015.2</v>
      </c>
      <c r="D31" s="658">
        <v>-555857.93999999994</v>
      </c>
      <c r="E31" s="659">
        <f t="shared" si="0"/>
        <v>-4445873.1400000006</v>
      </c>
      <c r="F31" s="658">
        <v>-3009979.6899999995</v>
      </c>
      <c r="G31" s="658">
        <v>-688279.53</v>
      </c>
      <c r="H31" s="659">
        <f t="shared" si="1"/>
        <v>-3698259.2199999997</v>
      </c>
    </row>
    <row r="32" spans="1:8">
      <c r="A32" s="405">
        <v>15</v>
      </c>
      <c r="B32" s="386" t="s">
        <v>767</v>
      </c>
      <c r="C32" s="658">
        <v>-11068145.91</v>
      </c>
      <c r="D32" s="658"/>
      <c r="E32" s="659">
        <f t="shared" si="0"/>
        <v>-11068145.91</v>
      </c>
      <c r="F32" s="658">
        <v>-10488751.75</v>
      </c>
      <c r="G32" s="658"/>
      <c r="H32" s="659">
        <f t="shared" si="1"/>
        <v>-10488751.75</v>
      </c>
    </row>
    <row r="33" spans="1:8" ht="22.5" customHeight="1">
      <c r="A33" s="405">
        <v>16</v>
      </c>
      <c r="B33" s="355" t="s">
        <v>768</v>
      </c>
      <c r="C33" s="658"/>
      <c r="D33" s="658"/>
      <c r="E33" s="659">
        <f t="shared" si="0"/>
        <v>0</v>
      </c>
      <c r="F33" s="658"/>
      <c r="G33" s="658"/>
      <c r="H33" s="659">
        <f t="shared" si="1"/>
        <v>0</v>
      </c>
    </row>
    <row r="34" spans="1:8">
      <c r="A34" s="405">
        <v>17</v>
      </c>
      <c r="B34" s="381" t="s">
        <v>769</v>
      </c>
      <c r="C34" s="755">
        <f>SUM(C35:C36)</f>
        <v>-991120.42</v>
      </c>
      <c r="D34" s="755">
        <f>SUM(D35:D36)</f>
        <v>0</v>
      </c>
      <c r="E34" s="659">
        <f t="shared" si="0"/>
        <v>-991120.42</v>
      </c>
      <c r="F34" s="658">
        <f>SUM(F35:F36)</f>
        <v>0</v>
      </c>
      <c r="G34" s="658">
        <f>SUM(G35:G36)</f>
        <v>0</v>
      </c>
      <c r="H34" s="659">
        <f t="shared" si="1"/>
        <v>0</v>
      </c>
    </row>
    <row r="35" spans="1:8">
      <c r="A35" s="405">
        <v>17.100000000000001</v>
      </c>
      <c r="B35" s="387" t="s">
        <v>770</v>
      </c>
      <c r="C35" s="756">
        <v>-991120.42</v>
      </c>
      <c r="D35" s="756"/>
      <c r="E35" s="659">
        <f t="shared" si="0"/>
        <v>-991120.42</v>
      </c>
      <c r="F35" s="658"/>
      <c r="G35" s="658"/>
      <c r="H35" s="659">
        <f t="shared" si="1"/>
        <v>0</v>
      </c>
    </row>
    <row r="36" spans="1:8">
      <c r="A36" s="405">
        <v>17.2</v>
      </c>
      <c r="B36" s="361" t="s">
        <v>771</v>
      </c>
      <c r="C36" s="658"/>
      <c r="D36" s="658"/>
      <c r="E36" s="659">
        <f t="shared" si="0"/>
        <v>0</v>
      </c>
      <c r="F36" s="658"/>
      <c r="G36" s="658"/>
      <c r="H36" s="659">
        <f t="shared" si="1"/>
        <v>0</v>
      </c>
    </row>
    <row r="37" spans="1:8" ht="41.55" customHeight="1">
      <c r="A37" s="405">
        <v>18</v>
      </c>
      <c r="B37" s="388" t="s">
        <v>772</v>
      </c>
      <c r="C37" s="755">
        <f>SUM(C38:C39)</f>
        <v>-43784512.930001862</v>
      </c>
      <c r="D37" s="755">
        <f>SUM(D38:D41)</f>
        <v>-300746.30999999499</v>
      </c>
      <c r="E37" s="659">
        <f t="shared" si="0"/>
        <v>-44085259.240001857</v>
      </c>
      <c r="F37" s="755">
        <f>SUM(F38:F39)</f>
        <v>-33858228.579996139</v>
      </c>
      <c r="G37" s="755">
        <f>SUM(G38:G39)</f>
        <v>-1075558.5599999949</v>
      </c>
      <c r="H37" s="659">
        <f t="shared" si="1"/>
        <v>-34933787.139996134</v>
      </c>
    </row>
    <row r="38" spans="1:8" ht="20.399999999999999">
      <c r="A38" s="405">
        <v>18.100000000000001</v>
      </c>
      <c r="B38" s="370" t="s">
        <v>773</v>
      </c>
      <c r="C38" s="658"/>
      <c r="D38" s="658"/>
      <c r="E38" s="659">
        <f t="shared" si="0"/>
        <v>0</v>
      </c>
      <c r="F38" s="658"/>
      <c r="G38" s="658"/>
      <c r="H38" s="659">
        <f t="shared" si="1"/>
        <v>0</v>
      </c>
    </row>
    <row r="39" spans="1:8">
      <c r="A39" s="405">
        <v>18.2</v>
      </c>
      <c r="B39" s="370" t="s">
        <v>774</v>
      </c>
      <c r="C39" s="658">
        <v>-43784512.930001862</v>
      </c>
      <c r="D39" s="658">
        <f>-302050.309999995+1304</f>
        <v>-300746.30999999499</v>
      </c>
      <c r="E39" s="659">
        <f t="shared" si="0"/>
        <v>-44085259.240001857</v>
      </c>
      <c r="F39" s="658">
        <v>-33858228.579996139</v>
      </c>
      <c r="G39" s="658">
        <v>-1075558.5599999949</v>
      </c>
      <c r="H39" s="659">
        <f t="shared" si="1"/>
        <v>-34933787.139996134</v>
      </c>
    </row>
    <row r="40" spans="1:8" ht="24.45" customHeight="1">
      <c r="A40" s="405">
        <v>19</v>
      </c>
      <c r="B40" s="388" t="s">
        <v>775</v>
      </c>
      <c r="C40" s="658"/>
      <c r="D40" s="658"/>
      <c r="E40" s="659">
        <f t="shared" si="0"/>
        <v>0</v>
      </c>
      <c r="F40" s="658"/>
      <c r="G40" s="658"/>
      <c r="H40" s="659">
        <f t="shared" si="1"/>
        <v>0</v>
      </c>
    </row>
    <row r="41" spans="1:8" ht="25.05" customHeight="1">
      <c r="A41" s="405">
        <v>20</v>
      </c>
      <c r="B41" s="388" t="s">
        <v>776</v>
      </c>
      <c r="C41" s="658">
        <v>-32508</v>
      </c>
      <c r="D41" s="658"/>
      <c r="E41" s="659">
        <f t="shared" si="0"/>
        <v>-32508</v>
      </c>
      <c r="F41" s="658">
        <v>-958922.37</v>
      </c>
      <c r="G41" s="658"/>
      <c r="H41" s="659">
        <f t="shared" si="1"/>
        <v>-958922.37</v>
      </c>
    </row>
    <row r="42" spans="1:8" ht="33" customHeight="1">
      <c r="A42" s="405">
        <v>21</v>
      </c>
      <c r="B42" s="389" t="s">
        <v>777</v>
      </c>
      <c r="C42" s="658"/>
      <c r="D42" s="658"/>
      <c r="E42" s="659">
        <f t="shared" si="0"/>
        <v>0</v>
      </c>
      <c r="F42" s="658"/>
      <c r="G42" s="658"/>
      <c r="H42" s="659">
        <f t="shared" si="1"/>
        <v>0</v>
      </c>
    </row>
    <row r="43" spans="1:8">
      <c r="A43" s="405">
        <v>22</v>
      </c>
      <c r="B43" s="390" t="s">
        <v>778</v>
      </c>
      <c r="C43" s="755">
        <f>SUM(C6,C13,C18,C19,C20,C21,C22,C23,C24,C25,C26,C27,C28,C29,C32,C33,C34,C37,C40,C41,C42)</f>
        <v>54373315.419991516</v>
      </c>
      <c r="D43" s="755">
        <f>SUM(D6,D13,D18,D19,D20,D21,D22,D23,D24,D25,D26,D27,D28,D29,D32,D33,D34,D37,D40,D41,D42)</f>
        <v>-3173198.2699999786</v>
      </c>
      <c r="E43" s="659">
        <f t="shared" si="0"/>
        <v>51200117.149991535</v>
      </c>
      <c r="F43" s="755">
        <f>SUM(F6,F13,F18,F19,F20,F21,F22,F23,F24,F25,F26,F27,F28,F29,F32,F33,F34,F37,F40,F41,F42)</f>
        <v>30666066.270023663</v>
      </c>
      <c r="G43" s="755">
        <f>SUM(G6,G13,G18,G19,G20,G21,G22,G23,G24,G25,G26,G27,G28,G29,G32,G33,G34,G37,G40,G41,G42)</f>
        <v>-569545.65999997349</v>
      </c>
      <c r="H43" s="659">
        <f t="shared" si="1"/>
        <v>30096520.610023689</v>
      </c>
    </row>
    <row r="44" spans="1:8">
      <c r="A44" s="405">
        <v>23</v>
      </c>
      <c r="B44" s="390" t="s">
        <v>779</v>
      </c>
      <c r="C44" s="658">
        <v>10240023.43</v>
      </c>
      <c r="D44" s="658"/>
      <c r="E44" s="659">
        <f t="shared" si="0"/>
        <v>10240023.43</v>
      </c>
      <c r="F44" s="658">
        <v>6007221.5499999998</v>
      </c>
      <c r="G44" s="658"/>
      <c r="H44" s="659">
        <f t="shared" si="1"/>
        <v>6007221.5499999998</v>
      </c>
    </row>
    <row r="45" spans="1:8">
      <c r="A45" s="405">
        <v>24</v>
      </c>
      <c r="B45" s="390" t="s">
        <v>780</v>
      </c>
      <c r="C45" s="770">
        <f>C43-C44</f>
        <v>44133291.989991516</v>
      </c>
      <c r="D45" s="770">
        <f>D43-D44</f>
        <v>-3173198.2699999786</v>
      </c>
      <c r="E45" s="659">
        <f t="shared" si="0"/>
        <v>40960093.719991535</v>
      </c>
      <c r="F45" s="770">
        <f>F43-F44</f>
        <v>24658844.720023662</v>
      </c>
      <c r="G45" s="770">
        <f>G43-G44</f>
        <v>-569545.65999997349</v>
      </c>
      <c r="H45" s="659">
        <f>F45+G45</f>
        <v>24089299.060023688</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J47"/>
  <sheetViews>
    <sheetView zoomScale="80" zoomScaleNormal="80" workbookViewId="0">
      <selection activeCell="F8" sqref="F8:G42"/>
    </sheetView>
  </sheetViews>
  <sheetFormatPr defaultRowHeight="14.4"/>
  <cols>
    <col min="1" max="1" width="8.77734375" style="402"/>
    <col min="2" max="2" width="87.6640625" bestFit="1" customWidth="1"/>
    <col min="3" max="3" width="15.21875" bestFit="1" customWidth="1"/>
    <col min="4" max="5" width="12.77734375" customWidth="1"/>
    <col min="6" max="6" width="15.44140625" bestFit="1" customWidth="1"/>
    <col min="7" max="8" width="12.77734375" customWidth="1"/>
    <col min="9" max="9" width="16.33203125" bestFit="1" customWidth="1"/>
    <col min="10" max="10" width="11.88671875" bestFit="1" customWidth="1"/>
  </cols>
  <sheetData>
    <row r="1" spans="1:10">
      <c r="A1" s="12" t="s">
        <v>98</v>
      </c>
      <c r="B1" s="247" t="str">
        <f>Info!C2</f>
        <v>სს "კრედო ბანკი"</v>
      </c>
      <c r="C1" s="11"/>
      <c r="D1" s="1"/>
      <c r="E1" s="1"/>
      <c r="F1" s="1"/>
      <c r="G1" s="1"/>
    </row>
    <row r="2" spans="1:10">
      <c r="A2" s="12" t="s">
        <v>99</v>
      </c>
      <c r="B2" s="282">
        <f>'1. key ratios'!B2</f>
        <v>45838</v>
      </c>
      <c r="C2" s="11"/>
      <c r="D2" s="1"/>
      <c r="E2" s="1"/>
      <c r="F2" s="1"/>
      <c r="G2" s="1"/>
    </row>
    <row r="3" spans="1:10">
      <c r="A3" s="12"/>
      <c r="B3" s="11"/>
      <c r="C3" s="11"/>
      <c r="D3" s="1"/>
      <c r="E3" s="1"/>
      <c r="F3" s="1"/>
      <c r="G3" s="1"/>
    </row>
    <row r="4" spans="1:10">
      <c r="A4" s="782" t="s">
        <v>26</v>
      </c>
      <c r="B4" s="791" t="s">
        <v>141</v>
      </c>
      <c r="C4" s="792" t="s">
        <v>104</v>
      </c>
      <c r="D4" s="792"/>
      <c r="E4" s="792"/>
      <c r="F4" s="792" t="s">
        <v>105</v>
      </c>
      <c r="G4" s="792"/>
      <c r="H4" s="793"/>
    </row>
    <row r="5" spans="1:10">
      <c r="A5" s="782"/>
      <c r="B5" s="791"/>
      <c r="C5" s="378" t="s">
        <v>27</v>
      </c>
      <c r="D5" s="378" t="s">
        <v>78</v>
      </c>
      <c r="E5" s="378" t="s">
        <v>67</v>
      </c>
      <c r="F5" s="378" t="s">
        <v>27</v>
      </c>
      <c r="G5" s="378" t="s">
        <v>78</v>
      </c>
      <c r="H5" s="391" t="s">
        <v>67</v>
      </c>
    </row>
    <row r="6" spans="1:10">
      <c r="A6" s="392">
        <v>1</v>
      </c>
      <c r="B6" s="395" t="s">
        <v>781</v>
      </c>
      <c r="C6" s="393"/>
      <c r="D6" s="393"/>
      <c r="E6" s="394">
        <f t="shared" ref="E6:E43" si="0">C6+D6</f>
        <v>0</v>
      </c>
      <c r="F6" s="660"/>
      <c r="G6" s="660"/>
      <c r="H6" s="661">
        <f t="shared" ref="H6:H43" si="1">F6+G6</f>
        <v>0</v>
      </c>
      <c r="I6" s="662"/>
    </row>
    <row r="7" spans="1:10">
      <c r="A7" s="392">
        <v>2</v>
      </c>
      <c r="B7" s="395" t="s">
        <v>167</v>
      </c>
      <c r="C7" s="393"/>
      <c r="D7" s="393"/>
      <c r="E7" s="394">
        <f t="shared" si="0"/>
        <v>0</v>
      </c>
      <c r="F7" s="660"/>
      <c r="G7" s="660"/>
      <c r="H7" s="661">
        <f t="shared" si="1"/>
        <v>0</v>
      </c>
      <c r="I7" s="662"/>
    </row>
    <row r="8" spans="1:10">
      <c r="A8" s="392">
        <v>3</v>
      </c>
      <c r="B8" s="395" t="s">
        <v>169</v>
      </c>
      <c r="C8" s="758">
        <f>C9+C10</f>
        <v>1582565738.9199998</v>
      </c>
      <c r="D8" s="758">
        <f>D9+D10</f>
        <v>0</v>
      </c>
      <c r="E8" s="394">
        <f t="shared" si="0"/>
        <v>1582565738.9199998</v>
      </c>
      <c r="F8" s="757">
        <f>F9+F10</f>
        <v>1338576155.3399999</v>
      </c>
      <c r="G8" s="757">
        <f>G9+G10</f>
        <v>0</v>
      </c>
      <c r="H8" s="661">
        <f t="shared" si="1"/>
        <v>1338576155.3399999</v>
      </c>
      <c r="I8" s="662"/>
      <c r="J8" s="663"/>
    </row>
    <row r="9" spans="1:10">
      <c r="A9" s="392">
        <v>3.1</v>
      </c>
      <c r="B9" s="396" t="s">
        <v>782</v>
      </c>
      <c r="C9" s="393">
        <v>1582504946.8</v>
      </c>
      <c r="D9" s="393"/>
      <c r="E9" s="394">
        <f t="shared" si="0"/>
        <v>1582504946.8</v>
      </c>
      <c r="F9" s="660">
        <v>1338310050.3399999</v>
      </c>
      <c r="G9" s="660"/>
      <c r="H9" s="661">
        <f t="shared" si="1"/>
        <v>1338310050.3399999</v>
      </c>
      <c r="I9" s="662"/>
      <c r="J9" s="663"/>
    </row>
    <row r="10" spans="1:10">
      <c r="A10" s="392">
        <v>3.2</v>
      </c>
      <c r="B10" s="396" t="s">
        <v>783</v>
      </c>
      <c r="C10" s="393">
        <v>60792.12</v>
      </c>
      <c r="D10" s="393"/>
      <c r="E10" s="394">
        <f t="shared" si="0"/>
        <v>60792.12</v>
      </c>
      <c r="F10" s="660">
        <v>266105</v>
      </c>
      <c r="G10" s="660"/>
      <c r="H10" s="661">
        <f t="shared" si="1"/>
        <v>266105</v>
      </c>
      <c r="I10" s="662"/>
      <c r="J10" s="663"/>
    </row>
    <row r="11" spans="1:10">
      <c r="A11" s="392">
        <v>4</v>
      </c>
      <c r="B11" s="395" t="s">
        <v>168</v>
      </c>
      <c r="C11" s="393">
        <f>C12+C13</f>
        <v>0</v>
      </c>
      <c r="D11" s="393">
        <f>D12+D13</f>
        <v>0</v>
      </c>
      <c r="E11" s="394">
        <f t="shared" si="0"/>
        <v>0</v>
      </c>
      <c r="F11" s="660">
        <f>F12+F13</f>
        <v>0</v>
      </c>
      <c r="G11" s="660">
        <f>G12+G13</f>
        <v>0</v>
      </c>
      <c r="H11" s="661">
        <f t="shared" si="1"/>
        <v>0</v>
      </c>
      <c r="I11" s="662"/>
      <c r="J11" s="663"/>
    </row>
    <row r="12" spans="1:10">
      <c r="A12" s="392">
        <v>4.0999999999999996</v>
      </c>
      <c r="B12" s="396" t="s">
        <v>784</v>
      </c>
      <c r="C12" s="393"/>
      <c r="D12" s="393"/>
      <c r="E12" s="394">
        <f t="shared" si="0"/>
        <v>0</v>
      </c>
      <c r="F12" s="660"/>
      <c r="G12" s="660"/>
      <c r="H12" s="661">
        <f t="shared" si="1"/>
        <v>0</v>
      </c>
      <c r="I12" s="662"/>
      <c r="J12" s="663"/>
    </row>
    <row r="13" spans="1:10">
      <c r="A13" s="392">
        <v>4.2</v>
      </c>
      <c r="B13" s="396" t="s">
        <v>785</v>
      </c>
      <c r="C13" s="393"/>
      <c r="D13" s="393"/>
      <c r="E13" s="394">
        <f t="shared" si="0"/>
        <v>0</v>
      </c>
      <c r="F13" s="660"/>
      <c r="G13" s="660"/>
      <c r="H13" s="661">
        <f t="shared" si="1"/>
        <v>0</v>
      </c>
      <c r="I13" s="662"/>
      <c r="J13" s="663"/>
    </row>
    <row r="14" spans="1:10">
      <c r="A14" s="392">
        <v>5</v>
      </c>
      <c r="B14" s="397" t="s">
        <v>786</v>
      </c>
      <c r="C14" s="758">
        <f>C15+C16+C17+C23+C24+C25+C26</f>
        <v>2282252809.4699998</v>
      </c>
      <c r="D14" s="758">
        <f>D15+D16+D17+D23+D24+D25+D26</f>
        <v>1906520</v>
      </c>
      <c r="E14" s="394">
        <f t="shared" si="0"/>
        <v>2284159329.4699998</v>
      </c>
      <c r="F14" s="757">
        <f>F15+F16+F17+F23+F24+F25+F26</f>
        <v>1738313800.5200002</v>
      </c>
      <c r="G14" s="757">
        <f>G15+G16+G17+G23+G24+G25+G26</f>
        <v>1967070</v>
      </c>
      <c r="H14" s="661">
        <f t="shared" si="1"/>
        <v>1740280870.5200002</v>
      </c>
      <c r="I14" s="662"/>
      <c r="J14" s="663"/>
    </row>
    <row r="15" spans="1:10">
      <c r="A15" s="392">
        <v>5.0999999999999996</v>
      </c>
      <c r="B15" s="398" t="s">
        <v>787</v>
      </c>
      <c r="C15" s="393">
        <v>21781952.879999999</v>
      </c>
      <c r="D15" s="393">
        <v>1906520</v>
      </c>
      <c r="E15" s="394">
        <f t="shared" si="0"/>
        <v>23688472.879999999</v>
      </c>
      <c r="F15" s="660">
        <v>14461660.060000001</v>
      </c>
      <c r="G15" s="660">
        <v>1967070</v>
      </c>
      <c r="H15" s="661">
        <f t="shared" si="1"/>
        <v>16428730.060000001</v>
      </c>
      <c r="I15" s="662"/>
      <c r="J15" s="663"/>
    </row>
    <row r="16" spans="1:10">
      <c r="A16" s="392">
        <v>5.2</v>
      </c>
      <c r="B16" s="398" t="s">
        <v>788</v>
      </c>
      <c r="C16" s="393">
        <v>2028</v>
      </c>
      <c r="D16" s="393"/>
      <c r="E16" s="394">
        <f t="shared" si="0"/>
        <v>2028</v>
      </c>
      <c r="F16" s="660">
        <v>2028</v>
      </c>
      <c r="G16" s="660"/>
      <c r="H16" s="661">
        <f t="shared" si="1"/>
        <v>2028</v>
      </c>
      <c r="I16" s="662"/>
      <c r="J16" s="663"/>
    </row>
    <row r="17" spans="1:10">
      <c r="A17" s="392">
        <v>5.3</v>
      </c>
      <c r="B17" s="398" t="s">
        <v>789</v>
      </c>
      <c r="C17" s="758">
        <f>C18+C19+C20+C21+C22</f>
        <v>1992726309.1799998</v>
      </c>
      <c r="D17" s="758">
        <f>D18+D19+D20+D21+D22</f>
        <v>0</v>
      </c>
      <c r="E17" s="394">
        <f t="shared" si="0"/>
        <v>1992726309.1799998</v>
      </c>
      <c r="F17" s="758">
        <f>F18+F19+F20+F21+F22</f>
        <v>1539488761.3100002</v>
      </c>
      <c r="G17" s="660">
        <v>0</v>
      </c>
      <c r="H17" s="661">
        <f t="shared" si="1"/>
        <v>1539488761.3100002</v>
      </c>
      <c r="I17" s="662"/>
      <c r="J17" s="663"/>
    </row>
    <row r="18" spans="1:10">
      <c r="A18" s="392" t="s">
        <v>170</v>
      </c>
      <c r="B18" s="399" t="s">
        <v>790</v>
      </c>
      <c r="C18" s="393">
        <v>1432137045.8</v>
      </c>
      <c r="D18" s="393"/>
      <c r="E18" s="394">
        <f t="shared" si="0"/>
        <v>1432137045.8</v>
      </c>
      <c r="F18" s="660">
        <v>1142287850.72</v>
      </c>
      <c r="G18" s="660"/>
      <c r="H18" s="661">
        <f t="shared" si="1"/>
        <v>1142287850.72</v>
      </c>
      <c r="I18" s="662"/>
      <c r="J18" s="663"/>
    </row>
    <row r="19" spans="1:10">
      <c r="A19" s="392" t="s">
        <v>171</v>
      </c>
      <c r="B19" s="400" t="s">
        <v>791</v>
      </c>
      <c r="C19" s="393">
        <v>240567750.27000001</v>
      </c>
      <c r="D19" s="393"/>
      <c r="E19" s="394">
        <f t="shared" si="0"/>
        <v>240567750.27000001</v>
      </c>
      <c r="F19" s="660">
        <v>181088028.69999999</v>
      </c>
      <c r="G19" s="660"/>
      <c r="H19" s="661">
        <f t="shared" si="1"/>
        <v>181088028.69999999</v>
      </c>
      <c r="I19" s="662"/>
      <c r="J19" s="663"/>
    </row>
    <row r="20" spans="1:10">
      <c r="A20" s="392" t="s">
        <v>172</v>
      </c>
      <c r="B20" s="400" t="s">
        <v>792</v>
      </c>
      <c r="C20" s="393"/>
      <c r="D20" s="393"/>
      <c r="E20" s="394">
        <f t="shared" si="0"/>
        <v>0</v>
      </c>
      <c r="F20" s="660"/>
      <c r="G20" s="660"/>
      <c r="H20" s="661">
        <f t="shared" si="1"/>
        <v>0</v>
      </c>
      <c r="I20" s="662"/>
      <c r="J20" s="663"/>
    </row>
    <row r="21" spans="1:10">
      <c r="A21" s="392" t="s">
        <v>173</v>
      </c>
      <c r="B21" s="400" t="s">
        <v>793</v>
      </c>
      <c r="C21" s="393">
        <v>316136079</v>
      </c>
      <c r="D21" s="393"/>
      <c r="E21" s="394">
        <f t="shared" si="0"/>
        <v>316136079</v>
      </c>
      <c r="F21" s="660">
        <v>211570336.63</v>
      </c>
      <c r="G21" s="660"/>
      <c r="H21" s="661">
        <f t="shared" si="1"/>
        <v>211570336.63</v>
      </c>
      <c r="I21" s="662"/>
      <c r="J21" s="663"/>
    </row>
    <row r="22" spans="1:10">
      <c r="A22" s="392" t="s">
        <v>174</v>
      </c>
      <c r="B22" s="400" t="s">
        <v>511</v>
      </c>
      <c r="C22" s="393">
        <v>3885434.11</v>
      </c>
      <c r="D22" s="393"/>
      <c r="E22" s="394">
        <f t="shared" si="0"/>
        <v>3885434.11</v>
      </c>
      <c r="F22" s="660">
        <v>4542545.26</v>
      </c>
      <c r="G22" s="660"/>
      <c r="H22" s="661">
        <f t="shared" si="1"/>
        <v>4542545.26</v>
      </c>
      <c r="I22" s="662"/>
      <c r="J22" s="663"/>
    </row>
    <row r="23" spans="1:10">
      <c r="A23" s="392">
        <v>5.4</v>
      </c>
      <c r="B23" s="398" t="s">
        <v>794</v>
      </c>
      <c r="C23" s="393">
        <v>267742519.41</v>
      </c>
      <c r="D23" s="393"/>
      <c r="E23" s="394">
        <f t="shared" si="0"/>
        <v>267742519.41</v>
      </c>
      <c r="F23" s="660">
        <v>184361351.15000001</v>
      </c>
      <c r="G23" s="660"/>
      <c r="H23" s="661">
        <f t="shared" si="1"/>
        <v>184361351.15000001</v>
      </c>
      <c r="I23" s="662"/>
      <c r="J23" s="663"/>
    </row>
    <row r="24" spans="1:10">
      <c r="A24" s="392">
        <v>5.5</v>
      </c>
      <c r="B24" s="398" t="s">
        <v>795</v>
      </c>
      <c r="C24" s="393"/>
      <c r="D24" s="393"/>
      <c r="E24" s="394">
        <f t="shared" si="0"/>
        <v>0</v>
      </c>
      <c r="F24" s="660"/>
      <c r="G24" s="660"/>
      <c r="H24" s="661">
        <f t="shared" si="1"/>
        <v>0</v>
      </c>
      <c r="I24" s="662"/>
      <c r="J24" s="663"/>
    </row>
    <row r="25" spans="1:10">
      <c r="A25" s="392">
        <v>5.6</v>
      </c>
      <c r="B25" s="398" t="s">
        <v>796</v>
      </c>
      <c r="C25" s="393"/>
      <c r="D25" s="393"/>
      <c r="E25" s="394">
        <f t="shared" si="0"/>
        <v>0</v>
      </c>
      <c r="F25" s="660"/>
      <c r="G25" s="660"/>
      <c r="H25" s="661">
        <f t="shared" si="1"/>
        <v>0</v>
      </c>
      <c r="I25" s="662"/>
      <c r="J25" s="663"/>
    </row>
    <row r="26" spans="1:10">
      <c r="A26" s="392">
        <v>5.7</v>
      </c>
      <c r="B26" s="398" t="s">
        <v>511</v>
      </c>
      <c r="C26" s="393"/>
      <c r="D26" s="393"/>
      <c r="E26" s="394">
        <f t="shared" si="0"/>
        <v>0</v>
      </c>
      <c r="F26" s="660"/>
      <c r="G26" s="660"/>
      <c r="H26" s="661">
        <f t="shared" si="1"/>
        <v>0</v>
      </c>
      <c r="I26" s="662"/>
      <c r="J26" s="663"/>
    </row>
    <row r="27" spans="1:10">
      <c r="A27" s="392">
        <v>6</v>
      </c>
      <c r="B27" s="397" t="s">
        <v>797</v>
      </c>
      <c r="C27" s="393">
        <f>349727977-1768709</f>
        <v>347959268</v>
      </c>
      <c r="D27" s="393">
        <v>33248909</v>
      </c>
      <c r="E27" s="394">
        <f t="shared" si="0"/>
        <v>381208177</v>
      </c>
      <c r="F27" s="660">
        <v>51545873</v>
      </c>
      <c r="G27" s="660">
        <v>23239725</v>
      </c>
      <c r="H27" s="661">
        <f t="shared" si="1"/>
        <v>74785598</v>
      </c>
      <c r="I27" s="662"/>
      <c r="J27" s="663"/>
    </row>
    <row r="28" spans="1:10">
      <c r="A28" s="392">
        <v>7</v>
      </c>
      <c r="B28" s="397" t="s">
        <v>798</v>
      </c>
      <c r="C28" s="393">
        <v>2298081</v>
      </c>
      <c r="D28" s="393"/>
      <c r="E28" s="394">
        <f t="shared" si="0"/>
        <v>2298081</v>
      </c>
      <c r="F28" s="660">
        <v>970850</v>
      </c>
      <c r="G28" s="660"/>
      <c r="H28" s="661">
        <f t="shared" si="1"/>
        <v>970850</v>
      </c>
      <c r="I28" s="662"/>
      <c r="J28" s="663"/>
    </row>
    <row r="29" spans="1:10">
      <c r="A29" s="392">
        <v>8</v>
      </c>
      <c r="B29" s="397" t="s">
        <v>799</v>
      </c>
      <c r="C29" s="393"/>
      <c r="D29" s="393"/>
      <c r="E29" s="394">
        <f t="shared" si="0"/>
        <v>0</v>
      </c>
      <c r="F29" s="660"/>
      <c r="G29" s="660"/>
      <c r="H29" s="661">
        <f t="shared" si="1"/>
        <v>0</v>
      </c>
      <c r="I29" s="662"/>
      <c r="J29" s="663"/>
    </row>
    <row r="30" spans="1:10">
      <c r="A30" s="392">
        <v>9</v>
      </c>
      <c r="B30" s="395" t="s">
        <v>175</v>
      </c>
      <c r="C30" s="393">
        <f>C31+C32+C33+C34+C35+C36+C37</f>
        <v>405062133.5</v>
      </c>
      <c r="D30" s="393">
        <f>D31+D32+D33+D34+D35+D36+D37</f>
        <v>5659470</v>
      </c>
      <c r="E30" s="394">
        <f t="shared" si="0"/>
        <v>410721603.5</v>
      </c>
      <c r="F30" s="757">
        <f>F31+F32+F33+F34+F35+F36+F37</f>
        <v>219987866.94999999</v>
      </c>
      <c r="G30" s="757">
        <f>G31+G32+G33+G34+G35+G36+G37</f>
        <v>2307510</v>
      </c>
      <c r="H30" s="661">
        <f t="shared" si="1"/>
        <v>222295376.94999999</v>
      </c>
      <c r="I30" s="662"/>
      <c r="J30" s="663"/>
    </row>
    <row r="31" spans="1:10" ht="27.6">
      <c r="A31" s="392">
        <v>9.1</v>
      </c>
      <c r="B31" s="396" t="s">
        <v>800</v>
      </c>
      <c r="C31" s="393"/>
      <c r="D31" s="393"/>
      <c r="E31" s="394">
        <f t="shared" si="0"/>
        <v>0</v>
      </c>
      <c r="F31" s="660"/>
      <c r="G31" s="660"/>
      <c r="H31" s="661">
        <f t="shared" si="1"/>
        <v>0</v>
      </c>
      <c r="I31" s="662"/>
      <c r="J31" s="663"/>
    </row>
    <row r="32" spans="1:10" ht="27.6">
      <c r="A32" s="392">
        <v>9.1999999999999993</v>
      </c>
      <c r="B32" s="396" t="s">
        <v>801</v>
      </c>
      <c r="C32" s="393">
        <v>405062133.5</v>
      </c>
      <c r="D32" s="393">
        <v>5659470</v>
      </c>
      <c r="E32" s="394">
        <f t="shared" si="0"/>
        <v>410721603.5</v>
      </c>
      <c r="F32" s="660">
        <v>219987866.94999999</v>
      </c>
      <c r="G32" s="660">
        <v>2307510</v>
      </c>
      <c r="H32" s="661">
        <f t="shared" si="1"/>
        <v>222295376.94999999</v>
      </c>
      <c r="I32" s="662"/>
      <c r="J32" s="663"/>
    </row>
    <row r="33" spans="1:10" ht="27.6">
      <c r="A33" s="392">
        <v>9.3000000000000007</v>
      </c>
      <c r="B33" s="396" t="s">
        <v>802</v>
      </c>
      <c r="C33" s="393"/>
      <c r="D33" s="393"/>
      <c r="E33" s="394">
        <f t="shared" si="0"/>
        <v>0</v>
      </c>
      <c r="F33" s="660"/>
      <c r="G33" s="660"/>
      <c r="H33" s="661">
        <f t="shared" si="1"/>
        <v>0</v>
      </c>
      <c r="I33" s="662"/>
      <c r="J33" s="663"/>
    </row>
    <row r="34" spans="1:10">
      <c r="A34" s="392">
        <v>9.4</v>
      </c>
      <c r="B34" s="396" t="s">
        <v>803</v>
      </c>
      <c r="C34" s="393"/>
      <c r="D34" s="393"/>
      <c r="E34" s="394">
        <f t="shared" si="0"/>
        <v>0</v>
      </c>
      <c r="F34" s="660"/>
      <c r="G34" s="660"/>
      <c r="H34" s="661">
        <f t="shared" si="1"/>
        <v>0</v>
      </c>
      <c r="I34" s="662"/>
      <c r="J34" s="663"/>
    </row>
    <row r="35" spans="1:10">
      <c r="A35" s="392">
        <v>9.5</v>
      </c>
      <c r="B35" s="396" t="s">
        <v>804</v>
      </c>
      <c r="C35" s="393"/>
      <c r="D35" s="393"/>
      <c r="E35" s="394">
        <f t="shared" si="0"/>
        <v>0</v>
      </c>
      <c r="F35" s="660"/>
      <c r="G35" s="660"/>
      <c r="H35" s="661">
        <f t="shared" si="1"/>
        <v>0</v>
      </c>
      <c r="I35" s="662"/>
      <c r="J35" s="663"/>
    </row>
    <row r="36" spans="1:10" ht="27.6">
      <c r="A36" s="392">
        <v>9.6</v>
      </c>
      <c r="B36" s="396" t="s">
        <v>805</v>
      </c>
      <c r="C36" s="393"/>
      <c r="D36" s="393"/>
      <c r="E36" s="394">
        <f t="shared" si="0"/>
        <v>0</v>
      </c>
      <c r="F36" s="660"/>
      <c r="G36" s="660"/>
      <c r="H36" s="661">
        <f t="shared" si="1"/>
        <v>0</v>
      </c>
      <c r="I36" s="662"/>
      <c r="J36" s="663"/>
    </row>
    <row r="37" spans="1:10" ht="27.6">
      <c r="A37" s="392">
        <v>9.6999999999999993</v>
      </c>
      <c r="B37" s="396" t="s">
        <v>806</v>
      </c>
      <c r="C37" s="393"/>
      <c r="D37" s="393"/>
      <c r="E37" s="394">
        <f t="shared" si="0"/>
        <v>0</v>
      </c>
      <c r="F37" s="660"/>
      <c r="G37" s="660"/>
      <c r="H37" s="661">
        <f t="shared" si="1"/>
        <v>0</v>
      </c>
      <c r="I37" s="662"/>
      <c r="J37" s="663"/>
    </row>
    <row r="38" spans="1:10">
      <c r="A38" s="392">
        <v>10</v>
      </c>
      <c r="B38" s="397" t="s">
        <v>807</v>
      </c>
      <c r="C38" s="597">
        <f>C41+C42</f>
        <v>299022017.65999997</v>
      </c>
      <c r="D38" s="597">
        <f>D41+D42</f>
        <v>4794699.4303619992</v>
      </c>
      <c r="E38" s="394">
        <f t="shared" si="0"/>
        <v>303816717.09036195</v>
      </c>
      <c r="F38" s="759">
        <f>F41+F42</f>
        <v>252273109</v>
      </c>
      <c r="G38" s="759">
        <f>G41+G42</f>
        <v>5571374</v>
      </c>
      <c r="H38" s="661">
        <f t="shared" si="1"/>
        <v>257844483</v>
      </c>
      <c r="I38" s="662"/>
      <c r="J38" s="663"/>
    </row>
    <row r="39" spans="1:10">
      <c r="A39" s="392">
        <v>10.1</v>
      </c>
      <c r="B39" s="396" t="s">
        <v>808</v>
      </c>
      <c r="C39" s="393">
        <v>11902338.150000002</v>
      </c>
      <c r="D39" s="393">
        <v>76894.472775999995</v>
      </c>
      <c r="E39" s="394">
        <f t="shared" si="0"/>
        <v>11979232.622776002</v>
      </c>
      <c r="F39" s="660">
        <v>10861979.660000004</v>
      </c>
      <c r="G39" s="660">
        <v>397167.98420399998</v>
      </c>
      <c r="H39" s="661">
        <f t="shared" si="1"/>
        <v>11259147.644204004</v>
      </c>
      <c r="I39" s="662"/>
      <c r="J39" s="663"/>
    </row>
    <row r="40" spans="1:10" ht="27.6">
      <c r="A40" s="392">
        <v>10.199999999999999</v>
      </c>
      <c r="B40" s="396" t="s">
        <v>809</v>
      </c>
      <c r="C40" s="393">
        <v>7546418</v>
      </c>
      <c r="D40" s="393">
        <v>70814</v>
      </c>
      <c r="E40" s="394">
        <f t="shared" si="0"/>
        <v>7617232</v>
      </c>
      <c r="F40" s="660">
        <v>6667656.9700000044</v>
      </c>
      <c r="G40" s="660">
        <v>112496.34945899999</v>
      </c>
      <c r="H40" s="661">
        <f t="shared" si="1"/>
        <v>6780153.3194590043</v>
      </c>
      <c r="I40" s="662"/>
      <c r="J40" s="663"/>
    </row>
    <row r="41" spans="1:10" ht="27.6">
      <c r="A41" s="392">
        <v>10.3</v>
      </c>
      <c r="B41" s="396" t="s">
        <v>810</v>
      </c>
      <c r="C41" s="393">
        <v>183118705.97</v>
      </c>
      <c r="D41" s="393">
        <v>3179188.4640949997</v>
      </c>
      <c r="E41" s="394">
        <f t="shared" si="0"/>
        <v>186297894.434095</v>
      </c>
      <c r="F41" s="660">
        <v>152047857</v>
      </c>
      <c r="G41" s="660">
        <v>3583873</v>
      </c>
      <c r="H41" s="661">
        <f t="shared" si="1"/>
        <v>155631730</v>
      </c>
      <c r="I41" s="662"/>
      <c r="J41" s="663"/>
    </row>
    <row r="42" spans="1:10" ht="27.6">
      <c r="A42" s="392">
        <v>10.4</v>
      </c>
      <c r="B42" s="396" t="s">
        <v>811</v>
      </c>
      <c r="C42" s="393">
        <v>115903311.68999994</v>
      </c>
      <c r="D42" s="393">
        <v>1615510.966267</v>
      </c>
      <c r="E42" s="394">
        <f t="shared" si="0"/>
        <v>117518822.65626694</v>
      </c>
      <c r="F42" s="660">
        <v>100225252</v>
      </c>
      <c r="G42" s="660">
        <v>1987501</v>
      </c>
      <c r="H42" s="661">
        <f t="shared" si="1"/>
        <v>102212753</v>
      </c>
      <c r="I42" s="662"/>
      <c r="J42" s="663"/>
    </row>
    <row r="43" spans="1:10">
      <c r="A43" s="392">
        <v>11</v>
      </c>
      <c r="B43" s="401" t="s">
        <v>176</v>
      </c>
      <c r="C43" s="393"/>
      <c r="D43" s="393"/>
      <c r="E43" s="394">
        <f t="shared" si="0"/>
        <v>0</v>
      </c>
      <c r="F43" s="660"/>
      <c r="G43" s="660"/>
      <c r="H43" s="661">
        <f t="shared" si="1"/>
        <v>0</v>
      </c>
      <c r="I43" s="662"/>
      <c r="J43" s="663"/>
    </row>
    <row r="44" spans="1:10">
      <c r="C44" s="403"/>
      <c r="D44" s="403"/>
      <c r="E44" s="403"/>
      <c r="F44" s="403"/>
      <c r="G44" s="403"/>
      <c r="H44" s="403"/>
    </row>
    <row r="45" spans="1:10">
      <c r="C45" s="403"/>
      <c r="D45" s="403"/>
      <c r="E45" s="403"/>
      <c r="F45" s="403"/>
      <c r="G45" s="403"/>
      <c r="H45" s="403"/>
    </row>
    <row r="46" spans="1:10">
      <c r="C46" s="403"/>
      <c r="D46" s="403"/>
      <c r="E46" s="403"/>
      <c r="F46" s="403"/>
      <c r="G46" s="403"/>
      <c r="H46" s="403"/>
    </row>
    <row r="47" spans="1:10">
      <c r="C47" s="403"/>
      <c r="D47" s="403"/>
      <c r="E47" s="403"/>
      <c r="F47" s="403"/>
      <c r="G47" s="403"/>
      <c r="H47" s="40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tabSelected="1" zoomScale="80" zoomScaleNormal="80" workbookViewId="0">
      <pane xSplit="1" ySplit="4" topLeftCell="B5" activePane="bottomRight" state="frozen"/>
      <selection activeCell="L18" sqref="L18"/>
      <selection pane="topRight" activeCell="L18" sqref="L18"/>
      <selection pane="bottomLeft" activeCell="L18" sqref="L18"/>
      <selection pane="bottomRight" activeCell="L11" sqref="L11"/>
    </sheetView>
  </sheetViews>
  <sheetFormatPr defaultColWidth="9.21875" defaultRowHeight="13.8"/>
  <cols>
    <col min="1" max="1" width="9.5546875" style="1" bestFit="1" customWidth="1"/>
    <col min="2" max="2" width="93.5546875" style="1" customWidth="1"/>
    <col min="3" max="4" width="12.77734375" style="1" customWidth="1"/>
    <col min="5" max="7" width="12.33203125" style="8" bestFit="1" customWidth="1"/>
    <col min="8" max="11" width="9.77734375" style="8" customWidth="1"/>
    <col min="12" max="16384" width="9.21875" style="8"/>
  </cols>
  <sheetData>
    <row r="1" spans="1:7">
      <c r="A1" s="12" t="s">
        <v>98</v>
      </c>
      <c r="B1" s="11" t="str">
        <f>Info!C2</f>
        <v>სს "კრედო ბანკი"</v>
      </c>
      <c r="C1" s="11"/>
    </row>
    <row r="2" spans="1:7">
      <c r="A2" s="12" t="s">
        <v>99</v>
      </c>
      <c r="B2" s="282">
        <f>'1. key ratios'!B2</f>
        <v>45838</v>
      </c>
      <c r="C2" s="11"/>
    </row>
    <row r="3" spans="1:7">
      <c r="A3" s="12"/>
      <c r="B3" s="11"/>
      <c r="C3" s="11"/>
    </row>
    <row r="4" spans="1:7" ht="15" customHeight="1" thickBot="1">
      <c r="A4" s="117" t="s">
        <v>243</v>
      </c>
      <c r="B4" s="118" t="s">
        <v>97</v>
      </c>
      <c r="C4" s="119" t="s">
        <v>77</v>
      </c>
    </row>
    <row r="5" spans="1:7" ht="15" customHeight="1">
      <c r="A5" s="115" t="s">
        <v>26</v>
      </c>
      <c r="B5" s="116"/>
      <c r="C5" s="266" t="str">
        <f>INT((MONTH($B$2))/3)&amp;"Q"&amp;"-"&amp;YEAR($B$2)</f>
        <v>2Q-2025</v>
      </c>
      <c r="D5" s="266" t="str">
        <f>IF(INT(MONTH($B$2))=3, "4"&amp;"Q"&amp;"-"&amp;YEAR($B$2)-1, IF(INT(MONTH($B$2))=6, "1"&amp;"Q"&amp;"-"&amp;YEAR($B$2), IF(INT(MONTH($B$2))=9, "2"&amp;"Q"&amp;"-"&amp;YEAR($B$2),IF(INT(MONTH($B$2))=12, "3"&amp;"Q"&amp;"-"&amp;YEAR($B$2), 0))))</f>
        <v>1Q-2025</v>
      </c>
      <c r="E5" s="266" t="str">
        <f>IF(INT(MONTH($B$2))=3, "3"&amp;"Q"&amp;"-"&amp;YEAR($B$2)-1, IF(INT(MONTH($B$2))=6, "4"&amp;"Q"&amp;"-"&amp;YEAR($B$2)-1, IF(INT(MONTH($B$2))=9, "1"&amp;"Q"&amp;"-"&amp;YEAR($B$2),IF(INT(MONTH($B$2))=12, "2"&amp;"Q"&amp;"-"&amp;YEAR($B$2), 0))))</f>
        <v>4Q-2024</v>
      </c>
      <c r="F5" s="266" t="str">
        <f>IF(INT(MONTH($B$2))=3, "2"&amp;"Q"&amp;"-"&amp;YEAR($B$2)-1, IF(INT(MONTH($B$2))=6, "3"&amp;"Q"&amp;"-"&amp;YEAR($B$2)-1, IF(INT(MONTH($B$2))=9, "4"&amp;"Q"&amp;"-"&amp;YEAR($B$2)-1,IF(INT(MONTH($B$2))=12, "1"&amp;"Q"&amp;"-"&amp;YEAR($B$2), 0))))</f>
        <v>3Q-2024</v>
      </c>
      <c r="G5" s="266" t="str">
        <f>IF(INT(MONTH($B$2))=3, "1"&amp;"Q"&amp;"-"&amp;YEAR($B$2)-1, IF(INT(MONTH($B$2))=6, "2"&amp;"Q"&amp;"-"&amp;YEAR($B$2)-1, IF(INT(MONTH($B$2))=9, "3"&amp;"Q"&amp;"-"&amp;YEAR($B$2)-1,IF(INT(MONTH($B$2))=12, "4"&amp;"Q"&amp;"-"&amp;YEAR($B$2)-1, 0))))</f>
        <v>2Q-2024</v>
      </c>
    </row>
    <row r="6" spans="1:7" ht="15" customHeight="1">
      <c r="A6" s="226">
        <v>1</v>
      </c>
      <c r="B6" s="253" t="s">
        <v>102</v>
      </c>
      <c r="C6" s="227">
        <f>C7+C9+C10</f>
        <v>2279557645.9717302</v>
      </c>
      <c r="D6" s="255">
        <f>D7+D9+D10</f>
        <v>2155615504.3424869</v>
      </c>
      <c r="E6" s="228">
        <f t="shared" ref="E6:G6" si="0">E7+E9+E10</f>
        <v>2056136249.6177859</v>
      </c>
      <c r="F6" s="227">
        <f t="shared" si="0"/>
        <v>1909219821.9494481</v>
      </c>
      <c r="G6" s="256">
        <f t="shared" si="0"/>
        <v>1827465908.5889337</v>
      </c>
    </row>
    <row r="7" spans="1:7" ht="15" customHeight="1">
      <c r="A7" s="226">
        <v>1.1000000000000001</v>
      </c>
      <c r="B7" s="229" t="s">
        <v>995</v>
      </c>
      <c r="C7" s="230">
        <v>2198265315.321897</v>
      </c>
      <c r="D7" s="257">
        <v>2078270635.7190535</v>
      </c>
      <c r="E7" s="230">
        <v>2005870754.2077861</v>
      </c>
      <c r="F7" s="230">
        <v>1869413263.9154482</v>
      </c>
      <c r="G7" s="258">
        <v>1794066642.9262829</v>
      </c>
    </row>
    <row r="8" spans="1:7" ht="27.6">
      <c r="A8" s="226" t="s">
        <v>147</v>
      </c>
      <c r="B8" s="231" t="s">
        <v>240</v>
      </c>
      <c r="C8" s="230">
        <v>2202413.5</v>
      </c>
      <c r="D8" s="257">
        <v>2328266.9</v>
      </c>
      <c r="E8" s="230">
        <v>2463673.85</v>
      </c>
      <c r="F8" s="230">
        <v>2655263.0099999998</v>
      </c>
      <c r="G8" s="258">
        <v>1737632.6</v>
      </c>
    </row>
    <row r="9" spans="1:7" ht="15" customHeight="1">
      <c r="A9" s="226">
        <v>1.2</v>
      </c>
      <c r="B9" s="229" t="s">
        <v>22</v>
      </c>
      <c r="C9" s="230">
        <v>77574328.375</v>
      </c>
      <c r="D9" s="257">
        <v>72260100.875</v>
      </c>
      <c r="E9" s="230">
        <v>44874370.850000001</v>
      </c>
      <c r="F9" s="230">
        <v>35505361.174999997</v>
      </c>
      <c r="G9" s="258">
        <v>28999508.322650995</v>
      </c>
    </row>
    <row r="10" spans="1:7" ht="15" customHeight="1">
      <c r="A10" s="226">
        <v>1.3</v>
      </c>
      <c r="B10" s="254" t="s">
        <v>74</v>
      </c>
      <c r="C10" s="230">
        <v>3718002.2748331837</v>
      </c>
      <c r="D10" s="257">
        <v>5084767.7484337837</v>
      </c>
      <c r="E10" s="230">
        <v>5391124.5600000005</v>
      </c>
      <c r="F10" s="230">
        <v>4301196.8590000002</v>
      </c>
      <c r="G10" s="258">
        <v>4399757.34</v>
      </c>
    </row>
    <row r="11" spans="1:7" ht="15" customHeight="1">
      <c r="A11" s="226">
        <v>2</v>
      </c>
      <c r="B11" s="253" t="s">
        <v>103</v>
      </c>
      <c r="C11" s="230">
        <v>2452100</v>
      </c>
      <c r="D11" s="257">
        <v>1537337</v>
      </c>
      <c r="E11" s="230">
        <v>991776</v>
      </c>
      <c r="F11" s="230">
        <v>712359.72000208776</v>
      </c>
      <c r="G11" s="258">
        <v>2411779</v>
      </c>
    </row>
    <row r="12" spans="1:7" ht="15" customHeight="1">
      <c r="A12" s="226">
        <v>3</v>
      </c>
      <c r="B12" s="253" t="s">
        <v>101</v>
      </c>
      <c r="C12" s="230">
        <v>559691583.66043723</v>
      </c>
      <c r="D12" s="257">
        <v>559691583.66043723</v>
      </c>
      <c r="E12" s="230">
        <v>559691583.66043723</v>
      </c>
      <c r="F12" s="230">
        <v>497590830.13999999</v>
      </c>
      <c r="G12" s="258">
        <v>497590830.13999999</v>
      </c>
    </row>
    <row r="13" spans="1:7" ht="15" customHeight="1" thickBot="1">
      <c r="A13" s="62">
        <v>4</v>
      </c>
      <c r="B13" s="261" t="s">
        <v>148</v>
      </c>
      <c r="C13" s="137">
        <f>C6+C11+C12</f>
        <v>2841701329.6321673</v>
      </c>
      <c r="D13" s="259">
        <f>D6+D11+D12</f>
        <v>2716844425.002924</v>
      </c>
      <c r="E13" s="138">
        <f t="shared" ref="E13:G13" si="1">E6+E11+E12</f>
        <v>2616819609.278223</v>
      </c>
      <c r="F13" s="137">
        <f t="shared" si="1"/>
        <v>2407523011.8094501</v>
      </c>
      <c r="G13" s="260">
        <f t="shared" si="1"/>
        <v>2327468517.7289338</v>
      </c>
    </row>
    <row r="14" spans="1:7">
      <c r="B14" s="16"/>
    </row>
    <row r="15" spans="1:7">
      <c r="B15" s="16"/>
      <c r="C15" s="763"/>
    </row>
    <row r="16" spans="1:7">
      <c r="B16" s="16"/>
    </row>
    <row r="17" spans="2:2">
      <c r="B17" s="16"/>
    </row>
    <row r="18" spans="2:2">
      <c r="B18" s="1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D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8" sqref="B8"/>
    </sheetView>
  </sheetViews>
  <sheetFormatPr defaultRowHeight="14.4"/>
  <cols>
    <col min="1" max="1" width="9.5546875" style="1" bestFit="1" customWidth="1"/>
    <col min="2" max="2" width="58.77734375" style="1" customWidth="1"/>
    <col min="3" max="3" width="40.21875" style="1" bestFit="1" customWidth="1"/>
  </cols>
  <sheetData>
    <row r="1" spans="1:3">
      <c r="A1" s="1" t="s">
        <v>98</v>
      </c>
      <c r="B1" s="1" t="str">
        <f>Info!C2</f>
        <v>სს "კრედო ბანკი"</v>
      </c>
    </row>
    <row r="2" spans="1:3">
      <c r="A2" s="1" t="s">
        <v>99</v>
      </c>
      <c r="B2" s="282">
        <f>'1. key ratios'!B2</f>
        <v>45838</v>
      </c>
    </row>
    <row r="4" spans="1:3" ht="25.5" customHeight="1" thickBot="1">
      <c r="A4" s="131" t="s">
        <v>244</v>
      </c>
      <c r="B4" s="22" t="s">
        <v>81</v>
      </c>
      <c r="C4" s="9"/>
    </row>
    <row r="5" spans="1:3">
      <c r="A5" s="7"/>
      <c r="B5" s="249" t="s">
        <v>82</v>
      </c>
      <c r="C5" s="264" t="s">
        <v>420</v>
      </c>
    </row>
    <row r="6" spans="1:3" ht="15">
      <c r="A6" s="10">
        <v>1</v>
      </c>
      <c r="B6" s="23" t="s">
        <v>1000</v>
      </c>
      <c r="C6" s="262" t="s">
        <v>1001</v>
      </c>
    </row>
    <row r="7" spans="1:3" ht="15">
      <c r="A7" s="10">
        <v>2</v>
      </c>
      <c r="B7" s="23" t="s">
        <v>1002</v>
      </c>
      <c r="C7" s="262" t="s">
        <v>1003</v>
      </c>
    </row>
    <row r="8" spans="1:3" ht="15">
      <c r="A8" s="10">
        <v>3</v>
      </c>
      <c r="B8" s="23" t="s">
        <v>1039</v>
      </c>
      <c r="C8" s="262" t="s">
        <v>1003</v>
      </c>
    </row>
    <row r="9" spans="1:3" ht="15">
      <c r="A9" s="10">
        <v>4</v>
      </c>
      <c r="B9" s="23" t="s">
        <v>1004</v>
      </c>
      <c r="C9" s="262" t="s">
        <v>1003</v>
      </c>
    </row>
    <row r="10" spans="1:3" ht="15">
      <c r="A10" s="10">
        <v>5</v>
      </c>
      <c r="B10" s="23" t="s">
        <v>1005</v>
      </c>
      <c r="C10" s="262" t="s">
        <v>1006</v>
      </c>
    </row>
    <row r="11" spans="1:3" ht="15">
      <c r="A11" s="10"/>
      <c r="B11" s="794"/>
      <c r="C11" s="795"/>
    </row>
    <row r="12" spans="1:3" ht="41.4">
      <c r="A12" s="10"/>
      <c r="B12" s="250" t="s">
        <v>83</v>
      </c>
      <c r="C12" s="265" t="s">
        <v>421</v>
      </c>
    </row>
    <row r="13" spans="1:3">
      <c r="A13" s="10">
        <v>1</v>
      </c>
      <c r="B13" s="19" t="s">
        <v>1007</v>
      </c>
      <c r="C13" s="263" t="s">
        <v>1008</v>
      </c>
    </row>
    <row r="14" spans="1:3">
      <c r="A14" s="10">
        <v>2</v>
      </c>
      <c r="B14" s="19" t="s">
        <v>1009</v>
      </c>
      <c r="C14" s="263" t="s">
        <v>1010</v>
      </c>
    </row>
    <row r="15" spans="1:3">
      <c r="A15" s="10">
        <v>3</v>
      </c>
      <c r="B15" s="19" t="s">
        <v>1011</v>
      </c>
      <c r="C15" s="263" t="s">
        <v>1012</v>
      </c>
    </row>
    <row r="16" spans="1:3">
      <c r="A16" s="10">
        <v>4</v>
      </c>
      <c r="B16" s="19" t="s">
        <v>1013</v>
      </c>
      <c r="C16" s="263" t="s">
        <v>1014</v>
      </c>
    </row>
    <row r="17" spans="1:4">
      <c r="A17" s="10">
        <v>5</v>
      </c>
      <c r="B17" s="19" t="s">
        <v>1015</v>
      </c>
      <c r="C17" s="263" t="s">
        <v>1016</v>
      </c>
    </row>
    <row r="18" spans="1:4">
      <c r="A18" s="10">
        <v>6</v>
      </c>
      <c r="B18" s="19" t="s">
        <v>1017</v>
      </c>
      <c r="C18" s="263" t="s">
        <v>1018</v>
      </c>
    </row>
    <row r="19" spans="1:4" ht="15.75" customHeight="1">
      <c r="A19" s="10"/>
      <c r="B19" s="19"/>
      <c r="C19" s="20"/>
    </row>
    <row r="20" spans="1:4" ht="30" customHeight="1">
      <c r="A20" s="10"/>
      <c r="B20" s="796" t="s">
        <v>84</v>
      </c>
      <c r="C20" s="797"/>
    </row>
    <row r="21" spans="1:4" ht="15">
      <c r="A21" s="10">
        <v>1</v>
      </c>
      <c r="B21" s="23" t="s">
        <v>1037</v>
      </c>
      <c r="C21" s="671">
        <v>0.50260000000000005</v>
      </c>
    </row>
    <row r="22" spans="1:4" ht="15">
      <c r="A22" s="667">
        <v>2</v>
      </c>
      <c r="B22" s="668" t="s">
        <v>1019</v>
      </c>
      <c r="C22" s="671">
        <v>0.16700000000000001</v>
      </c>
    </row>
    <row r="23" spans="1:4" ht="28.8">
      <c r="A23" s="10">
        <v>3</v>
      </c>
      <c r="B23" s="668" t="s">
        <v>1020</v>
      </c>
      <c r="C23" s="671">
        <v>0.1469</v>
      </c>
    </row>
    <row r="24" spans="1:4" ht="15">
      <c r="A24" s="667">
        <v>4</v>
      </c>
      <c r="B24" s="668" t="s">
        <v>1021</v>
      </c>
      <c r="C24" s="671">
        <v>8.2600000000000007E-2</v>
      </c>
    </row>
    <row r="25" spans="1:4" ht="15">
      <c r="A25" s="10">
        <v>5</v>
      </c>
      <c r="B25" s="668" t="s">
        <v>1022</v>
      </c>
      <c r="C25" s="671">
        <v>8.2600000000000007E-2</v>
      </c>
    </row>
    <row r="26" spans="1:4" ht="15.75" customHeight="1">
      <c r="A26" s="10"/>
      <c r="B26" s="23"/>
      <c r="C26" s="24"/>
    </row>
    <row r="27" spans="1:4" ht="29.25" customHeight="1">
      <c r="A27" s="10"/>
      <c r="B27" s="796" t="s">
        <v>164</v>
      </c>
      <c r="C27" s="797"/>
    </row>
    <row r="28" spans="1:4" ht="15">
      <c r="A28" s="10">
        <v>1</v>
      </c>
      <c r="B28" s="23" t="s">
        <v>1023</v>
      </c>
      <c r="C28" s="750">
        <v>5.9407320000000007E-2</v>
      </c>
      <c r="D28" s="760"/>
    </row>
    <row r="29" spans="1:4" ht="15">
      <c r="A29" s="669">
        <v>2</v>
      </c>
      <c r="B29" s="670" t="s">
        <v>1024</v>
      </c>
      <c r="C29" s="751">
        <v>5.9407320000000007E-2</v>
      </c>
      <c r="D29" s="760"/>
    </row>
    <row r="30" spans="1:4" ht="15">
      <c r="A30" s="669">
        <v>3</v>
      </c>
      <c r="B30" s="670" t="s">
        <v>1025</v>
      </c>
      <c r="C30" s="751">
        <v>7.478688E-2</v>
      </c>
      <c r="D30" s="760"/>
    </row>
    <row r="31" spans="1:4" ht="15">
      <c r="A31" s="10">
        <v>4</v>
      </c>
      <c r="B31" s="670" t="s">
        <v>1026</v>
      </c>
      <c r="C31" s="751">
        <v>6.388046E-2</v>
      </c>
      <c r="D31" s="760"/>
    </row>
    <row r="32" spans="1:4" ht="15">
      <c r="A32" s="669">
        <v>5</v>
      </c>
      <c r="B32" s="670" t="s">
        <v>1027</v>
      </c>
      <c r="C32" s="751">
        <v>0.11946802000000001</v>
      </c>
      <c r="D32" s="760"/>
    </row>
    <row r="33" spans="1:4" ht="15">
      <c r="A33" s="10">
        <v>6</v>
      </c>
      <c r="B33" s="670" t="s">
        <v>1028</v>
      </c>
      <c r="C33" s="751">
        <v>5.634146000000001E-2</v>
      </c>
      <c r="D33" s="760"/>
    </row>
    <row r="34" spans="1:4" ht="15.6" thickBot="1">
      <c r="A34" s="669">
        <v>7</v>
      </c>
      <c r="B34" s="25" t="s">
        <v>1029</v>
      </c>
      <c r="C34" s="752">
        <v>0.12517349</v>
      </c>
      <c r="D34" s="760"/>
    </row>
  </sheetData>
  <mergeCells count="3">
    <mergeCell ref="B11:C11"/>
    <mergeCell ref="B27:C27"/>
    <mergeCell ref="B20:C20"/>
  </mergeCells>
  <dataValidations count="1">
    <dataValidation type="list" allowBlank="1" showInputMessage="1" showErrorMessage="1" sqref="C6:C10"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20" activePane="bottomRight" state="frozen"/>
      <selection activeCell="H6" sqref="H6"/>
      <selection pane="topRight" activeCell="H6" sqref="H6"/>
      <selection pane="bottomLeft" activeCell="H6" sqref="H6"/>
      <selection pane="bottomRight" activeCell="C21" sqref="C21:D35"/>
    </sheetView>
  </sheetViews>
  <sheetFormatPr defaultRowHeight="14.4"/>
  <cols>
    <col min="1" max="1" width="9.5546875" style="1" bestFit="1" customWidth="1"/>
    <col min="2" max="2" width="47.5546875" style="1" customWidth="1"/>
    <col min="3" max="3" width="28" style="1" customWidth="1"/>
    <col min="4" max="4" width="25.6640625" style="1" customWidth="1"/>
    <col min="5" max="5" width="18.77734375" style="1" customWidth="1"/>
    <col min="6" max="6" width="12" bestFit="1" customWidth="1"/>
    <col min="7" max="7" width="12.5546875" bestFit="1" customWidth="1"/>
  </cols>
  <sheetData>
    <row r="1" spans="1:5">
      <c r="A1" s="12" t="s">
        <v>98</v>
      </c>
      <c r="B1" s="11" t="str">
        <f>Info!C2</f>
        <v>სს "კრედო ბანკი"</v>
      </c>
    </row>
    <row r="2" spans="1:5" s="12" customFormat="1" ht="15.75" customHeight="1">
      <c r="A2" s="12" t="s">
        <v>99</v>
      </c>
      <c r="B2" s="282">
        <f>'1. key ratios'!B2</f>
        <v>45838</v>
      </c>
    </row>
    <row r="3" spans="1:5" s="12" customFormat="1" ht="15.75" customHeight="1"/>
    <row r="4" spans="1:5" s="12" customFormat="1" ht="15.75" customHeight="1" thickBot="1">
      <c r="A4" s="132" t="s">
        <v>245</v>
      </c>
      <c r="B4" s="133" t="s">
        <v>158</v>
      </c>
      <c r="C4" s="97"/>
      <c r="D4" s="97"/>
      <c r="E4" s="98" t="s">
        <v>77</v>
      </c>
    </row>
    <row r="5" spans="1:5" s="58" customFormat="1" ht="17.55" customHeight="1">
      <c r="A5" s="204"/>
      <c r="B5" s="205"/>
      <c r="C5" s="96" t="s">
        <v>0</v>
      </c>
      <c r="D5" s="96" t="s">
        <v>1</v>
      </c>
      <c r="E5" s="206" t="s">
        <v>2</v>
      </c>
    </row>
    <row r="6" spans="1:5" ht="14.55" customHeight="1">
      <c r="A6" s="207"/>
      <c r="B6" s="798" t="s">
        <v>134</v>
      </c>
      <c r="C6" s="798" t="s">
        <v>825</v>
      </c>
      <c r="D6" s="799" t="s">
        <v>133</v>
      </c>
      <c r="E6" s="800"/>
    </row>
    <row r="7" spans="1:5" ht="99.6" customHeight="1">
      <c r="A7" s="207"/>
      <c r="B7" s="798"/>
      <c r="C7" s="798"/>
      <c r="D7" s="202" t="s">
        <v>132</v>
      </c>
      <c r="E7" s="203" t="s">
        <v>342</v>
      </c>
    </row>
    <row r="8" spans="1:5" ht="22.5" customHeight="1">
      <c r="A8" s="405">
        <v>1</v>
      </c>
      <c r="B8" s="348" t="s">
        <v>812</v>
      </c>
      <c r="C8" s="674">
        <f>SUM(C9:C11)</f>
        <v>491148885.90338242</v>
      </c>
      <c r="D8" s="406">
        <f t="shared" ref="D8:E8" si="0">SUM(D9:D11)</f>
        <v>0</v>
      </c>
      <c r="E8" s="673">
        <f t="shared" si="0"/>
        <v>491148885.90338242</v>
      </c>
    </row>
    <row r="9" spans="1:5">
      <c r="A9" s="405">
        <v>1.1000000000000001</v>
      </c>
      <c r="B9" s="351" t="s">
        <v>86</v>
      </c>
      <c r="C9" s="673">
        <v>104906069.83</v>
      </c>
      <c r="D9" s="406"/>
      <c r="E9" s="673">
        <f>C9-D9</f>
        <v>104906069.83</v>
      </c>
    </row>
    <row r="10" spans="1:5">
      <c r="A10" s="405">
        <v>1.2</v>
      </c>
      <c r="B10" s="351" t="s">
        <v>87</v>
      </c>
      <c r="C10" s="673">
        <v>296997573.04999995</v>
      </c>
      <c r="D10" s="406"/>
      <c r="E10" s="673">
        <f t="shared" ref="E10:E15" si="1">C10-D10</f>
        <v>296997573.04999995</v>
      </c>
    </row>
    <row r="11" spans="1:5">
      <c r="A11" s="405">
        <v>1.3</v>
      </c>
      <c r="B11" s="351" t="s">
        <v>88</v>
      </c>
      <c r="C11" s="673">
        <v>89245243.023382485</v>
      </c>
      <c r="D11" s="406"/>
      <c r="E11" s="673">
        <f t="shared" si="1"/>
        <v>89245243.023382485</v>
      </c>
    </row>
    <row r="12" spans="1:5">
      <c r="A12" s="405">
        <v>2</v>
      </c>
      <c r="B12" s="352" t="s">
        <v>699</v>
      </c>
      <c r="C12" s="674">
        <v>2958401.69</v>
      </c>
      <c r="D12" s="406"/>
      <c r="E12" s="674">
        <f t="shared" si="1"/>
        <v>2958401.69</v>
      </c>
    </row>
    <row r="13" spans="1:5">
      <c r="A13" s="405">
        <v>2.1</v>
      </c>
      <c r="B13" s="353" t="s">
        <v>700</v>
      </c>
      <c r="C13" s="673">
        <v>2958401.69</v>
      </c>
      <c r="D13" s="406"/>
      <c r="E13" s="673">
        <f t="shared" si="1"/>
        <v>2958401.69</v>
      </c>
    </row>
    <row r="14" spans="1:5" ht="34.049999999999997" customHeight="1">
      <c r="A14" s="405">
        <v>3</v>
      </c>
      <c r="B14" s="354" t="s">
        <v>701</v>
      </c>
      <c r="C14" s="406"/>
      <c r="D14" s="406"/>
      <c r="E14" s="406">
        <f t="shared" si="1"/>
        <v>0</v>
      </c>
    </row>
    <row r="15" spans="1:5" ht="32.549999999999997" customHeight="1">
      <c r="A15" s="405">
        <v>4</v>
      </c>
      <c r="B15" s="355" t="s">
        <v>702</v>
      </c>
      <c r="C15" s="406"/>
      <c r="D15" s="406"/>
      <c r="E15" s="406">
        <f t="shared" si="1"/>
        <v>0</v>
      </c>
    </row>
    <row r="16" spans="1:5" ht="22.95" customHeight="1">
      <c r="A16" s="405">
        <v>5</v>
      </c>
      <c r="B16" s="355" t="s">
        <v>703</v>
      </c>
      <c r="C16" s="406">
        <f>SUM(C17:C19)</f>
        <v>0</v>
      </c>
      <c r="D16" s="406">
        <f t="shared" ref="D16:E16" si="2">SUM(D17:D19)</f>
        <v>0</v>
      </c>
      <c r="E16" s="406">
        <f t="shared" si="2"/>
        <v>0</v>
      </c>
    </row>
    <row r="17" spans="1:5">
      <c r="A17" s="405">
        <v>5.0999999999999996</v>
      </c>
      <c r="B17" s="358" t="s">
        <v>704</v>
      </c>
      <c r="C17" s="406"/>
      <c r="D17" s="406"/>
      <c r="E17" s="406">
        <f>C17-D17</f>
        <v>0</v>
      </c>
    </row>
    <row r="18" spans="1:5">
      <c r="A18" s="405">
        <v>5.2</v>
      </c>
      <c r="B18" s="358" t="s">
        <v>539</v>
      </c>
      <c r="C18" s="406"/>
      <c r="D18" s="406"/>
      <c r="E18" s="406">
        <f t="shared" ref="E18:E19" si="3">C18-D18</f>
        <v>0</v>
      </c>
    </row>
    <row r="19" spans="1:5">
      <c r="A19" s="405">
        <v>5.3</v>
      </c>
      <c r="B19" s="358" t="s">
        <v>705</v>
      </c>
      <c r="C19" s="406"/>
      <c r="D19" s="406"/>
      <c r="E19" s="406">
        <f t="shared" si="3"/>
        <v>0</v>
      </c>
    </row>
    <row r="20" spans="1:5" ht="20.399999999999999">
      <c r="A20" s="405">
        <v>6</v>
      </c>
      <c r="B20" s="354" t="s">
        <v>706</v>
      </c>
      <c r="C20" s="674">
        <f t="shared" ref="C20:E20" si="4">SUM(C21:C22)</f>
        <v>2781684951.8897529</v>
      </c>
      <c r="D20" s="406">
        <f t="shared" si="4"/>
        <v>0</v>
      </c>
      <c r="E20" s="674">
        <f t="shared" si="4"/>
        <v>2781684951.8897529</v>
      </c>
    </row>
    <row r="21" spans="1:5">
      <c r="A21" s="405">
        <v>6.1</v>
      </c>
      <c r="B21" s="358" t="s">
        <v>539</v>
      </c>
      <c r="C21" s="301">
        <v>73312067.549999997</v>
      </c>
      <c r="D21" s="407"/>
      <c r="E21" s="301">
        <f>C21-D21</f>
        <v>73312067.549999997</v>
      </c>
    </row>
    <row r="22" spans="1:5">
      <c r="A22" s="405">
        <v>6.2</v>
      </c>
      <c r="B22" s="358" t="s">
        <v>705</v>
      </c>
      <c r="C22" s="301">
        <v>2708372884.3397527</v>
      </c>
      <c r="D22" s="407"/>
      <c r="E22" s="301">
        <f t="shared" ref="E22:E24" si="5">C22-D22</f>
        <v>2708372884.3397527</v>
      </c>
    </row>
    <row r="23" spans="1:5" ht="20.399999999999999">
      <c r="A23" s="405">
        <v>7</v>
      </c>
      <c r="B23" s="359" t="s">
        <v>707</v>
      </c>
      <c r="C23" s="675">
        <v>2202413.5</v>
      </c>
      <c r="D23" s="408"/>
      <c r="E23" s="676">
        <f t="shared" si="5"/>
        <v>2202413.5</v>
      </c>
    </row>
    <row r="24" spans="1:5" ht="20.399999999999999">
      <c r="A24" s="405">
        <v>8</v>
      </c>
      <c r="B24" s="360" t="s">
        <v>708</v>
      </c>
      <c r="C24" s="408"/>
      <c r="D24" s="408"/>
      <c r="E24" s="301">
        <f t="shared" si="5"/>
        <v>0</v>
      </c>
    </row>
    <row r="25" spans="1:5">
      <c r="A25" s="405">
        <v>9</v>
      </c>
      <c r="B25" s="355" t="s">
        <v>709</v>
      </c>
      <c r="C25" s="675">
        <f>SUM(C26:C27)</f>
        <v>53619535.339999974</v>
      </c>
      <c r="D25" s="408">
        <f t="shared" ref="D25:E25" si="6">SUM(D26:D27)</f>
        <v>0</v>
      </c>
      <c r="E25" s="675">
        <f t="shared" si="6"/>
        <v>53619535.339999974</v>
      </c>
    </row>
    <row r="26" spans="1:5">
      <c r="A26" s="405">
        <v>9.1</v>
      </c>
      <c r="B26" s="361" t="s">
        <v>710</v>
      </c>
      <c r="C26" s="672">
        <v>53619535.339999974</v>
      </c>
      <c r="D26" s="408"/>
      <c r="E26" s="672">
        <f>C26-D26</f>
        <v>53619535.339999974</v>
      </c>
    </row>
    <row r="27" spans="1:5">
      <c r="A27" s="405">
        <v>9.1999999999999993</v>
      </c>
      <c r="B27" s="361" t="s">
        <v>711</v>
      </c>
      <c r="C27" s="408"/>
      <c r="D27" s="408"/>
      <c r="E27" s="408">
        <f>C27-D27</f>
        <v>0</v>
      </c>
    </row>
    <row r="28" spans="1:5">
      <c r="A28" s="405">
        <v>10</v>
      </c>
      <c r="B28" s="355" t="s">
        <v>37</v>
      </c>
      <c r="C28" s="675">
        <f>SUM(C29:C30)</f>
        <v>33263478.05999998</v>
      </c>
      <c r="D28" s="408">
        <f t="shared" ref="D28:E28" si="7">SUM(D29:D30)</f>
        <v>33263478.05999998</v>
      </c>
      <c r="E28" s="408">
        <f t="shared" si="7"/>
        <v>0</v>
      </c>
    </row>
    <row r="29" spans="1:5">
      <c r="A29" s="405">
        <v>10.1</v>
      </c>
      <c r="B29" s="361" t="s">
        <v>712</v>
      </c>
      <c r="C29" s="408"/>
      <c r="D29" s="408"/>
      <c r="E29" s="408">
        <f>C29-D29</f>
        <v>0</v>
      </c>
    </row>
    <row r="30" spans="1:5">
      <c r="A30" s="405">
        <v>10.199999999999999</v>
      </c>
      <c r="B30" s="361" t="s">
        <v>713</v>
      </c>
      <c r="C30" s="672">
        <v>33263478.05999998</v>
      </c>
      <c r="D30" s="408">
        <v>33263478.05999998</v>
      </c>
      <c r="E30" s="408">
        <f>C30-D30</f>
        <v>0</v>
      </c>
    </row>
    <row r="31" spans="1:5">
      <c r="A31" s="405">
        <v>11</v>
      </c>
      <c r="B31" s="355" t="s">
        <v>714</v>
      </c>
      <c r="C31" s="408">
        <f>SUM(C32:C33)</f>
        <v>0</v>
      </c>
      <c r="D31" s="408">
        <f t="shared" ref="D31:E31" si="8">SUM(D32:D33)</f>
        <v>0</v>
      </c>
      <c r="E31" s="408">
        <f t="shared" si="8"/>
        <v>0</v>
      </c>
    </row>
    <row r="32" spans="1:5">
      <c r="A32" s="405">
        <v>11.1</v>
      </c>
      <c r="B32" s="361" t="s">
        <v>715</v>
      </c>
      <c r="C32" s="408"/>
      <c r="D32" s="408"/>
      <c r="E32" s="408">
        <f>C32-D32</f>
        <v>0</v>
      </c>
    </row>
    <row r="33" spans="1:7">
      <c r="A33" s="405">
        <v>11.2</v>
      </c>
      <c r="B33" s="361" t="s">
        <v>716</v>
      </c>
      <c r="C33" s="408"/>
      <c r="D33" s="408"/>
      <c r="E33" s="408">
        <f>C33-D33</f>
        <v>0</v>
      </c>
    </row>
    <row r="34" spans="1:7">
      <c r="A34" s="405">
        <v>13</v>
      </c>
      <c r="B34" s="355" t="s">
        <v>89</v>
      </c>
      <c r="C34" s="676">
        <v>59929540.920000009</v>
      </c>
      <c r="D34" s="407"/>
      <c r="E34" s="408">
        <f t="shared" ref="E34:E36" si="9">C34-D34</f>
        <v>59929540.920000009</v>
      </c>
    </row>
    <row r="35" spans="1:7">
      <c r="A35" s="405">
        <v>13.1</v>
      </c>
      <c r="B35" s="362" t="s">
        <v>717</v>
      </c>
      <c r="C35" s="301">
        <v>26038814.609999999</v>
      </c>
      <c r="D35" s="407"/>
      <c r="E35" s="408">
        <f t="shared" si="9"/>
        <v>26038814.609999999</v>
      </c>
    </row>
    <row r="36" spans="1:7">
      <c r="A36" s="405">
        <v>13.2</v>
      </c>
      <c r="B36" s="362" t="s">
        <v>718</v>
      </c>
      <c r="C36" s="407"/>
      <c r="D36" s="407"/>
      <c r="E36" s="408">
        <f t="shared" si="9"/>
        <v>0</v>
      </c>
    </row>
    <row r="37" spans="1:7" ht="42" thickBot="1">
      <c r="A37" s="208"/>
      <c r="B37" s="209" t="s">
        <v>309</v>
      </c>
      <c r="C37" s="170">
        <f>SUM(C8,C12,C14,C15,C16,C20,C23,C24,C25,C28,C31,C34)</f>
        <v>3424807207.3031354</v>
      </c>
      <c r="D37" s="170">
        <f t="shared" ref="D37:E37" si="10">SUM(D8,D12,D14,D15,D16,D20,D23,D24,D25,D28,D31,D34)</f>
        <v>33263478.05999998</v>
      </c>
      <c r="E37" s="170">
        <f t="shared" si="10"/>
        <v>3391543729.2431355</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ignoredErrors>
    <ignoredError sqref="C20 C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B20" sqref="B20"/>
    </sheetView>
  </sheetViews>
  <sheetFormatPr defaultRowHeight="14.4" outlineLevelRow="1"/>
  <cols>
    <col min="1" max="1" width="9.5546875" style="1" bestFit="1" customWidth="1"/>
    <col min="2" max="2" width="114.21875" style="1" customWidth="1"/>
    <col min="3" max="3" width="18.77734375" customWidth="1"/>
    <col min="4" max="4" width="25.44140625" customWidth="1"/>
    <col min="5" max="5" width="24.21875" customWidth="1"/>
    <col min="6" max="6" width="24" customWidth="1"/>
    <col min="7" max="7" width="10" bestFit="1" customWidth="1"/>
    <col min="8" max="8" width="12" bestFit="1" customWidth="1"/>
    <col min="9" max="9" width="12.5546875" bestFit="1" customWidth="1"/>
  </cols>
  <sheetData>
    <row r="1" spans="1:6">
      <c r="A1" s="12" t="s">
        <v>98</v>
      </c>
      <c r="B1" s="11" t="str">
        <f>Info!C2</f>
        <v>სს "კრედო ბანკი"</v>
      </c>
    </row>
    <row r="2" spans="1:6" s="12" customFormat="1" ht="15.75" customHeight="1">
      <c r="A2" s="12" t="s">
        <v>99</v>
      </c>
      <c r="B2" s="282">
        <f>'1. key ratios'!B2</f>
        <v>45838</v>
      </c>
      <c r="C2"/>
      <c r="D2"/>
      <c r="E2"/>
      <c r="F2"/>
    </row>
    <row r="3" spans="1:6" s="12" customFormat="1" ht="15.75" customHeight="1">
      <c r="C3"/>
      <c r="D3"/>
      <c r="E3"/>
      <c r="F3"/>
    </row>
    <row r="4" spans="1:6" s="12" customFormat="1" ht="28.2" thickBot="1">
      <c r="A4" s="12" t="s">
        <v>246</v>
      </c>
      <c r="B4" s="104" t="s">
        <v>161</v>
      </c>
      <c r="C4" s="98" t="s">
        <v>77</v>
      </c>
      <c r="D4"/>
      <c r="E4"/>
      <c r="F4"/>
    </row>
    <row r="5" spans="1:6">
      <c r="A5" s="99">
        <v>1</v>
      </c>
      <c r="B5" s="100" t="s">
        <v>696</v>
      </c>
      <c r="C5" s="139">
        <f>'7. LI1'!E37</f>
        <v>3391543729.2431355</v>
      </c>
    </row>
    <row r="6" spans="1:6">
      <c r="A6" s="57">
        <v>2.1</v>
      </c>
      <c r="B6" s="106" t="s">
        <v>830</v>
      </c>
      <c r="C6" s="140">
        <v>383506255</v>
      </c>
    </row>
    <row r="7" spans="1:6" s="2" customFormat="1" ht="27.6" outlineLevel="1">
      <c r="A7" s="105">
        <v>2.2000000000000002</v>
      </c>
      <c r="B7" s="101" t="s">
        <v>831</v>
      </c>
      <c r="C7" s="141">
        <v>398669150</v>
      </c>
    </row>
    <row r="8" spans="1:6" s="2" customFormat="1" ht="27.6">
      <c r="A8" s="105">
        <v>3</v>
      </c>
      <c r="B8" s="102" t="s">
        <v>697</v>
      </c>
      <c r="C8" s="142">
        <f>SUM(C5:C7)</f>
        <v>4173719134.2431355</v>
      </c>
    </row>
    <row r="9" spans="1:6">
      <c r="A9" s="57">
        <v>4</v>
      </c>
      <c r="B9" s="109" t="s">
        <v>159</v>
      </c>
      <c r="C9" s="140"/>
    </row>
    <row r="10" spans="1:6" s="2" customFormat="1" ht="27.6" outlineLevel="1">
      <c r="A10" s="105">
        <v>5.0999999999999996</v>
      </c>
      <c r="B10" s="101" t="s">
        <v>165</v>
      </c>
      <c r="C10" s="141">
        <v>-283404319</v>
      </c>
    </row>
    <row r="11" spans="1:6" s="2" customFormat="1" ht="27.6" outlineLevel="1">
      <c r="A11" s="105">
        <v>5.2</v>
      </c>
      <c r="B11" s="101" t="s">
        <v>166</v>
      </c>
      <c r="C11" s="141">
        <v>-394951148</v>
      </c>
    </row>
    <row r="12" spans="1:6" s="2" customFormat="1">
      <c r="A12" s="105">
        <v>6</v>
      </c>
      <c r="B12" s="107" t="s">
        <v>996</v>
      </c>
      <c r="C12" s="141"/>
    </row>
    <row r="13" spans="1:6" s="2" customFormat="1" ht="15" thickBot="1">
      <c r="A13" s="108">
        <v>7</v>
      </c>
      <c r="B13" s="103" t="s">
        <v>160</v>
      </c>
      <c r="C13" s="143">
        <f>SUM(C8:C12)</f>
        <v>3495363667.2431355</v>
      </c>
    </row>
    <row r="15" spans="1:6">
      <c r="B15" s="16"/>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KOjT5b8z55lhmWek4dmgycho0mHyrItzbXBvk8I7Fd8=</DigestValue>
    </Reference>
    <Reference Type="http://www.w3.org/2000/09/xmldsig#Object" URI="#idOfficeObject">
      <DigestMethod Algorithm="http://www.w3.org/2001/04/xmlenc#sha256"/>
      <DigestValue>0qXf5B5Cuh5HWVCwVNtkHca1KHlTGUpaJ0hPb3Nuw6g=</DigestValue>
    </Reference>
    <Reference Type="http://uri.etsi.org/01903#SignedProperties" URI="#idSignedProperties">
      <Transforms>
        <Transform Algorithm="http://www.w3.org/TR/2001/REC-xml-c14n-20010315"/>
      </Transforms>
      <DigestMethod Algorithm="http://www.w3.org/2001/04/xmlenc#sha256"/>
      <DigestValue>iR5/r7jKedJA/SZahzLq8JDaAnUeK19Suit2GIrtHnQ=</DigestValue>
    </Reference>
  </SignedInfo>
  <SignatureValue>wFGm8eoc/UIfHX67x5r8Kiip/DAVv/07D90NlymtJmtcOM/1pls29uSgSj/ZR8KTcSANFFkIbfjB
sN404aTazwm1AUep4daj36OpJG+CNd7AIwPQncFWBEoKpGIBnzZWzdLmXZcbqpCAThXabSNKzurC
aFPZ5SAD92uyk2Vrb2Yp6c8zhCCcf6t6WQwiO43Fc7KfHRMmS2KYtGYtW44+HUYg+Kf0Fw8izZWG
DK2pH22SAZ0BG1FOEBqNSGFBWIKAnwg45rC9fukFz5FG/1hJ5zFmAu3TgSxFOZ8GqqyB7jmAVVDs
xFffeJUmcAkcCqm9MO2V6GHkfOUWHXZB2tYXwg==</SignatureValue>
  <KeyInfo>
    <X509Data>
      <X509Certificate>MIIGKzCCBROgAwIBAgIKJ40y3AAEAAKI8TANBgkqhkiG9w0BAQsFADBKMRIwEAYKCZImiZPyLGQBGRYCZ2UxEzARBgoJkiaJk/IsZAEZFgNuYmcxHzAdBgNVBAMTFk5CRyBDbGFzcyAyIElOVCBTdWIgQ0EwHhcNMjUwNjMwMDczNDQ4WhcNMjcwNjMwMDczNDQ4WjApMScwJQYDVQQDEx5CQ0QgLSBLb25zdGFudGluZSBHaGFtYmFzaGlkemUwggEiMA0GCSqGSIb3DQEBAQUAA4IBDwAwggEKAoIBAQDp+8svDO5/CWsNWcoY4JcK1WBL+1emG9Kjybiy/UFmdLQlZjNEIXZQuPQDB3l8lGifPu2MKhEVn4pSWM96ENL/s3ow4Kn0EcUaZg/Wib3Vv3Zrqsvqnc9sORLf6wAwjrJq6WdMsP73+KUQPB8dFoDzAzKTuxIjHd4wk/ehOqjmuDXkeZUWUO0SoOSSf+9zaiIKJfHk78fTo2PLVILR8LBcREHKMOkqfEvI2ZAzyU8ZbTfQCUuPuA+tP9Rg8qwbyHs3oB9PMOFyV6rcA+K3O73hOwig2phvHz5FsOBK8Um8U8pnj7FwdNVykTG9IuJ4k0abryk4O0DfiJKBwIgjVQMRAgMBAAGjggMyMIIDLjA8BgkrBgEEAYI3FQcELzAtBiUrBgEEAYI3FQjmsmCDjfVEhoGZCYO4oUqDvoRxBIPEkTOEg4hdAgFkAgEjMB0GA1UdJQQWMBQGCCsGAQUFBwMCBggrBgEFBQcDBDALBgNVHQ8EBAMCB4AwJwYJKwYBBAGCNxUKBBowGDAKBggrBgEFBQcDAjAKBggrBgEFBQcDBDAdBgNVHQ4EFgQUMdNFy5GzIzAwJEakNbOCs8N27Hs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J3ihD8LaacrVnsHjHrRYobo+5IAtEEzQzFEVXymIXShx9rOvpyiubjqjWnNFH8PRthCx4f7ygT9RAkjY5o3nLnjZVsapunkubFkpqGnrXzqwqroDAC7r90eMNsyZZbpWwUAFD5Y6e9Sx/++lfOp6FkHoX2cwS+fXDYT9ZOuFZc5eCAG18vr3mrn64cUob3He7gjGkGnx1vkjtzp+0V213dqtFVjGxQjZQz7Add8GCNFg3KnFW91Ihrd2rI4w32xavXu5cZU+FimHpvnBUBqDYy/vN/jn7BAu2CRdrjwCDvgun6l1dr89IojTity3ldh8BPlzQhjBCLULzK/lgMkif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Transform>
          <Transform Algorithm="http://www.w3.org/TR/2001/REC-xml-c14n-20010315"/>
        </Transforms>
        <DigestMethod Algorithm="http://www.w3.org/2001/04/xmlenc#sha256"/>
        <DigestValue>OQ7Zn+wvRnmzXFJ7q8p/FIFCfFVXGJf7ZRQPH7GpZQ4=</DigestValue>
      </Reference>
      <Reference URI="/xl/calcChain.xml?ContentType=application/vnd.openxmlformats-officedocument.spreadsheetml.calcChain+xml">
        <DigestMethod Algorithm="http://www.w3.org/2001/04/xmlenc#sha256"/>
        <DigestValue>1SJDAFu2rZnf6gL343EVY05RMCP/12jPG3SXcKQEQtc=</DigestValue>
      </Reference>
      <Reference URI="/xl/comments1.xml?ContentType=application/vnd.openxmlformats-officedocument.spreadsheetml.comments+xml">
        <DigestMethod Algorithm="http://www.w3.org/2001/04/xmlenc#sha256"/>
        <DigestValue>D1ZJOUA+rSHcom9m3ySIHuX7CboEvAibeubIv/6JwCs=</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YeLyGFrTmqzQHUQPgxynTn9Z43LkZGu7npeFJV2FrEk=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8fA8i9JMOHW9+5i8mTL9ErD5KgHPN9e55p9rkQzl/M4=</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wT753le9aVQow76B/3xVb+kkwrm2lKucHrEgjvEMYj0=</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externalLinks/externalLink4.xml?ContentType=application/vnd.openxmlformats-officedocument.spreadsheetml.externalLink+xml">
        <DigestMethod Algorithm="http://www.w3.org/2001/04/xmlenc#sha256"/>
        <DigestValue>53YeaXFcHe3Q2aue/NluwglauvPXuBIS+ctAZfjkc54=</DigestValue>
      </Reference>
      <Reference URI="/xl/externalLinks/externalLink5.xml?ContentType=application/vnd.openxmlformats-officedocument.spreadsheetml.externalLink+xml">
        <DigestMethod Algorithm="http://www.w3.org/2001/04/xmlenc#sha256"/>
        <DigestValue>1Nr1IxEr6T1RXXysaETfk+2TFlZO07TpouaBU4+ti+4=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406J9cGWy6qGuf+Y9USZdIEU/hA5po7CdenclJjurpU=</DigestValue>
      </Reference>
      <Reference URI="/xl/styles.xml?ContentType=application/vnd.openxmlformats-officedocument.spreadsheetml.styles+xml">
        <DigestMethod Algorithm="http://www.w3.org/2001/04/xmlenc#sha256"/>
        <DigestValue>FYM8Ivx2wzCfTO+sUpcrExjt/Qj+rFxp/yajxczd/qU=</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B65vaHAU/7ZJDkeaNe71G/42QC+wFZGklsbk78YVbZg=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uBCsLoCeDaoZuHLizZacnRXpOOOOxk0iSLefQ5jFwpo=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DmsLv85SRoaA7Z1sogS+a6w0bYsBepy00pMrZeD9PHY=</DigestValue>
      </Reference>
      <Reference URI="/xl/worksheets/sheet10.xml?ContentType=application/vnd.openxmlformats-officedocument.spreadsheetml.worksheet+xml">
        <DigestMethod Algorithm="http://www.w3.org/2001/04/xmlenc#sha256"/>
        <DigestValue>PF/mxVBu99EU2N1aH4eNLDIS5vEgBZ+RzXqemgQH19k=</DigestValue>
      </Reference>
      <Reference URI="/xl/worksheets/sheet11.xml?ContentType=application/vnd.openxmlformats-officedocument.spreadsheetml.worksheet+xml">
        <DigestMethod Algorithm="http://www.w3.org/2001/04/xmlenc#sha256"/>
        <DigestValue>g6vScdo7ofVFanhaF6UNHcdGN4F3ARFBzJtJS0qESuY=</DigestValue>
      </Reference>
      <Reference URI="/xl/worksheets/sheet12.xml?ContentType=application/vnd.openxmlformats-officedocument.spreadsheetml.worksheet+xml">
        <DigestMethod Algorithm="http://www.w3.org/2001/04/xmlenc#sha256"/>
        <DigestValue>RKOl393uWwfFtVSdAS5p9NXSQ/6Qx+Bgj/ETDArWWmw=</DigestValue>
      </Reference>
      <Reference URI="/xl/worksheets/sheet13.xml?ContentType=application/vnd.openxmlformats-officedocument.spreadsheetml.worksheet+xml">
        <DigestMethod Algorithm="http://www.w3.org/2001/04/xmlenc#sha256"/>
        <DigestValue>xSqljbP6uVq/GepgVBUbmZuZdpZrDcbh0TWkTdjC0AM=</DigestValue>
      </Reference>
      <Reference URI="/xl/worksheets/sheet14.xml?ContentType=application/vnd.openxmlformats-officedocument.spreadsheetml.worksheet+xml">
        <DigestMethod Algorithm="http://www.w3.org/2001/04/xmlenc#sha256"/>
        <DigestValue>jX6/jMcn3Lh77C0sGzDp2CPkwjRfTPQnOugf5Hwka98=</DigestValue>
      </Reference>
      <Reference URI="/xl/worksheets/sheet15.xml?ContentType=application/vnd.openxmlformats-officedocument.spreadsheetml.worksheet+xml">
        <DigestMethod Algorithm="http://www.w3.org/2001/04/xmlenc#sha256"/>
        <DigestValue>aJoAm2F1E7oQoYiVcLUC2U6WCUR28N5Z6bfNPEKR7o0=</DigestValue>
      </Reference>
      <Reference URI="/xl/worksheets/sheet16.xml?ContentType=application/vnd.openxmlformats-officedocument.spreadsheetml.worksheet+xml">
        <DigestMethod Algorithm="http://www.w3.org/2001/04/xmlenc#sha256"/>
        <DigestValue>6o7XvxQoUGOf6p0Ox94leaJF1FFeGwlD4XD/K/dUz9M=</DigestValue>
      </Reference>
      <Reference URI="/xl/worksheets/sheet17.xml?ContentType=application/vnd.openxmlformats-officedocument.spreadsheetml.worksheet+xml">
        <DigestMethod Algorithm="http://www.w3.org/2001/04/xmlenc#sha256"/>
        <DigestValue>r68TzIrUKRhfKev5usN2O7L5tH/whzqOSUsJ+S+Bz14=</DigestValue>
      </Reference>
      <Reference URI="/xl/worksheets/sheet18.xml?ContentType=application/vnd.openxmlformats-officedocument.spreadsheetml.worksheet+xml">
        <DigestMethod Algorithm="http://www.w3.org/2001/04/xmlenc#sha256"/>
        <DigestValue>IuDbO7YJAPSz3LszqLtzonF4GCEA77ehgWbSsW7NxMw=</DigestValue>
      </Reference>
      <Reference URI="/xl/worksheets/sheet19.xml?ContentType=application/vnd.openxmlformats-officedocument.spreadsheetml.worksheet+xml">
        <DigestMethod Algorithm="http://www.w3.org/2001/04/xmlenc#sha256"/>
        <DigestValue>VyNkyrtj/RInSYkfsHMRPmb/KUa5HVdArn2DaWui/BA=</DigestValue>
      </Reference>
      <Reference URI="/xl/worksheets/sheet2.xml?ContentType=application/vnd.openxmlformats-officedocument.spreadsheetml.worksheet+xml">
        <DigestMethod Algorithm="http://www.w3.org/2001/04/xmlenc#sha256"/>
        <DigestValue>7AkeEywyS6Ga/BLzwoOemfHFMuWZw4Cc2xD+FyDcOf4=</DigestValue>
      </Reference>
      <Reference URI="/xl/worksheets/sheet20.xml?ContentType=application/vnd.openxmlformats-officedocument.spreadsheetml.worksheet+xml">
        <DigestMethod Algorithm="http://www.w3.org/2001/04/xmlenc#sha256"/>
        <DigestValue>5EACXElCBUiI7vmGqu2vAY7aT9zZxUtsOQYjkRQCf5o=</DigestValue>
      </Reference>
      <Reference URI="/xl/worksheets/sheet21.xml?ContentType=application/vnd.openxmlformats-officedocument.spreadsheetml.worksheet+xml">
        <DigestMethod Algorithm="http://www.w3.org/2001/04/xmlenc#sha256"/>
        <DigestValue>/+HRGfzr6mjwvYAmmR37XBOxruZy2RFSiMQAOWuT5Fo=</DigestValue>
      </Reference>
      <Reference URI="/xl/worksheets/sheet22.xml?ContentType=application/vnd.openxmlformats-officedocument.spreadsheetml.worksheet+xml">
        <DigestMethod Algorithm="http://www.w3.org/2001/04/xmlenc#sha256"/>
        <DigestValue>mYFp8pNy8HhqGGLEKIciltRmq9SxG8xgHL2e7xORipA=</DigestValue>
      </Reference>
      <Reference URI="/xl/worksheets/sheet23.xml?ContentType=application/vnd.openxmlformats-officedocument.spreadsheetml.worksheet+xml">
        <DigestMethod Algorithm="http://www.w3.org/2001/04/xmlenc#sha256"/>
        <DigestValue>rZRHnUKh28G/58VzG1FTnorVOf2JdYACI/4KChlnHsM=</DigestValue>
      </Reference>
      <Reference URI="/xl/worksheets/sheet24.xml?ContentType=application/vnd.openxmlformats-officedocument.spreadsheetml.worksheet+xml">
        <DigestMethod Algorithm="http://www.w3.org/2001/04/xmlenc#sha256"/>
        <DigestValue>1M8Y7l6cI+lCupG+xsRONc/6SijOIIjJxWXJIIYAw6k=</DigestValue>
      </Reference>
      <Reference URI="/xl/worksheets/sheet25.xml?ContentType=application/vnd.openxmlformats-officedocument.spreadsheetml.worksheet+xml">
        <DigestMethod Algorithm="http://www.w3.org/2001/04/xmlenc#sha256"/>
        <DigestValue>WBVNqKdvcfDqOSb2xepHcmwrfPpM5fcK++JUz+Gc+e4=</DigestValue>
      </Reference>
      <Reference URI="/xl/worksheets/sheet26.xml?ContentType=application/vnd.openxmlformats-officedocument.spreadsheetml.worksheet+xml">
        <DigestMethod Algorithm="http://www.w3.org/2001/04/xmlenc#sha256"/>
        <DigestValue>NQJNbCblbN4KjGzB6Ube72UehGgFxwMtWa4sSxyjdOg=</DigestValue>
      </Reference>
      <Reference URI="/xl/worksheets/sheet27.xml?ContentType=application/vnd.openxmlformats-officedocument.spreadsheetml.worksheet+xml">
        <DigestMethod Algorithm="http://www.w3.org/2001/04/xmlenc#sha256"/>
        <DigestValue>Jb2CwkGJ+LkmyobBDIi/SZ6pFrI4eLF/eLGw/L+26nc=</DigestValue>
      </Reference>
      <Reference URI="/xl/worksheets/sheet28.xml?ContentType=application/vnd.openxmlformats-officedocument.spreadsheetml.worksheet+xml">
        <DigestMethod Algorithm="http://www.w3.org/2001/04/xmlenc#sha256"/>
        <DigestValue>6miw3nimmAraRDD0glPNGvv5ACLO4/z7FcWiYpCzizA=</DigestValue>
      </Reference>
      <Reference URI="/xl/worksheets/sheet29.xml?ContentType=application/vnd.openxmlformats-officedocument.spreadsheetml.worksheet+xml">
        <DigestMethod Algorithm="http://www.w3.org/2001/04/xmlenc#sha256"/>
        <DigestValue>LY150D2tL+i7du6DWmKntT+8XaPhzxCEXEVxX9+Cg+w=</DigestValue>
      </Reference>
      <Reference URI="/xl/worksheets/sheet3.xml?ContentType=application/vnd.openxmlformats-officedocument.spreadsheetml.worksheet+xml">
        <DigestMethod Algorithm="http://www.w3.org/2001/04/xmlenc#sha256"/>
        <DigestValue>ILMzDGEUSYbEXIyJC7VXM5tDXZescdcRGnuzvt9i3RM=</DigestValue>
      </Reference>
      <Reference URI="/xl/worksheets/sheet30.xml?ContentType=application/vnd.openxmlformats-officedocument.spreadsheetml.worksheet+xml">
        <DigestMethod Algorithm="http://www.w3.org/2001/04/xmlenc#sha256"/>
        <DigestValue>Tnwe0NE/EQlII0zYVDn/u7wHNcyOwB+aJJLw3k97aWw=</DigestValue>
      </Reference>
      <Reference URI="/xl/worksheets/sheet31.xml?ContentType=application/vnd.openxmlformats-officedocument.spreadsheetml.worksheet+xml">
        <DigestMethod Algorithm="http://www.w3.org/2001/04/xmlenc#sha256"/>
        <DigestValue>QmEuB+Taj9t426Jv6NHgfaaUYAQjPbm1IPAW4tbVo38=</DigestValue>
      </Reference>
      <Reference URI="/xl/worksheets/sheet32.xml?ContentType=application/vnd.openxmlformats-officedocument.spreadsheetml.worksheet+xml">
        <DigestMethod Algorithm="http://www.w3.org/2001/04/xmlenc#sha256"/>
        <DigestValue>JLquWUDxZtKrclS3K7J+j86a88+6OJfI24zeNtEiqws=</DigestValue>
      </Reference>
      <Reference URI="/xl/worksheets/sheet33.xml?ContentType=application/vnd.openxmlformats-officedocument.spreadsheetml.worksheet+xml">
        <DigestMethod Algorithm="http://www.w3.org/2001/04/xmlenc#sha256"/>
        <DigestValue>Tt5PPy6pn+z8pi5MiBKfP3skJaR2PGG1TKxtRScjdeo=</DigestValue>
      </Reference>
      <Reference URI="/xl/worksheets/sheet4.xml?ContentType=application/vnd.openxmlformats-officedocument.spreadsheetml.worksheet+xml">
        <DigestMethod Algorithm="http://www.w3.org/2001/04/xmlenc#sha256"/>
        <DigestValue>xeVuv3aFCy/2Eyu03XSxN52FapkzNmGtQd3XtJxl/+k=</DigestValue>
      </Reference>
      <Reference URI="/xl/worksheets/sheet5.xml?ContentType=application/vnd.openxmlformats-officedocument.spreadsheetml.worksheet+xml">
        <DigestMethod Algorithm="http://www.w3.org/2001/04/xmlenc#sha256"/>
        <DigestValue>eNwsMPPyaIJPS86PEOupWLwZElA0U2/yFutBYF+eChE=</DigestValue>
      </Reference>
      <Reference URI="/xl/worksheets/sheet6.xml?ContentType=application/vnd.openxmlformats-officedocument.spreadsheetml.worksheet+xml">
        <DigestMethod Algorithm="http://www.w3.org/2001/04/xmlenc#sha256"/>
        <DigestValue>mYnoOslCqdlB6de/5yDlM3DhP7ReAY2ohsOIIqo4B0w=</DigestValue>
      </Reference>
      <Reference URI="/xl/worksheets/sheet7.xml?ContentType=application/vnd.openxmlformats-officedocument.spreadsheetml.worksheet+xml">
        <DigestMethod Algorithm="http://www.w3.org/2001/04/xmlenc#sha256"/>
        <DigestValue>HGC6sAzi5Tnw1t04CgM51Mg92xI0Hbw3w7MwxPFRvzM=</DigestValue>
      </Reference>
      <Reference URI="/xl/worksheets/sheet8.xml?ContentType=application/vnd.openxmlformats-officedocument.spreadsheetml.worksheet+xml">
        <DigestMethod Algorithm="http://www.w3.org/2001/04/xmlenc#sha256"/>
        <DigestValue>+eUGyOSo//2V/FpwqUuKwXvAuO6Bav3plxPFrcmi+nk=</DigestValue>
      </Reference>
      <Reference URI="/xl/worksheets/sheet9.xml?ContentType=application/vnd.openxmlformats-officedocument.spreadsheetml.worksheet+xml">
        <DigestMethod Algorithm="http://www.w3.org/2001/04/xmlenc#sha256"/>
        <DigestValue>Ukws0MtWepHDhbmTQSwwj2fmY1KKwrpL3INkyqM1XIs=</DigestValue>
      </Reference>
    </Manifest>
    <SignatureProperties>
      <SignatureProperty Id="idSignatureTime" Target="#idPackageSignature">
        <mdssi:SignatureTime xmlns:mdssi="http://schemas.openxmlformats.org/package/2006/digital-signature">
          <mdssi:Format>YYYY-MM-DDThh:mm:ssTZD</mdssi:Format>
          <mdssi:Value>2025-07-22T10:53:41Z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aaaa</SignatureComments>
          <WindowsVersion>10.0</WindowsVersion>
          <OfficeVersion>16.0.18925/26</OfficeVersion>
          <ApplicationVersion>16.0.18925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2025-07-22T10:53:41Z</xd:SigningTime>
          <xd:SigningCertificate>
            <xd:Cert>
              <xd:CertDigest>
                <DigestMethod Algorithm="http://www.w3.org/2001/04/xmlenc#sha256"/>
                <DigestValue>bU55H9dcBqi3ttBbYMli7D2XBNW2C5FpDZHhp0iA0fQ=</DigestValue>
              </xd:CertDigest>
              <xd:IssuerSerial>
                <X509IssuerName>CN=NBG Class 2 INT Sub CA, DC=nbg, DC=ge</X509IssuerName>
                <X509SerialNumber>186776948550523162888433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Qualifiers>
              <xd:CommitmentTypeQualifier>aaaa</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sqxEc+jXssDgi2j6pypJ7paNUi83h4EJh86/zU9wHg0=</DigestValue>
    </Reference>
    <Reference Type="http://www.w3.org/2000/09/xmldsig#Object" URI="#idOfficeObject">
      <DigestMethod Algorithm="http://www.w3.org/2001/04/xmlenc#sha256"/>
      <DigestValue>aJy/6h+/8T/4v2vSISf/ro263EQhVTj1ePIcIN0DBpU=</DigestValue>
    </Reference>
    <Reference Type="http://uri.etsi.org/01903#SignedProperties" URI="#idSignedProperties">
      <Transforms>
        <Transform Algorithm="http://www.w3.org/TR/2001/REC-xml-c14n-20010315"/>
      </Transforms>
      <DigestMethod Algorithm="http://www.w3.org/2001/04/xmlenc#sha256"/>
      <DigestValue>EIl9LIbQG9TYNJZOVihne22TZ53wDqYQ9bzsD31XRoY=</DigestValue>
    </Reference>
  </SignedInfo>
  <SignatureValue>L/BnYdWoqN4NhuyDZLAbYswzyo4r1NzNg8dqEQ/gzdy25q3QuAIAGKoSuN/G2LoTTL19Wmd1cE1R
eNAjE8C5YK4lrN4UXXZB2sVrsXJ2SOkiEZvctA3UAvNOCfoIvgr7PAlyTzjpQJg6uJ3JAHG7DJ3e
/8PvrEjpJyGzCoy28HVNtuVdX07uVcM5doNLqm8/MFPggOsIuYFgu2AuPjyM1PqIQDZOfjdS4/SN
rZMbdxtCXFmgLo3ZPffIN+5ucjo74RM28BJb1Bcswn7t/aKxQOBQkYhJDafCljXQUckYAqTNvim7
17R0mlfLN7Rx7DnSPN0izfbXsGJVGE0mXM5K7Q==</SignatureValue>
  <KeyInfo>
    <X509Data>
      <X509Certificate>MIIGPjCCBSagAwIBAgIKJ3JJaAAEAAKI8DANBgkqhkiG9w0BAQsFADBKMRIwEAYKCZImiZPyLGQBGRYCZ2UxEzARBgoJkiaJk/IsZAEZFgNuYmcxHzAdBgNVBAMTFk5CRyBDbGFzcyAyIElOVCBTdWIgQ0EwHhcNMjUwNjMwMDcwNTI0WhcNMjcwNjMwMDcwNTI0WjA8MRcwFQYDVQQKEw5KU0MgQ3JlZG8gQmFuazEhMB8GA1UEAxMYQkNEIC0gRXJla2xlIFphdGlhc2h2aWxpMIIBIjANBgkqhkiG9w0BAQEFAAOCAQ8AMIIBCgKCAQEA45GSJSX5XVSnf7fyLnbR9YHGUbwE3pC0CZ1t6xWXnVPHQxewtNSfXrj/GpL6eGyUOsZvc651RVi8p0i6blXuPvbI2qHF7n/jRhoZizXHrd8tzM/oaXIkgIVzFiRL3zyXihQi0VSOrz82mef0bV9jzTJdnKItiLcob8S+qZ2xIgBLDSf1ojGhz7SeB1xxEePOS561Go6s+ahrJwP9uw/s0jUQM7WxMtQN5wKJjiBYUhmM2kEiXYHVtekvAfBsAnJpcyABc/kg/4xgIpln5BbaNNb2u8sAxNtCqXX/9U6nMCqwedqD4gXd8/eyHPne9qQq0d9FmrNNnEaG+e0b51X0RwIDAQABo4IDMjCCAy4wPAYJKwYBBAGCNxUHBC8wLQYlKwYBBAGCNxUI5rJgg431RIaBmQmDuKFKg76EcQSDxJEzhIOIXQIBZAIBIzAdBgNVHSUEFjAUBggrBgEFBQcDAgYIKwYBBQUHAwQwCwYDVR0PBAQDAgeAMCcGCSsGAQQBgjcVCgQaMBgwCgYIKwYBBQUHAwIwCgYIKwYBBQUHAwQwHQYDVR0OBBYEFJNIFQVzutRSv2LCzcizQy9x8tz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CDupBcsiReXJd6sxEhqCzqGB9pdjIsuuZYLLLseiVD0r1bfMg8g5c/EHMMP0ejeQi2MKQGPq0zG/1qDYNxJu1t/d6ALuqLW0CHiX58/jpTiX+Op6nIPI56b8va3wceRTcfOlVnbhz85UL31//oH2V+LKgGKMcIE/NVepgtQsz2plyGmtTzAtirmVmbYBk1ulUBW0xwugNPDu5vHCeLSEteN4eAcbKEU35Zjtdo4LImxka7r3K1xKGrmWnJw85V73WMRlatIekR+B9j0ZrUks50k785oza/1YE3s12bVdTCvimr3u5gFZ4pYAk9PVvxRVxz6CQLbbhDtOfKm6PYJ0c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Transform>
          <Transform Algorithm="http://www.w3.org/TR/2001/REC-xml-c14n-20010315"/>
        </Transforms>
        <DigestMethod Algorithm="http://www.w3.org/2001/04/xmlenc#sha256"/>
        <DigestValue>OQ7Zn+wvRnmzXFJ7q8p/FIFCfFVXGJf7ZRQPH7GpZQ4=</DigestValue>
      </Reference>
      <Reference URI="/xl/calcChain.xml?ContentType=application/vnd.openxmlformats-officedocument.spreadsheetml.calcChain+xml">
        <DigestMethod Algorithm="http://www.w3.org/2001/04/xmlenc#sha256"/>
        <DigestValue>1SJDAFu2rZnf6gL343EVY05RMCP/12jPG3SXcKQEQtc=</DigestValue>
      </Reference>
      <Reference URI="/xl/comments1.xml?ContentType=application/vnd.openxmlformats-officedocument.spreadsheetml.comments+xml">
        <DigestMethod Algorithm="http://www.w3.org/2001/04/xmlenc#sha256"/>
        <DigestValue>D1ZJOUA+rSHcom9m3ySIHuX7CboEvAibeubIv/6JwCs=</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YeLyGFrTmqzQHUQPgxynTn9Z43LkZGu7npeFJV2FrEk=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8fA8i9JMOHW9+5i8mTL9ErD5KgHPN9e55p9rkQzl/M4=</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wT753le9aVQow76B/3xVb+kkwrm2lKucHrEgjvEMYj0=</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externalLinks/externalLink4.xml?ContentType=application/vnd.openxmlformats-officedocument.spreadsheetml.externalLink+xml">
        <DigestMethod Algorithm="http://www.w3.org/2001/04/xmlenc#sha256"/>
        <DigestValue>53YeaXFcHe3Q2aue/NluwglauvPXuBIS+ctAZfjkc54=</DigestValue>
      </Reference>
      <Reference URI="/xl/externalLinks/externalLink5.xml?ContentType=application/vnd.openxmlformats-officedocument.spreadsheetml.externalLink+xml">
        <DigestMethod Algorithm="http://www.w3.org/2001/04/xmlenc#sha256"/>
        <DigestValue>1Nr1IxEr6T1RXXysaETfk+2TFlZO07TpouaBU4+ti+4=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406J9cGWy6qGuf+Y9USZdIEU/hA5po7CdenclJjurpU=</DigestValue>
      </Reference>
      <Reference URI="/xl/styles.xml?ContentType=application/vnd.openxmlformats-officedocument.spreadsheetml.styles+xml">
        <DigestMethod Algorithm="http://www.w3.org/2001/04/xmlenc#sha256"/>
        <DigestValue>FYM8Ivx2wzCfTO+sUpcrExjt/Qj+rFxp/yajxczd/qU=</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B65vaHAU/7ZJDkeaNe71G/42QC+wFZGklsbk78YVbZg=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uBCsLoCeDaoZuHLizZacnRXpOOOOxk0iSLefQ5jFwpo=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DmsLv85SRoaA7Z1sogS+a6w0bYsBepy00pMrZeD9PHY=</DigestValue>
      </Reference>
      <Reference URI="/xl/worksheets/sheet10.xml?ContentType=application/vnd.openxmlformats-officedocument.spreadsheetml.worksheet+xml">
        <DigestMethod Algorithm="http://www.w3.org/2001/04/xmlenc#sha256"/>
        <DigestValue>PF/mxVBu99EU2N1aH4eNLDIS5vEgBZ+RzXqemgQH19k=</DigestValue>
      </Reference>
      <Reference URI="/xl/worksheets/sheet11.xml?ContentType=application/vnd.openxmlformats-officedocument.spreadsheetml.worksheet+xml">
        <DigestMethod Algorithm="http://www.w3.org/2001/04/xmlenc#sha256"/>
        <DigestValue>g6vScdo7ofVFanhaF6UNHcdGN4F3ARFBzJtJS0qESuY=</DigestValue>
      </Reference>
      <Reference URI="/xl/worksheets/sheet12.xml?ContentType=application/vnd.openxmlformats-officedocument.spreadsheetml.worksheet+xml">
        <DigestMethod Algorithm="http://www.w3.org/2001/04/xmlenc#sha256"/>
        <DigestValue>RKOl393uWwfFtVSdAS5p9NXSQ/6Qx+Bgj/ETDArWWmw=</DigestValue>
      </Reference>
      <Reference URI="/xl/worksheets/sheet13.xml?ContentType=application/vnd.openxmlformats-officedocument.spreadsheetml.worksheet+xml">
        <DigestMethod Algorithm="http://www.w3.org/2001/04/xmlenc#sha256"/>
        <DigestValue>xSqljbP6uVq/GepgVBUbmZuZdpZrDcbh0TWkTdjC0AM=</DigestValue>
      </Reference>
      <Reference URI="/xl/worksheets/sheet14.xml?ContentType=application/vnd.openxmlformats-officedocument.spreadsheetml.worksheet+xml">
        <DigestMethod Algorithm="http://www.w3.org/2001/04/xmlenc#sha256"/>
        <DigestValue>jX6/jMcn3Lh77C0sGzDp2CPkwjRfTPQnOugf5Hwka98=</DigestValue>
      </Reference>
      <Reference URI="/xl/worksheets/sheet15.xml?ContentType=application/vnd.openxmlformats-officedocument.spreadsheetml.worksheet+xml">
        <DigestMethod Algorithm="http://www.w3.org/2001/04/xmlenc#sha256"/>
        <DigestValue>aJoAm2F1E7oQoYiVcLUC2U6WCUR28N5Z6bfNPEKR7o0=</DigestValue>
      </Reference>
      <Reference URI="/xl/worksheets/sheet16.xml?ContentType=application/vnd.openxmlformats-officedocument.spreadsheetml.worksheet+xml">
        <DigestMethod Algorithm="http://www.w3.org/2001/04/xmlenc#sha256"/>
        <DigestValue>6o7XvxQoUGOf6p0Ox94leaJF1FFeGwlD4XD/K/dUz9M=</DigestValue>
      </Reference>
      <Reference URI="/xl/worksheets/sheet17.xml?ContentType=application/vnd.openxmlformats-officedocument.spreadsheetml.worksheet+xml">
        <DigestMethod Algorithm="http://www.w3.org/2001/04/xmlenc#sha256"/>
        <DigestValue>r68TzIrUKRhfKev5usN2O7L5tH/whzqOSUsJ+S+Bz14=</DigestValue>
      </Reference>
      <Reference URI="/xl/worksheets/sheet18.xml?ContentType=application/vnd.openxmlformats-officedocument.spreadsheetml.worksheet+xml">
        <DigestMethod Algorithm="http://www.w3.org/2001/04/xmlenc#sha256"/>
        <DigestValue>IuDbO7YJAPSz3LszqLtzonF4GCEA77ehgWbSsW7NxMw=</DigestValue>
      </Reference>
      <Reference URI="/xl/worksheets/sheet19.xml?ContentType=application/vnd.openxmlformats-officedocument.spreadsheetml.worksheet+xml">
        <DigestMethod Algorithm="http://www.w3.org/2001/04/xmlenc#sha256"/>
        <DigestValue>VyNkyrtj/RInSYkfsHMRPmb/KUa5HVdArn2DaWui/BA=</DigestValue>
      </Reference>
      <Reference URI="/xl/worksheets/sheet2.xml?ContentType=application/vnd.openxmlformats-officedocument.spreadsheetml.worksheet+xml">
        <DigestMethod Algorithm="http://www.w3.org/2001/04/xmlenc#sha256"/>
        <DigestValue>7AkeEywyS6Ga/BLzwoOemfHFMuWZw4Cc2xD+FyDcOf4=</DigestValue>
      </Reference>
      <Reference URI="/xl/worksheets/sheet20.xml?ContentType=application/vnd.openxmlformats-officedocument.spreadsheetml.worksheet+xml">
        <DigestMethod Algorithm="http://www.w3.org/2001/04/xmlenc#sha256"/>
        <DigestValue>5EACXElCBUiI7vmGqu2vAY7aT9zZxUtsOQYjkRQCf5o=</DigestValue>
      </Reference>
      <Reference URI="/xl/worksheets/sheet21.xml?ContentType=application/vnd.openxmlformats-officedocument.spreadsheetml.worksheet+xml">
        <DigestMethod Algorithm="http://www.w3.org/2001/04/xmlenc#sha256"/>
        <DigestValue>/+HRGfzr6mjwvYAmmR37XBOxruZy2RFSiMQAOWuT5Fo=</DigestValue>
      </Reference>
      <Reference URI="/xl/worksheets/sheet22.xml?ContentType=application/vnd.openxmlformats-officedocument.spreadsheetml.worksheet+xml">
        <DigestMethod Algorithm="http://www.w3.org/2001/04/xmlenc#sha256"/>
        <DigestValue>mYFp8pNy8HhqGGLEKIciltRmq9SxG8xgHL2e7xORipA=</DigestValue>
      </Reference>
      <Reference URI="/xl/worksheets/sheet23.xml?ContentType=application/vnd.openxmlformats-officedocument.spreadsheetml.worksheet+xml">
        <DigestMethod Algorithm="http://www.w3.org/2001/04/xmlenc#sha256"/>
        <DigestValue>rZRHnUKh28G/58VzG1FTnorVOf2JdYACI/4KChlnHsM=</DigestValue>
      </Reference>
      <Reference URI="/xl/worksheets/sheet24.xml?ContentType=application/vnd.openxmlformats-officedocument.spreadsheetml.worksheet+xml">
        <DigestMethod Algorithm="http://www.w3.org/2001/04/xmlenc#sha256"/>
        <DigestValue>1M8Y7l6cI+lCupG+xsRONc/6SijOIIjJxWXJIIYAw6k=</DigestValue>
      </Reference>
      <Reference URI="/xl/worksheets/sheet25.xml?ContentType=application/vnd.openxmlformats-officedocument.spreadsheetml.worksheet+xml">
        <DigestMethod Algorithm="http://www.w3.org/2001/04/xmlenc#sha256"/>
        <DigestValue>WBVNqKdvcfDqOSb2xepHcmwrfPpM5fcK++JUz+Gc+e4=</DigestValue>
      </Reference>
      <Reference URI="/xl/worksheets/sheet26.xml?ContentType=application/vnd.openxmlformats-officedocument.spreadsheetml.worksheet+xml">
        <DigestMethod Algorithm="http://www.w3.org/2001/04/xmlenc#sha256"/>
        <DigestValue>NQJNbCblbN4KjGzB6Ube72UehGgFxwMtWa4sSxyjdOg=</DigestValue>
      </Reference>
      <Reference URI="/xl/worksheets/sheet27.xml?ContentType=application/vnd.openxmlformats-officedocument.spreadsheetml.worksheet+xml">
        <DigestMethod Algorithm="http://www.w3.org/2001/04/xmlenc#sha256"/>
        <DigestValue>Jb2CwkGJ+LkmyobBDIi/SZ6pFrI4eLF/eLGw/L+26nc=</DigestValue>
      </Reference>
      <Reference URI="/xl/worksheets/sheet28.xml?ContentType=application/vnd.openxmlformats-officedocument.spreadsheetml.worksheet+xml">
        <DigestMethod Algorithm="http://www.w3.org/2001/04/xmlenc#sha256"/>
        <DigestValue>6miw3nimmAraRDD0glPNGvv5ACLO4/z7FcWiYpCzizA=</DigestValue>
      </Reference>
      <Reference URI="/xl/worksheets/sheet29.xml?ContentType=application/vnd.openxmlformats-officedocument.spreadsheetml.worksheet+xml">
        <DigestMethod Algorithm="http://www.w3.org/2001/04/xmlenc#sha256"/>
        <DigestValue>LY150D2tL+i7du6DWmKntT+8XaPhzxCEXEVxX9+Cg+w=</DigestValue>
      </Reference>
      <Reference URI="/xl/worksheets/sheet3.xml?ContentType=application/vnd.openxmlformats-officedocument.spreadsheetml.worksheet+xml">
        <DigestMethod Algorithm="http://www.w3.org/2001/04/xmlenc#sha256"/>
        <DigestValue>ILMzDGEUSYbEXIyJC7VXM5tDXZescdcRGnuzvt9i3RM=</DigestValue>
      </Reference>
      <Reference URI="/xl/worksheets/sheet30.xml?ContentType=application/vnd.openxmlformats-officedocument.spreadsheetml.worksheet+xml">
        <DigestMethod Algorithm="http://www.w3.org/2001/04/xmlenc#sha256"/>
        <DigestValue>Tnwe0NE/EQlII0zYVDn/u7wHNcyOwB+aJJLw3k97aWw=</DigestValue>
      </Reference>
      <Reference URI="/xl/worksheets/sheet31.xml?ContentType=application/vnd.openxmlformats-officedocument.spreadsheetml.worksheet+xml">
        <DigestMethod Algorithm="http://www.w3.org/2001/04/xmlenc#sha256"/>
        <DigestValue>QmEuB+Taj9t426Jv6NHgfaaUYAQjPbm1IPAW4tbVo38=</DigestValue>
      </Reference>
      <Reference URI="/xl/worksheets/sheet32.xml?ContentType=application/vnd.openxmlformats-officedocument.spreadsheetml.worksheet+xml">
        <DigestMethod Algorithm="http://www.w3.org/2001/04/xmlenc#sha256"/>
        <DigestValue>JLquWUDxZtKrclS3K7J+j86a88+6OJfI24zeNtEiqws=</DigestValue>
      </Reference>
      <Reference URI="/xl/worksheets/sheet33.xml?ContentType=application/vnd.openxmlformats-officedocument.spreadsheetml.worksheet+xml">
        <DigestMethod Algorithm="http://www.w3.org/2001/04/xmlenc#sha256"/>
        <DigestValue>Tt5PPy6pn+z8pi5MiBKfP3skJaR2PGG1TKxtRScjdeo=</DigestValue>
      </Reference>
      <Reference URI="/xl/worksheets/sheet4.xml?ContentType=application/vnd.openxmlformats-officedocument.spreadsheetml.worksheet+xml">
        <DigestMethod Algorithm="http://www.w3.org/2001/04/xmlenc#sha256"/>
        <DigestValue>xeVuv3aFCy/2Eyu03XSxN52FapkzNmGtQd3XtJxl/+k=</DigestValue>
      </Reference>
      <Reference URI="/xl/worksheets/sheet5.xml?ContentType=application/vnd.openxmlformats-officedocument.spreadsheetml.worksheet+xml">
        <DigestMethod Algorithm="http://www.w3.org/2001/04/xmlenc#sha256"/>
        <DigestValue>eNwsMPPyaIJPS86PEOupWLwZElA0U2/yFutBYF+eChE=</DigestValue>
      </Reference>
      <Reference URI="/xl/worksheets/sheet6.xml?ContentType=application/vnd.openxmlformats-officedocument.spreadsheetml.worksheet+xml">
        <DigestMethod Algorithm="http://www.w3.org/2001/04/xmlenc#sha256"/>
        <DigestValue>mYnoOslCqdlB6de/5yDlM3DhP7ReAY2ohsOIIqo4B0w=</DigestValue>
      </Reference>
      <Reference URI="/xl/worksheets/sheet7.xml?ContentType=application/vnd.openxmlformats-officedocument.spreadsheetml.worksheet+xml">
        <DigestMethod Algorithm="http://www.w3.org/2001/04/xmlenc#sha256"/>
        <DigestValue>HGC6sAzi5Tnw1t04CgM51Mg92xI0Hbw3w7MwxPFRvzM=</DigestValue>
      </Reference>
      <Reference URI="/xl/worksheets/sheet8.xml?ContentType=application/vnd.openxmlformats-officedocument.spreadsheetml.worksheet+xml">
        <DigestMethod Algorithm="http://www.w3.org/2001/04/xmlenc#sha256"/>
        <DigestValue>+eUGyOSo//2V/FpwqUuKwXvAuO6Bav3plxPFrcmi+nk=</DigestValue>
      </Reference>
      <Reference URI="/xl/worksheets/sheet9.xml?ContentType=application/vnd.openxmlformats-officedocument.spreadsheetml.worksheet+xml">
        <DigestMethod Algorithm="http://www.w3.org/2001/04/xmlenc#sha256"/>
        <DigestValue>Ukws0MtWepHDhbmTQSwwj2fmY1KKwrpL3INkyqM1XIs=</DigestValue>
      </Reference>
    </Manifest>
    <SignatureProperties>
      <SignatureProperty Id="idSignatureTime" Target="#idPackageSignature">
        <mdssi:SignatureTime xmlns:mdssi="http://schemas.openxmlformats.org/package/2006/digital-signature">
          <mdssi:Format>YYYY-MM-DDThh:mm:ssTZD</mdssi:Format>
          <mdssi:Value>2025-07-23T15:14:09Z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nbg reporting</SignatureComments>
          <WindowsVersion>10.0</WindowsVersion>
          <OfficeVersion>16.0.18925/26</OfficeVersion>
          <ApplicationVersion>16.0.18925</ApplicationVersion>
          <Monitors>1</Monitors>
          <HorizontalResolution>3840</HorizontalResolution>
          <VerticalResolution>2160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2025-07-23T15:14:09Z</xd:SigningTime>
          <xd:SigningCertificate>
            <xd:Cert>
              <xd:CertDigest>
                <DigestMethod Algorithm="http://www.w3.org/2001/04/xmlenc#sha256"/>
                <DigestValue>Q7Uepn9gkBAEvbbhMzOw/ABQnlA3wu/Avda6gvXjvFg=</DigestValue>
              </xd:CertDigest>
              <xd:IssuerSerial>
                <X509IssuerName>CN=NBG Class 2 INT Sub CA, DC=nbg, DC=ge</X509IssuerName>
                <X509SerialNumber>186280511134098578901232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nbg reporting</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2025-07-22T10:33:44Z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