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9DEC2EA5-A763-4BCC-B08D-8CE6670AAA07}"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 name="Instruction" sheetId="90" r:id="rId32"/>
  </sheets>
  <externalReferences>
    <externalReference r:id="rId33"/>
    <externalReference r:id="rId34"/>
    <externalReference r:id="rId35"/>
  </externalReferences>
  <definedNames>
    <definedName name="_cur1">'[1]Appl (2)'!$F$2:$F$7200</definedName>
    <definedName name="_cur2">'[1]Appl (2)'!$H$2:$H$7200</definedName>
    <definedName name="_xlnm._FilterDatabase" localSheetId="31" hidden="1">Instruction!$A$108:$C$112</definedName>
    <definedName name="_sum1">'[1]Appl (2)'!$E$2:$E$7200</definedName>
    <definedName name="_sum2">'[1]Appl (2)'!$G$2:$G$7200</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96" l="1"/>
  <c r="D20" i="80" l="1"/>
  <c r="D35" i="80"/>
  <c r="G35" i="80"/>
  <c r="D21" i="95"/>
  <c r="C36" i="80" l="1"/>
  <c r="G9" i="80" l="1"/>
  <c r="D15" i="74" l="1"/>
  <c r="D14" i="74"/>
  <c r="C6" i="73" l="1"/>
  <c r="C27" i="94" l="1"/>
  <c r="H10" i="74" l="1"/>
  <c r="H11" i="74"/>
  <c r="H12" i="74"/>
  <c r="H13" i="74"/>
  <c r="H14" i="74"/>
  <c r="H15" i="74"/>
  <c r="H16" i="74"/>
  <c r="H17" i="74"/>
  <c r="H18" i="74"/>
  <c r="H19" i="74"/>
  <c r="H20" i="74"/>
  <c r="H21" i="74"/>
  <c r="H9" i="74"/>
  <c r="F45" i="93" l="1"/>
  <c r="D6" i="93" l="1"/>
  <c r="C6" i="93"/>
  <c r="C18" i="80" l="1"/>
  <c r="D18" i="80"/>
  <c r="E18" i="80"/>
  <c r="F18" i="80"/>
  <c r="R13" i="104" l="1"/>
  <c r="R19" i="104" s="1"/>
  <c r="Q13" i="104"/>
  <c r="Q19" i="104" s="1"/>
  <c r="P13" i="104"/>
  <c r="P19" i="104" s="1"/>
  <c r="O13" i="104"/>
  <c r="O19" i="104" s="1"/>
  <c r="N13" i="104"/>
  <c r="M13" i="104" s="1"/>
  <c r="M20" i="104"/>
  <c r="M18" i="104"/>
  <c r="M17" i="104"/>
  <c r="M16" i="104"/>
  <c r="M15" i="104"/>
  <c r="M14" i="104"/>
  <c r="M12" i="104"/>
  <c r="M11" i="104"/>
  <c r="M10" i="104"/>
  <c r="M9" i="104"/>
  <c r="M8" i="104"/>
  <c r="M7" i="104"/>
  <c r="L13" i="104"/>
  <c r="L19" i="104" s="1"/>
  <c r="K13" i="104"/>
  <c r="K19" i="104" s="1"/>
  <c r="J13" i="104"/>
  <c r="J19" i="104" s="1"/>
  <c r="I13" i="104"/>
  <c r="H20" i="104"/>
  <c r="H18" i="104"/>
  <c r="H17" i="104"/>
  <c r="H16" i="104"/>
  <c r="H15" i="104"/>
  <c r="H14" i="104"/>
  <c r="H12" i="104"/>
  <c r="H11" i="104"/>
  <c r="H10" i="104"/>
  <c r="H9" i="104"/>
  <c r="H8" i="104"/>
  <c r="H7" i="104"/>
  <c r="G13" i="104"/>
  <c r="G19" i="104" s="1"/>
  <c r="F13" i="104"/>
  <c r="F19" i="104" s="1"/>
  <c r="E13" i="104"/>
  <c r="E19" i="104" s="1"/>
  <c r="D13" i="104"/>
  <c r="D19" i="104" s="1"/>
  <c r="C20" i="104"/>
  <c r="C18" i="104"/>
  <c r="C17" i="104"/>
  <c r="C16" i="104"/>
  <c r="C15" i="104"/>
  <c r="C14" i="104"/>
  <c r="C13" i="104" s="1"/>
  <c r="C12" i="104"/>
  <c r="C11" i="104"/>
  <c r="C10" i="104"/>
  <c r="C9" i="104"/>
  <c r="C8" i="104"/>
  <c r="C7" i="104"/>
  <c r="H13" i="104" l="1"/>
  <c r="H19" i="104" s="1"/>
  <c r="N19" i="104"/>
  <c r="I19" i="104"/>
  <c r="C19" i="104"/>
  <c r="M19" i="104"/>
  <c r="C21" i="101" l="1"/>
  <c r="C20" i="101"/>
  <c r="C19" i="101"/>
  <c r="C18" i="101"/>
  <c r="C17" i="101"/>
  <c r="C15" i="101"/>
  <c r="C14" i="101"/>
  <c r="W10" i="101"/>
  <c r="K10" i="101"/>
  <c r="C13" i="101"/>
  <c r="X10" i="101"/>
  <c r="C12" i="101"/>
  <c r="T10" i="101"/>
  <c r="M10" i="101"/>
  <c r="L10" i="101"/>
  <c r="H10" i="101"/>
  <c r="C11" i="101"/>
  <c r="AA10" i="101"/>
  <c r="Z10" i="101"/>
  <c r="Y10" i="101"/>
  <c r="V10" i="101"/>
  <c r="U10" i="101"/>
  <c r="S10" i="101"/>
  <c r="R10" i="101"/>
  <c r="Q10" i="101"/>
  <c r="P10" i="101"/>
  <c r="O10" i="101"/>
  <c r="N10" i="101"/>
  <c r="J10" i="101"/>
  <c r="I10" i="101"/>
  <c r="G10" i="101"/>
  <c r="F10" i="101"/>
  <c r="E10" i="101"/>
  <c r="C9" i="101"/>
  <c r="C8" i="101"/>
  <c r="C10" i="101" l="1"/>
  <c r="D10" i="101"/>
  <c r="I33" i="102" l="1"/>
  <c r="J33" i="102"/>
  <c r="K33" i="102"/>
  <c r="L33" i="102"/>
  <c r="H8" i="102"/>
  <c r="H9" i="102"/>
  <c r="H10" i="102"/>
  <c r="H11" i="102"/>
  <c r="H12" i="102"/>
  <c r="H13" i="102"/>
  <c r="H14" i="102"/>
  <c r="H15" i="102"/>
  <c r="H16" i="102"/>
  <c r="H17" i="102"/>
  <c r="H18" i="102"/>
  <c r="H19" i="102"/>
  <c r="H20" i="102"/>
  <c r="H21" i="102"/>
  <c r="H22" i="102"/>
  <c r="H23" i="102"/>
  <c r="H24" i="102"/>
  <c r="H25" i="102"/>
  <c r="H26" i="102"/>
  <c r="H27" i="102"/>
  <c r="H28" i="102"/>
  <c r="H29" i="102"/>
  <c r="H30" i="102"/>
  <c r="H31" i="102"/>
  <c r="H32" i="102"/>
  <c r="H7" i="102"/>
  <c r="H33" i="102" s="1"/>
  <c r="D33" i="102"/>
  <c r="E33" i="102"/>
  <c r="F33" i="102"/>
  <c r="G33" i="102"/>
  <c r="C8" i="102"/>
  <c r="C9" i="102"/>
  <c r="C10" i="102"/>
  <c r="C11" i="102"/>
  <c r="C12" i="102"/>
  <c r="C13" i="102"/>
  <c r="C14" i="102"/>
  <c r="C15" i="102"/>
  <c r="C16" i="102"/>
  <c r="C17" i="102"/>
  <c r="C18" i="102"/>
  <c r="C19" i="102"/>
  <c r="C20" i="102"/>
  <c r="C21" i="102"/>
  <c r="C22" i="102"/>
  <c r="C23" i="102"/>
  <c r="C24" i="102"/>
  <c r="C25" i="102"/>
  <c r="C26" i="102"/>
  <c r="C27" i="102"/>
  <c r="C28" i="102"/>
  <c r="C29" i="102"/>
  <c r="C30" i="102"/>
  <c r="C31" i="102"/>
  <c r="C32" i="102"/>
  <c r="C7" i="102"/>
  <c r="C33" i="102" l="1"/>
  <c r="D15" i="100"/>
  <c r="C15" i="100" s="1"/>
  <c r="AA8" i="100"/>
  <c r="Z8" i="100"/>
  <c r="Y8" i="100"/>
  <c r="X8" i="100"/>
  <c r="W8" i="100"/>
  <c r="V8" i="100"/>
  <c r="U8" i="100"/>
  <c r="T8" i="100"/>
  <c r="S8" i="100"/>
  <c r="R8" i="100"/>
  <c r="Q8" i="100"/>
  <c r="P8" i="100"/>
  <c r="O8" i="100"/>
  <c r="N8" i="100"/>
  <c r="M8" i="100"/>
  <c r="L8" i="100"/>
  <c r="K8" i="100"/>
  <c r="J8" i="100"/>
  <c r="I8" i="100"/>
  <c r="H8" i="100"/>
  <c r="G8" i="100"/>
  <c r="F8" i="100"/>
  <c r="E8" i="100"/>
  <c r="D8" i="100"/>
  <c r="C22" i="100"/>
  <c r="C17" i="100"/>
  <c r="C14" i="100"/>
  <c r="C13" i="100"/>
  <c r="C8" i="100" l="1"/>
  <c r="C7" i="79"/>
  <c r="J23" i="36" l="1"/>
  <c r="I23" i="36"/>
  <c r="K23" i="36" s="1"/>
  <c r="G23" i="36"/>
  <c r="F23" i="36"/>
  <c r="H23" i="36" s="1"/>
  <c r="K20" i="36"/>
  <c r="K19" i="36"/>
  <c r="K18" i="36"/>
  <c r="H20" i="36"/>
  <c r="H19" i="36"/>
  <c r="H21" i="36" s="1"/>
  <c r="H18" i="36"/>
  <c r="E19" i="36"/>
  <c r="E20" i="36"/>
  <c r="E18" i="36"/>
  <c r="D21" i="36"/>
  <c r="F21" i="36"/>
  <c r="G21" i="36"/>
  <c r="I21" i="36"/>
  <c r="J21" i="36"/>
  <c r="C21" i="36"/>
  <c r="J16" i="36"/>
  <c r="I16" i="36"/>
  <c r="K15" i="36"/>
  <c r="K14" i="36"/>
  <c r="K13" i="36"/>
  <c r="K12" i="36"/>
  <c r="K11" i="36"/>
  <c r="K10" i="36"/>
  <c r="K16" i="36" s="1"/>
  <c r="K8" i="36"/>
  <c r="H8" i="36"/>
  <c r="H15" i="36"/>
  <c r="H14" i="36"/>
  <c r="H13" i="36"/>
  <c r="H12" i="36"/>
  <c r="H11" i="36"/>
  <c r="H10" i="36"/>
  <c r="H16" i="36" s="1"/>
  <c r="G16" i="36"/>
  <c r="G24" i="36" s="1"/>
  <c r="F16" i="36"/>
  <c r="D16" i="36"/>
  <c r="C16" i="36"/>
  <c r="E11" i="36"/>
  <c r="E12" i="36"/>
  <c r="E13" i="36"/>
  <c r="E14" i="36"/>
  <c r="E15" i="36"/>
  <c r="E10" i="36"/>
  <c r="E16" i="36" s="1"/>
  <c r="J24" i="36" l="1"/>
  <c r="J25" i="36" s="1"/>
  <c r="I24" i="36"/>
  <c r="I25" i="36" s="1"/>
  <c r="K21" i="36"/>
  <c r="K24" i="36"/>
  <c r="K25" i="36" s="1"/>
  <c r="F24" i="36"/>
  <c r="H24" i="36"/>
  <c r="H25" i="36" s="1"/>
  <c r="G25" i="36"/>
  <c r="E21" i="36"/>
  <c r="F25" i="36"/>
  <c r="F14" i="74" l="1"/>
  <c r="H8" i="74"/>
  <c r="C22" i="74" l="1"/>
  <c r="C8" i="35" l="1"/>
  <c r="E34" i="72" l="1"/>
  <c r="E36" i="72"/>
  <c r="E35" i="72"/>
  <c r="E33" i="72" l="1"/>
  <c r="E32" i="72"/>
  <c r="E30" i="72"/>
  <c r="E29" i="72"/>
  <c r="E27" i="72"/>
  <c r="E26" i="72"/>
  <c r="E24" i="72"/>
  <c r="E23" i="72"/>
  <c r="E22" i="72"/>
  <c r="E21" i="72"/>
  <c r="E19" i="72"/>
  <c r="E18" i="72"/>
  <c r="E17" i="72"/>
  <c r="E10" i="72"/>
  <c r="E11" i="72"/>
  <c r="E12" i="72"/>
  <c r="E13" i="72"/>
  <c r="E14" i="72"/>
  <c r="E15" i="72"/>
  <c r="E9" i="72"/>
  <c r="G69" i="92" l="1"/>
  <c r="F69" i="92"/>
  <c r="D7" i="92"/>
  <c r="F17" i="94" l="1"/>
  <c r="F14" i="94" s="1"/>
  <c r="G14" i="94"/>
  <c r="G45" i="93"/>
  <c r="F29" i="93"/>
  <c r="F27" i="92"/>
  <c r="F24" i="92"/>
  <c r="G38" i="94" l="1"/>
  <c r="F38" i="94"/>
  <c r="C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D15" i="98" s="1"/>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21" i="96" l="1"/>
  <c r="C15" i="98"/>
  <c r="H34" i="97"/>
  <c r="H22" i="95"/>
  <c r="C62" i="69"/>
  <c r="C67" i="69" s="1"/>
  <c r="C58" i="69"/>
  <c r="C46" i="69"/>
  <c r="C52" i="69" s="1"/>
  <c r="C40" i="69"/>
  <c r="C35" i="69"/>
  <c r="C29" i="69"/>
  <c r="C26" i="69"/>
  <c r="C23" i="69"/>
  <c r="C18" i="69"/>
  <c r="C14" i="69"/>
  <c r="C6" i="69"/>
  <c r="D8" i="72"/>
  <c r="D37" i="72" s="1"/>
  <c r="E8" i="72"/>
  <c r="D16" i="72"/>
  <c r="E16" i="72"/>
  <c r="D20" i="72"/>
  <c r="E20" i="72"/>
  <c r="D25" i="72"/>
  <c r="E25" i="72"/>
  <c r="D28" i="72"/>
  <c r="E28" i="72"/>
  <c r="D31" i="72"/>
  <c r="E31" i="72"/>
  <c r="C31" i="72"/>
  <c r="C28" i="72"/>
  <c r="C37" i="72" s="1"/>
  <c r="C25" i="72"/>
  <c r="C20" i="72"/>
  <c r="C16" i="72"/>
  <c r="C8" i="72"/>
  <c r="E37" i="72" l="1"/>
  <c r="C68" i="69"/>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H34" i="93" s="1"/>
  <c r="D34" i="93"/>
  <c r="C34" i="93"/>
  <c r="E34" i="93" s="1"/>
  <c r="H33" i="93"/>
  <c r="E33" i="93"/>
  <c r="H32" i="93"/>
  <c r="E32" i="93"/>
  <c r="H31" i="93"/>
  <c r="E31" i="93"/>
  <c r="H30" i="93"/>
  <c r="E30" i="93"/>
  <c r="G29" i="93"/>
  <c r="H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G43" i="93" s="1"/>
  <c r="F6" i="93"/>
  <c r="G68" i="92"/>
  <c r="F68" i="92"/>
  <c r="H67" i="92"/>
  <c r="E67" i="92"/>
  <c r="H66" i="92"/>
  <c r="E66" i="92"/>
  <c r="H65" i="92"/>
  <c r="E65" i="92"/>
  <c r="H64" i="92"/>
  <c r="E64" i="92"/>
  <c r="H63" i="92"/>
  <c r="D63" i="92"/>
  <c r="C63" i="92"/>
  <c r="H62" i="92"/>
  <c r="E62" i="92"/>
  <c r="H61" i="92"/>
  <c r="E61" i="92"/>
  <c r="H60" i="92"/>
  <c r="E60" i="92"/>
  <c r="H59" i="92"/>
  <c r="E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G53" i="92" s="1"/>
  <c r="F41" i="92"/>
  <c r="D41" i="92"/>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G27" i="92"/>
  <c r="H27" i="92"/>
  <c r="D27" i="92"/>
  <c r="C27" i="92"/>
  <c r="E27" i="92" s="1"/>
  <c r="H26" i="92"/>
  <c r="E26" i="92"/>
  <c r="H25" i="92"/>
  <c r="E25" i="92"/>
  <c r="G24" i="92"/>
  <c r="D24" i="92"/>
  <c r="C24" i="92"/>
  <c r="H23" i="92"/>
  <c r="E23" i="92"/>
  <c r="H22" i="92"/>
  <c r="E22" i="92"/>
  <c r="H21" i="92"/>
  <c r="E21" i="92"/>
  <c r="H20" i="92"/>
  <c r="E20" i="92"/>
  <c r="G19" i="92"/>
  <c r="F19" i="92"/>
  <c r="H19" i="92" s="1"/>
  <c r="D19" i="92"/>
  <c r="C19" i="92"/>
  <c r="H18" i="92"/>
  <c r="E18" i="92"/>
  <c r="H17" i="92"/>
  <c r="E17" i="92"/>
  <c r="H16" i="92"/>
  <c r="E16" i="92"/>
  <c r="G15" i="92"/>
  <c r="H15" i="92" s="1"/>
  <c r="F15" i="92"/>
  <c r="E15" i="92"/>
  <c r="D15" i="92"/>
  <c r="C15" i="92"/>
  <c r="H14" i="92"/>
  <c r="E14" i="92"/>
  <c r="H13" i="92"/>
  <c r="E13" i="92"/>
  <c r="H12" i="92"/>
  <c r="E12" i="92"/>
  <c r="H11" i="92"/>
  <c r="E11" i="92"/>
  <c r="H10" i="92"/>
  <c r="E10" i="92"/>
  <c r="H9" i="92"/>
  <c r="E9" i="92"/>
  <c r="H8" i="92"/>
  <c r="E8" i="92"/>
  <c r="G7" i="92"/>
  <c r="F7" i="92"/>
  <c r="H7" i="92" s="1"/>
  <c r="C7" i="92"/>
  <c r="C36" i="92" s="1"/>
  <c r="E37" i="93" l="1"/>
  <c r="E13" i="93"/>
  <c r="E41" i="92"/>
  <c r="E19" i="92"/>
  <c r="H41" i="92"/>
  <c r="E47" i="92"/>
  <c r="D36" i="92"/>
  <c r="E36" i="92" s="1"/>
  <c r="E30" i="92"/>
  <c r="H47" i="92"/>
  <c r="G36" i="92"/>
  <c r="E63" i="92"/>
  <c r="E24" i="92"/>
  <c r="C43" i="93"/>
  <c r="C45" i="93" s="1"/>
  <c r="C68" i="92"/>
  <c r="E68" i="92" s="1"/>
  <c r="E6" i="93"/>
  <c r="F36" i="92"/>
  <c r="D53" i="92"/>
  <c r="D69" i="92" s="1"/>
  <c r="D68" i="92"/>
  <c r="F43" i="93"/>
  <c r="H45" i="93" s="1"/>
  <c r="H37" i="93"/>
  <c r="H8" i="94"/>
  <c r="E8" i="94"/>
  <c r="E14" i="94"/>
  <c r="H38" i="94"/>
  <c r="E30" i="94"/>
  <c r="E11" i="94"/>
  <c r="E17" i="94"/>
  <c r="H11" i="94"/>
  <c r="H14" i="94"/>
  <c r="H6" i="93"/>
  <c r="D43" i="93"/>
  <c r="D45" i="93" s="1"/>
  <c r="H69" i="92"/>
  <c r="C53" i="92"/>
  <c r="H68" i="92"/>
  <c r="F53" i="92"/>
  <c r="H53" i="92" s="1"/>
  <c r="E7" i="92"/>
  <c r="H24" i="92"/>
  <c r="C69" i="92" l="1"/>
  <c r="E69" i="92" s="1"/>
  <c r="C6" i="79" s="1"/>
  <c r="H43" i="93"/>
  <c r="H36" i="92"/>
  <c r="E45" i="93"/>
  <c r="E43" i="93"/>
  <c r="E53" i="92"/>
  <c r="B1" i="80" l="1"/>
  <c r="G33" i="80"/>
  <c r="F33" i="80"/>
  <c r="E33" i="80"/>
  <c r="D33" i="80"/>
  <c r="C33" i="80"/>
  <c r="G24" i="80"/>
  <c r="G37" i="80" s="1"/>
  <c r="F24" i="80"/>
  <c r="E24" i="80"/>
  <c r="D24" i="80"/>
  <c r="C24" i="80"/>
  <c r="G18" i="80"/>
  <c r="G14" i="80"/>
  <c r="F14" i="80"/>
  <c r="E14" i="80"/>
  <c r="D14" i="80"/>
  <c r="C14" i="80"/>
  <c r="G11" i="80"/>
  <c r="F11" i="80"/>
  <c r="E11" i="80"/>
  <c r="D11" i="80"/>
  <c r="C11" i="80"/>
  <c r="G8" i="80"/>
  <c r="F8" i="80"/>
  <c r="E8" i="80"/>
  <c r="D8" i="80"/>
  <c r="G21" i="80" l="1"/>
  <c r="G39" i="80" s="1"/>
  <c r="G6" i="71"/>
  <c r="G13" i="71" s="1"/>
  <c r="F6" i="71"/>
  <c r="F13" i="71" s="1"/>
  <c r="E6" i="71"/>
  <c r="E13" i="71" s="1"/>
  <c r="D6" i="71"/>
  <c r="D13" i="71" s="1"/>
  <c r="C6" i="71"/>
  <c r="C13" i="71" s="1"/>
  <c r="B18" i="105" s="1"/>
  <c r="C35" i="79" l="1"/>
  <c r="B1" i="79" l="1"/>
  <c r="B1" i="37"/>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C12" i="79" s="1"/>
  <c r="C18" i="79" s="1"/>
  <c r="C36" i="79" s="1"/>
  <c r="N7" i="37"/>
  <c r="N21" i="37" s="1"/>
  <c r="K7" i="37"/>
  <c r="K21" i="37" s="1"/>
  <c r="C38" i="79" l="1"/>
  <c r="B19" i="105"/>
  <c r="C5" i="73"/>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sharedStrings.xml><?xml version="1.0" encoding="utf-8"?>
<sst xmlns="http://schemas.openxmlformats.org/spreadsheetml/2006/main" count="1647" uniqueCount="1037">
  <si>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</si>
  <si>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</si>
  <si>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</si>
  <si>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</si>
  <si>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</si>
  <si>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</si>
  <si>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</si>
  <si>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</si>
  <si>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</si>
  <si>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</si>
  <si>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</si>
  <si>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</si>
  <si>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</si>
  <si>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</si>
  <si>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</si>
  <si>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</si>
  <si>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</si>
  <si>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</si>
  <si>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</si>
  <si>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</si>
  <si>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</si>
  <si>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</si>
  <si>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</si>
  <si>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</si>
  <si>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</si>
  <si>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</si>
  <si>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</si>
  <si>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</si>
  <si>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</si>
  <si>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</si>
  <si>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</si>
  <si>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</si>
  <si>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</si>
  <si>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</si>
  <si>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</si>
  <si>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</si>
  <si>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</si>
  <si>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</si>
  <si>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</si>
  <si>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</si>
  <si>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</si>
  <si>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</si>
  <si>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</si>
  <si>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</si>
  <si>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</si>
  <si>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</si>
  <si>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</si>
  <si>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</si>
  <si>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</si>
  <si>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</si>
  <si>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</si>
  <si>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</si>
  <si>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</si>
  <si>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</si>
  <si>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</si>
  <si>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</si>
  <si>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</si>
  <si>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</si>
  <si>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</si>
  <si>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</si>
  <si>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</si>
  <si>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</si>
  <si>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</si>
  <si>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</si>
  <si>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</si>
  <si>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</si>
  <si>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</si>
  <si>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</si>
  <si>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</si>
  <si>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</si>
  <si>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</si>
  <si>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</si>
  <si>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</si>
  <si>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</si>
  <si>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</si>
  <si>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</si>
  <si>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</si>
  <si>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</si>
  <si>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</si>
  <si>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</si>
  <si>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</si>
  <si>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</si>
  <si>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</si>
  <si>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</si>
  <si>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</si>
  <si>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</si>
  <si>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</si>
  <si>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</si>
  <si>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</si>
  <si>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</si>
  <si>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</si>
  <si>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</si>
  <si>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</si>
  <si>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</si>
  <si>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</si>
  <si>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</si>
  <si>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</si>
  <si>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</si>
  <si>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</si>
  <si>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</si>
  <si>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</si>
  <si>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</si>
  <si>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</si>
  <si>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</si>
  <si>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</si>
  <si>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</si>
  <si>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</si>
  <si>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</si>
  <si>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</si>
  <si>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</si>
  <si>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</si>
  <si>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</si>
  <si>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</si>
  <si>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</si>
  <si>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</si>
  <si>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</si>
  <si>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</si>
  <si>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</si>
  <si>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</si>
  <si>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</si>
  <si>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</si>
  <si>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</si>
  <si>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</si>
  <si>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</si>
  <si>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</si>
  <si>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</si>
  <si>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</si>
  <si>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</si>
  <si>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</si>
  <si>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</si>
  <si>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</si>
  <si>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</si>
  <si>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</si>
  <si>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</si>
  <si>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</si>
  <si>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</si>
  <si>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</si>
  <si>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</si>
  <si>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</si>
  <si>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</si>
  <si>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</si>
  <si>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</si>
  <si>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</si>
  <si>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</si>
  <si>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</si>
  <si>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</si>
  <si>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</si>
  <si>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</si>
  <si>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</si>
  <si>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</si>
  <si>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</si>
  <si>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</si>
  <si>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</si>
  <si>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</si>
  <si>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</si>
  <si>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</si>
  <si>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</si>
  <si>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</si>
  <si>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</si>
  <si>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</si>
  <si>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</si>
  <si>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</si>
  <si>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</si>
  <si>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</si>
  <si>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</si>
  <si>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</si>
  <si>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</si>
  <si>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</si>
  <si>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</si>
  <si>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</si>
  <si>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</si>
  <si>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</si>
  <si>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</si>
  <si>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</si>
  <si>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</si>
  <si>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</si>
  <si>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</si>
  <si>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</si>
  <si>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</si>
  <si>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</si>
  <si>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</si>
  <si>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</si>
  <si>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</si>
  <si>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</si>
  <si>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</si>
  <si>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</si>
  <si>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</si>
  <si>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</si>
  <si>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</si>
  <si>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</si>
  <si>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</si>
  <si>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</si>
  <si>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</si>
  <si>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</si>
  <si>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</si>
  <si>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</si>
  <si>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</si>
  <si>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</si>
  <si>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</si>
  <si>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</si>
  <si>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</si>
  <si>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</si>
  <si>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</si>
  <si>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</si>
  <si>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</si>
  <si>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</si>
  <si>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</si>
  <si>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</si>
  <si>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</si>
  <si>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</si>
  <si>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</si>
  <si>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</si>
  <si>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</si>
  <si>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</si>
  <si>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</si>
  <si>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</si>
  <si>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</si>
  <si>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</si>
  <si>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</si>
  <si>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</si>
  <si>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</si>
  <si>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</si>
  <si>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</si>
  <si>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</si>
  <si>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</si>
  <si>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</si>
  <si>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</si>
  <si>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</si>
  <si>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</si>
  <si>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</si>
  <si>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</si>
  <si>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</si>
  <si>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</si>
  <si>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</si>
  <si>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</si>
  <si>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</si>
  <si>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</si>
  <si>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</si>
  <si>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</si>
  <si>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</si>
  <si>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</si>
  <si>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</si>
  <si>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</si>
  <si>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</si>
  <si>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</si>
  <si>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</si>
  <si>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</si>
  <si>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</si>
  <si>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</si>
  <si>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</si>
  <si>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</si>
  <si>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</si>
  <si>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</si>
  <si>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</si>
  <si>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</si>
  <si>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</si>
  <si>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</si>
  <si>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</si>
  <si>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</si>
  <si>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</si>
  <si>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</si>
  <si>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</si>
  <si>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</si>
  <si>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</si>
  <si>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</si>
  <si>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</si>
  <si>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</si>
  <si>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</si>
  <si>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</si>
  <si>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</si>
  <si>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</si>
  <si>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</si>
  <si>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</si>
  <si>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</si>
  <si>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</si>
  <si>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</si>
  <si>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</si>
  <si>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</si>
  <si>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</si>
  <si>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</si>
  <si>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</si>
  <si>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</si>
  <si>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</si>
  <si>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</si>
  <si>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</si>
  <si>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</si>
  <si>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</si>
  <si>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</si>
  <si>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</si>
  <si>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</si>
  <si>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</si>
  <si>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</si>
  <si>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</si>
  <si>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</si>
  <si>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</si>
  <si>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</si>
  <si>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</si>
  <si>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</si>
  <si>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</si>
  <si>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</si>
  <si>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</si>
  <si>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</si>
  <si>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</si>
  <si>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</si>
  <si>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</si>
  <si>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</si>
  <si>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</si>
  <si>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</si>
  <si>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</si>
  <si>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</si>
  <si>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</si>
  <si>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</si>
  <si>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</si>
  <si>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</si>
  <si>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</si>
  <si>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</si>
  <si>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</si>
  <si>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</si>
  <si>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</si>
  <si>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</si>
  <si>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</si>
  <si>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</si>
  <si>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</si>
  <si>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</si>
  <si>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</si>
  <si>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</si>
  <si>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</si>
  <si>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</si>
  <si>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</si>
  <si>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</si>
  <si>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</si>
  <si>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</si>
  <si>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</si>
  <si>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</si>
  <si>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</si>
  <si>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</si>
  <si>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</si>
  <si>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</si>
  <si>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</si>
  <si>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</si>
  <si>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</si>
  <si>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</si>
  <si>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</si>
  <si>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</si>
  <si>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</si>
  <si>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</si>
  <si>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</si>
  <si>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</si>
  <si>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</si>
  <si>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</si>
  <si>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</si>
  <si>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</si>
  <si>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</si>
  <si>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</si>
  <si>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</si>
  <si>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</si>
  <si>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</si>
  <si>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</si>
  <si>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</si>
  <si>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</si>
  <si>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</si>
  <si>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</si>
  <si>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</si>
  <si>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</si>
  <si>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</si>
  <si>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</si>
  <si>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</si>
  <si>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</si>
  <si>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</si>
  <si>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</si>
  <si>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</si>
  <si>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</si>
  <si>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</si>
  <si>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</si>
  <si>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</si>
  <si>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</si>
  <si>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</si>
  <si>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</si>
  <si>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</si>
  <si>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</si>
  <si>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</si>
  <si>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</si>
  <si>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</si>
  <si>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</si>
  <si>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</si>
  <si>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</si>
  <si>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</si>
  <si>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</si>
  <si>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</si>
  <si>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</si>
  <si>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</si>
  <si>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</si>
  <si>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</si>
  <si>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</si>
  <si>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</si>
  <si>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</si>
  <si>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</si>
  <si>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</si>
  <si>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</si>
  <si>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</si>
  <si>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</si>
  <si>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</si>
  <si>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</si>
  <si>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</si>
  <si>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</si>
  <si>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</si>
  <si>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</si>
  <si>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</si>
  <si>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</si>
  <si>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</si>
  <si>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</si>
  <si>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</si>
  <si>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</si>
  <si>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</si>
  <si>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</si>
  <si>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</si>
  <si>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</si>
  <si>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</si>
  <si>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</si>
  <si>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</si>
  <si>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</si>
  <si>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</si>
  <si>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</si>
  <si>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</si>
  <si>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</si>
  <si>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</si>
  <si>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</si>
  <si>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</si>
  <si>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</si>
  <si>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</si>
  <si>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</si>
  <si>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</si>
  <si>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</si>
  <si>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</si>
  <si>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</si>
  <si>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</si>
  <si>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</si>
  <si>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</si>
  <si>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</si>
  <si>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</si>
  <si>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</si>
  <si>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</si>
  <si>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</si>
  <si>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</si>
  <si>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</si>
  <si>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</si>
  <si>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</si>
  <si>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</si>
  <si>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</si>
  <si>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</si>
  <si>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</si>
  <si>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</si>
  <si>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</si>
  <si>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</si>
  <si>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</si>
  <si>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</si>
  <si>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</si>
  <si>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</si>
  <si>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</si>
  <si>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</si>
  <si>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</si>
  <si>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</si>
  <si>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</si>
  <si>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</si>
  <si>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</si>
  <si>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</si>
  <si>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</si>
  <si>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</si>
  <si>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</si>
  <si>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</si>
  <si>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</si>
  <si>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</si>
  <si>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</si>
  <si>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</si>
  <si>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</si>
  <si>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</si>
  <si>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</si>
  <si>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</si>
  <si>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</si>
  <si>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</si>
  <si>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</si>
  <si>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</si>
  <si>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</si>
  <si>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</si>
  <si>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</si>
  <si>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</si>
  <si>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</si>
  <si>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</si>
  <si>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</si>
  <si>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</si>
  <si>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</si>
  <si>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</si>
  <si>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</si>
  <si>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</si>
  <si>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</si>
  <si>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</si>
  <si>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</si>
  <si>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</si>
  <si>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</si>
  <si>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</si>
  <si>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</si>
  <si>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</si>
  <si>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</si>
  <si>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</si>
  <si>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</si>
  <si>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</si>
  <si>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</si>
  <si>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</si>
  <si>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</si>
  <si>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</si>
  <si>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</si>
  <si>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</si>
  <si>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</si>
  <si>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</si>
  <si>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</si>
  <si>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</si>
  <si>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</si>
  <si>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</si>
  <si>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</si>
  <si>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</si>
  <si>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</si>
  <si>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</si>
  <si>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</si>
  <si>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</si>
  <si>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</si>
  <si>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</si>
  <si>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</si>
  <si>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</si>
  <si>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</si>
  <si>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</si>
  <si>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</si>
  <si>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</si>
  <si>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</si>
  <si>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</si>
  <si>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</si>
  <si>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</si>
  <si>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</si>
  <si>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</si>
  <si>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</si>
  <si>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</si>
  <si>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</si>
  <si>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</si>
  <si>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</si>
  <si>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</si>
  <si>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</si>
  <si>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</si>
  <si>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</si>
  <si>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</si>
  <si>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</si>
  <si>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</si>
  <si>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</si>
  <si>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</si>
  <si>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</si>
  <si>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</si>
  <si>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</si>
  <si>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</si>
  <si>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</si>
  <si>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</si>
  <si>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</si>
  <si>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</si>
  <si>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</si>
  <si>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</si>
  <si>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</si>
  <si>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</si>
  <si>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</si>
  <si>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</si>
  <si>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</si>
  <si>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</si>
  <si>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</si>
  <si>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</si>
  <si>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</si>
  <si>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</si>
  <si>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</si>
  <si>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</si>
  <si>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</si>
  <si>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</si>
  <si>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</si>
  <si>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</si>
  <si>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</si>
  <si>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</si>
  <si>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</si>
  <si>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</si>
  <si>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</si>
  <si>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</si>
  <si>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</si>
  <si>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</si>
  <si>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</si>
  <si>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</si>
  <si>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</si>
  <si>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</si>
  <si>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</si>
  <si>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</si>
  <si>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</si>
  <si>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</si>
  <si>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</si>
  <si>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</si>
  <si>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</si>
  <si>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</si>
  <si>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</si>
  <si>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</si>
  <si>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</si>
  <si>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</si>
  <si>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</si>
  <si>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</si>
  <si>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</si>
  <si>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</si>
  <si>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</si>
  <si>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</si>
  <si>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</si>
  <si>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</si>
  <si>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</si>
  <si>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</si>
  <si>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</si>
  <si>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</si>
  <si>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</si>
  <si>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</si>
  <si>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</si>
  <si>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</si>
  <si>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</si>
  <si>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</si>
  <si>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</si>
  <si>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</si>
  <si>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</si>
  <si>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</si>
  <si>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</si>
  <si>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</si>
  <si>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</si>
  <si>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</si>
  <si>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</si>
  <si>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</si>
  <si>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</si>
  <si>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</si>
  <si>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</si>
  <si>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</si>
  <si>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</si>
  <si>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</si>
  <si>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</si>
  <si>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</si>
  <si>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</si>
  <si>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</si>
  <si>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</si>
  <si>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</si>
  <si>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</si>
  <si>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</si>
  <si>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</si>
  <si>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</si>
  <si>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</si>
  <si>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</si>
  <si>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</si>
  <si>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</si>
  <si>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</si>
  <si>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</si>
  <si>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</si>
  <si>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</si>
  <si>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</si>
  <si>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</si>
  <si>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</si>
  <si>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</si>
  <si>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</si>
  <si>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</si>
  <si>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</si>
  <si>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</si>
  <si>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</si>
  <si>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</si>
  <si>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</si>
  <si>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</si>
  <si>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</si>
  <si>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</si>
  <si>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</si>
  <si>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</si>
  <si>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</si>
  <si>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</si>
  <si>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</si>
  <si>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</si>
  <si>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</si>
  <si>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</si>
  <si>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</si>
  <si>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</si>
  <si>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</si>
  <si>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</si>
  <si>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</si>
  <si>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</si>
  <si>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</si>
  <si>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</si>
  <si>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</si>
  <si>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</si>
  <si>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</si>
  <si>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</si>
  <si>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</si>
  <si>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</si>
  <si>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</si>
  <si>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</si>
  <si>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</si>
  <si>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</si>
  <si>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</si>
  <si>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</si>
  <si>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</si>
  <si>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</si>
  <si>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</si>
  <si>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</si>
  <si>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</si>
  <si>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</si>
  <si>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</si>
  <si>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</si>
  <si>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</si>
  <si>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</si>
  <si>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</si>
  <si>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</si>
  <si>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</si>
  <si>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</si>
  <si>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</si>
  <si>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</si>
  <si>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</si>
  <si>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</si>
  <si>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</si>
  <si>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</si>
  <si>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</si>
  <si>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</si>
  <si>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</si>
  <si>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</si>
  <si>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</si>
  <si>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</si>
  <si>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</si>
  <si>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</si>
  <si>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</si>
  <si>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</si>
  <si>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</si>
  <si>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</si>
  <si>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</si>
  <si>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</si>
  <si>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</si>
  <si>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</si>
  <si>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</si>
  <si>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</si>
  <si>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</si>
  <si>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</si>
  <si>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</si>
  <si>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</si>
  <si>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</si>
  <si>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</si>
  <si>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</si>
  <si>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</si>
  <si>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</si>
  <si>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</si>
  <si>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</si>
  <si>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</si>
  <si>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</si>
  <si>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</si>
  <si>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</si>
  <si>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</si>
  <si>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</si>
  <si>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</si>
  <si>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</si>
  <si>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</si>
  <si>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</si>
  <si>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</si>
  <si>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</si>
  <si>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</si>
  <si>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</si>
  <si>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</si>
  <si>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</si>
  <si>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</si>
  <si>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</si>
  <si>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</si>
  <si>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</si>
  <si>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</si>
  <si>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</si>
  <si>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</si>
  <si>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</si>
  <si>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</si>
  <si>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</si>
  <si>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</si>
  <si>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</si>
  <si>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</si>
  <si>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</si>
  <si>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</si>
  <si>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</si>
  <si>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</si>
  <si>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</si>
  <si>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</si>
  <si>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</si>
  <si>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</si>
  <si>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</si>
  <si>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</si>
  <si>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</si>
  <si>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</si>
  <si>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</si>
  <si>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</si>
  <si>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</si>
  <si>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</si>
  <si>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</si>
  <si>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</si>
  <si>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</si>
  <si>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</si>
  <si>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</si>
  <si>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</si>
  <si>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</si>
  <si>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</si>
  <si>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</si>
  <si>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</si>
  <si>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</si>
  <si>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</si>
  <si>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</si>
  <si>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</si>
  <si>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</si>
  <si>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</si>
  <si>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</si>
  <si>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</si>
  <si>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</si>
  <si>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</si>
  <si>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</si>
  <si>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</si>
  <si>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</si>
  <si>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</si>
  <si>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</si>
  <si>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</si>
  <si>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</si>
  <si>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</si>
  <si>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</si>
  <si>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</si>
  <si>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</si>
  <si>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</si>
  <si>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</si>
  <si>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</si>
  <si>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</si>
  <si>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</si>
  <si>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</si>
  <si>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</si>
  <si>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</si>
  <si>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</si>
  <si>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</si>
  <si>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</si>
  <si>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</si>
  <si>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</si>
  <si>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</si>
  <si>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</si>
  <si>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</si>
  <si>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</si>
  <si>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</si>
  <si>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</si>
  <si>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</si>
  <si>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</si>
  <si>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</si>
  <si>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</si>
  <si>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</si>
  <si>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</si>
  <si>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</si>
  <si>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</si>
  <si>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</si>
  <si>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</si>
  <si>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</si>
  <si>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</si>
  <si>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</si>
  <si>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</si>
  <si>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</si>
  <si>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</si>
  <si>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</si>
  <si>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</si>
  <si>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</si>
  <si>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</si>
  <si>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</si>
  <si>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</si>
  <si>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</si>
  <si>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</si>
  <si>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</si>
  <si>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</si>
  <si>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</si>
  <si>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</si>
  <si>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</si>
  <si>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</si>
  <si>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</si>
  <si>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</si>
  <si>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</si>
  <si>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</si>
  <si>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</si>
  <si>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</si>
  <si>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</si>
  <si>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</si>
  <si>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</si>
  <si>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</si>
  <si>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</si>
  <si>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</si>
  <si>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</si>
  <si>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</si>
  <si>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</si>
  <si>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</si>
  <si>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</si>
  <si>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</si>
  <si>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</si>
  <si>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</si>
  <si>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</si>
  <si>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</si>
  <si>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</si>
  <si>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</si>
  <si>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</si>
  <si>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</si>
  <si>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</si>
  <si>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</si>
  <si>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</si>
  <si>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</si>
  <si>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</si>
  <si>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</si>
  <si>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</si>
  <si>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</si>
  <si>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</si>
  <si>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</si>
  <si>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</si>
  <si>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</si>
  <si>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</si>
  <si>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</si>
  <si>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</si>
  <si>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</si>
  <si>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</si>
  <si>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</si>
  <si>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</si>
  <si>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</si>
  <si>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</si>
  <si>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</si>
  <si>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</si>
  <si>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</si>
  <si>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</si>
  <si>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</si>
  <si>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</si>
  <si>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</si>
  <si>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</si>
  <si>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</si>
  <si>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</si>
  <si>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</si>
  <si>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</si>
  <si>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</si>
  <si>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</si>
  <si>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</si>
  <si>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</si>
  <si>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</si>
  <si>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</si>
  <si>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</si>
  <si>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</si>
  <si>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</si>
  <si>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</si>
  <si>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</si>
  <si>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</si>
  <si>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</si>
  <si>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</si>
  <si>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</si>
  <si>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</si>
  <si>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</si>
  <si>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</si>
  <si>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</si>
  <si>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</si>
  <si>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</si>
  <si>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</si>
  <si>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</si>
  <si>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</si>
  <si>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</si>
  <si>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</si>
  <si>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</si>
  <si>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</si>
  <si>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</si>
  <si>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</si>
  <si>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</si>
  <si>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</si>
  <si>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</si>
  <si>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</si>
  <si>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</si>
  <si>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</si>
  <si>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</si>
  <si>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</si>
  <si>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</si>
  <si>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</si>
  <si>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</si>
  <si>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</si>
  <si>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</si>
  <si>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</si>
  <si>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</si>
  <si>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</si>
  <si>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</si>
  <si>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</si>
  <si>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</si>
  <si>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</si>
  <si>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</si>
  <si>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</si>
  <si>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</si>
  <si>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</si>
  <si>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</si>
  <si>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</si>
  <si>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</si>
  <si>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</si>
  <si>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</si>
  <si>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</si>
  <si>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</si>
  <si>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</si>
  <si>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</si>
  <si>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</si>
  <si>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</si>
  <si>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</si>
  <si>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</si>
  <si>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 ცხრილი 9 (Capital), C10 </t>
  </si>
  <si>
    <t xml:space="preserve"> ცხრილი 9 (Capital), C38</t>
  </si>
  <si>
    <t xml:space="preserve"> ცხრილი 9 (Capital), C2</t>
  </si>
  <si>
    <t xml:space="preserve"> ცხრილი 9 (Capital), C3</t>
  </si>
  <si>
    <t xml:space="preserve"> ცხრილი 9 (Capital), C6</t>
  </si>
  <si>
    <t>კრედო</t>
  </si>
  <si>
    <t>ტომას ენგელჰარდტი</t>
  </si>
  <si>
    <t>ზაალ ფირცხელავა</t>
  </si>
  <si>
    <t>www.credo.ge</t>
  </si>
  <si>
    <t>Thomas Engelhardt (Germany)</t>
  </si>
  <si>
    <t>არადამოუკიდებელ წევრი-თავმჯდომარე</t>
  </si>
  <si>
    <t>Farah, Katia Chams (Netherlands)</t>
  </si>
  <si>
    <t>არადამოუკიდებელ წევრი</t>
  </si>
  <si>
    <t>Paul-Catalin Panciu (Romania)</t>
  </si>
  <si>
    <t>Johannes Mainhardt (Germany)</t>
  </si>
  <si>
    <t>Andrew Pospielovsky (Great Britain)</t>
  </si>
  <si>
    <t>დამოუკიდებელი წევრი</t>
  </si>
  <si>
    <t>Olga Tomash (Ukraine)</t>
  </si>
  <si>
    <t>გენერალური დირექტორი</t>
  </si>
  <si>
    <t>ერეკლე ზათიაშვილი</t>
  </si>
  <si>
    <t>ფინანსური დირექტორი</t>
  </si>
  <si>
    <t>ზაზა ტყეშელაშვილი</t>
  </si>
  <si>
    <t>საკრედიტო ოპერაციების დირექტორი</t>
  </si>
  <si>
    <t>ნიკოლოზ ქუთათელაძე</t>
  </si>
  <si>
    <t>კომერციული დირექტორი</t>
  </si>
  <si>
    <t>ალექსანდრე ქუმსიაშვილი</t>
  </si>
  <si>
    <t>საინფორმაციო ტექნოლოგიების დირექტორი</t>
  </si>
  <si>
    <t>გიორგი ნადარეიშვილი</t>
  </si>
  <si>
    <t>რისკების დირექტორი</t>
  </si>
  <si>
    <t xml:space="preserve">Triodos Custody B.V., Triodos Fair Share Fund (Netherlands) </t>
  </si>
  <si>
    <t xml:space="preserve">Triodos SICAV II, Triodos Microfinance Fund (Luxembourg) </t>
  </si>
  <si>
    <t>Societe de Promotion et de Participation pour la Cooperation Economique (Proparco)</t>
  </si>
  <si>
    <t>Gojo &amp; C0mpant Inc.</t>
  </si>
  <si>
    <t>British International Investment PLC (UK)</t>
  </si>
  <si>
    <t xml:space="preserve">European Investment Bank (Luxembourg) </t>
  </si>
  <si>
    <t xml:space="preserve">International Finance Corporation (USA) </t>
  </si>
  <si>
    <t xml:space="preserve">Kreditanstalt für Wiederaufbau (Germany) </t>
  </si>
  <si>
    <t xml:space="preserve">LFS Advisory GmbH (Germany) </t>
  </si>
  <si>
    <t>Omidyar Tufts Active Citizenship Trust (USA)</t>
  </si>
  <si>
    <t>Agence Francaise de developpement</t>
  </si>
  <si>
    <t xml:space="preserve">Access Credo GMBH (Germany)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</si>
</sst>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_(* #,##0.0_);_(* \(#,##0.0\);_(* &quot;-&quot;??_);_(@_)"/>
  </numFmts>
  <fonts count="15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9"/>
      <name val="Calibri"/>
      <family val="2"/>
      <scheme val="minor"/>
    </font>
  </fonts>
  <fills count="9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00B050"/>
        <bgColor indexed="64"/>
      </patternFill>
    </fill>
    <fill>
      <patternFill patternType="solid">
        <fgColor rgb="FFFFFF00"/>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9"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41" fillId="65" borderId="39" applyNumberFormat="0" applyAlignment="0" applyProtection="0"/>
    <xf numFmtId="0" fontId="42" fillId="10" borderId="34"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0" fontId="41"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0" fontId="42" fillId="10" borderId="34"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0" fontId="41"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9"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0" fontId="66" fillId="43" borderId="38"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68"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168" fontId="2" fillId="0" borderId="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69"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9"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9"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88" fontId="2" fillId="70" borderId="98" applyFont="0">
      <alignment horizontal="right" vertical="center"/>
    </xf>
    <xf numFmtId="3" fontId="2" fillId="70" borderId="98" applyFont="0">
      <alignment horizontal="right" vertical="center"/>
    </xf>
    <xf numFmtId="0" fontId="83" fillId="64" borderId="103" applyNumberFormat="0" applyAlignment="0" applyProtection="0"/>
    <xf numFmtId="168" fontId="85" fillId="64" borderId="103" applyNumberFormat="0" applyAlignment="0" applyProtection="0"/>
    <xf numFmtId="169" fontId="85" fillId="64" borderId="103" applyNumberFormat="0" applyAlignment="0" applyProtection="0"/>
    <xf numFmtId="168" fontId="85" fillId="64" borderId="103" applyNumberFormat="0" applyAlignment="0" applyProtection="0"/>
    <xf numFmtId="168" fontId="85" fillId="64" borderId="103" applyNumberFormat="0" applyAlignment="0" applyProtection="0"/>
    <xf numFmtId="169" fontId="85" fillId="64" borderId="103" applyNumberFormat="0" applyAlignment="0" applyProtection="0"/>
    <xf numFmtId="168" fontId="85" fillId="64" borderId="103" applyNumberFormat="0" applyAlignment="0" applyProtection="0"/>
    <xf numFmtId="168" fontId="85" fillId="64" borderId="103" applyNumberFormat="0" applyAlignment="0" applyProtection="0"/>
    <xf numFmtId="169" fontId="85" fillId="64" borderId="103" applyNumberFormat="0" applyAlignment="0" applyProtection="0"/>
    <xf numFmtId="168" fontId="85" fillId="64" borderId="103" applyNumberFormat="0" applyAlignment="0" applyProtection="0"/>
    <xf numFmtId="168" fontId="85" fillId="64" borderId="103" applyNumberFormat="0" applyAlignment="0" applyProtection="0"/>
    <xf numFmtId="169" fontId="85" fillId="64" borderId="103" applyNumberFormat="0" applyAlignment="0" applyProtection="0"/>
    <xf numFmtId="168" fontId="85"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169" fontId="85"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168" fontId="85"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168" fontId="85"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0" fontId="83" fillId="64" borderId="103" applyNumberFormat="0" applyAlignment="0" applyProtection="0"/>
    <xf numFmtId="3" fontId="2" fillId="75" borderId="98" applyFont="0">
      <alignment horizontal="right" vertical="center"/>
      <protection locked="0"/>
    </xf>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 fillId="74" borderId="102" applyNumberFormat="0" applyFont="0" applyAlignment="0" applyProtection="0"/>
    <xf numFmtId="0" fontId="27"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0" fontId="27" fillId="74" borderId="102" applyNumberFormat="0" applyFont="0" applyAlignment="0" applyProtection="0"/>
    <xf numFmtId="3" fontId="2" fillId="72" borderId="98" applyFont="0">
      <alignment horizontal="right" vertical="center"/>
      <protection locked="0"/>
    </xf>
    <xf numFmtId="0" fontId="66" fillId="43" borderId="101" applyNumberFormat="0" applyAlignment="0" applyProtection="0"/>
    <xf numFmtId="168" fontId="68" fillId="43" borderId="101" applyNumberFormat="0" applyAlignment="0" applyProtection="0"/>
    <xf numFmtId="169" fontId="68" fillId="43" borderId="101" applyNumberFormat="0" applyAlignment="0" applyProtection="0"/>
    <xf numFmtId="168" fontId="68" fillId="43" borderId="101" applyNumberFormat="0" applyAlignment="0" applyProtection="0"/>
    <xf numFmtId="168" fontId="68" fillId="43" borderId="101" applyNumberFormat="0" applyAlignment="0" applyProtection="0"/>
    <xf numFmtId="169" fontId="68" fillId="43" borderId="101" applyNumberFormat="0" applyAlignment="0" applyProtection="0"/>
    <xf numFmtId="168" fontId="68" fillId="43" borderId="101" applyNumberFormat="0" applyAlignment="0" applyProtection="0"/>
    <xf numFmtId="168" fontId="68" fillId="43" borderId="101" applyNumberFormat="0" applyAlignment="0" applyProtection="0"/>
    <xf numFmtId="169" fontId="68" fillId="43" borderId="101" applyNumberFormat="0" applyAlignment="0" applyProtection="0"/>
    <xf numFmtId="168" fontId="68" fillId="43" borderId="101" applyNumberFormat="0" applyAlignment="0" applyProtection="0"/>
    <xf numFmtId="168" fontId="68" fillId="43" borderId="101" applyNumberFormat="0" applyAlignment="0" applyProtection="0"/>
    <xf numFmtId="169" fontId="68" fillId="43" borderId="101" applyNumberFormat="0" applyAlignment="0" applyProtection="0"/>
    <xf numFmtId="168" fontId="68"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169" fontId="68"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168" fontId="68"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168" fontId="68"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66" fillId="43" borderId="101" applyNumberFormat="0" applyAlignment="0" applyProtection="0"/>
    <xf numFmtId="0" fontId="2" fillId="71" borderId="99" applyNumberFormat="0" applyFont="0" applyBorder="0" applyProtection="0">
      <alignment horizontal="left" vertical="center"/>
    </xf>
    <xf numFmtId="9" fontId="2" fillId="71" borderId="98" applyFont="0" applyProtection="0">
      <alignment horizontal="right" vertical="center"/>
    </xf>
    <xf numFmtId="3" fontId="2" fillId="71" borderId="98" applyFont="0" applyProtection="0">
      <alignment horizontal="right" vertical="center"/>
    </xf>
    <xf numFmtId="0" fontId="62" fillId="70" borderId="99" applyFont="0" applyBorder="0">
      <alignment horizontal="center" wrapText="1"/>
    </xf>
    <xf numFmtId="168" fontId="54" fillId="0" borderId="96">
      <alignment horizontal="left" vertical="center"/>
    </xf>
    <xf numFmtId="0" fontId="54" fillId="0" borderId="96">
      <alignment horizontal="left" vertical="center"/>
    </xf>
    <xf numFmtId="0" fontId="54" fillId="0" borderId="96">
      <alignment horizontal="left" vertical="center"/>
    </xf>
    <xf numFmtId="0" fontId="2" fillId="69"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4" borderId="101" applyNumberFormat="0" applyAlignment="0" applyProtection="0"/>
    <xf numFmtId="168" fontId="40" fillId="64" borderId="101" applyNumberFormat="0" applyAlignment="0" applyProtection="0"/>
    <xf numFmtId="169" fontId="40" fillId="64" borderId="101" applyNumberFormat="0" applyAlignment="0" applyProtection="0"/>
    <xf numFmtId="168" fontId="40" fillId="64" borderId="101" applyNumberFormat="0" applyAlignment="0" applyProtection="0"/>
    <xf numFmtId="168" fontId="40" fillId="64" borderId="101" applyNumberFormat="0" applyAlignment="0" applyProtection="0"/>
    <xf numFmtId="169" fontId="40" fillId="64" borderId="101" applyNumberFormat="0" applyAlignment="0" applyProtection="0"/>
    <xf numFmtId="168" fontId="40" fillId="64" borderId="101" applyNumberFormat="0" applyAlignment="0" applyProtection="0"/>
    <xf numFmtId="168" fontId="40" fillId="64" borderId="101" applyNumberFormat="0" applyAlignment="0" applyProtection="0"/>
    <xf numFmtId="169" fontId="40" fillId="64" borderId="101" applyNumberFormat="0" applyAlignment="0" applyProtection="0"/>
    <xf numFmtId="168" fontId="40" fillId="64" borderId="101" applyNumberFormat="0" applyAlignment="0" applyProtection="0"/>
    <xf numFmtId="168" fontId="40" fillId="64" borderId="101" applyNumberFormat="0" applyAlignment="0" applyProtection="0"/>
    <xf numFmtId="169" fontId="40" fillId="64" borderId="101" applyNumberFormat="0" applyAlignment="0" applyProtection="0"/>
    <xf numFmtId="168" fontId="40"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169" fontId="40"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168" fontId="40"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168" fontId="40"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38" fillId="64" borderId="101"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xf numFmtId="0" fontId="129" fillId="0" borderId="0"/>
  </cellStyleXfs>
  <cellXfs count="974">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9" fillId="3" borderId="3" xfId="5" applyFont="1" applyFill="1" applyBorder="1" applyProtection="1">
      <protection locked="0"/>
    </xf>
    <xf numFmtId="0" fontId="9" fillId="0" borderId="3" xfId="13" applyFont="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Protection="1">
      <protection locked="0"/>
    </xf>
    <xf numFmtId="3" fontId="10" fillId="36" borderId="23" xfId="16" applyNumberFormat="1" applyFont="1" applyFill="1" applyBorder="1" applyProtection="1">
      <protection locked="0"/>
    </xf>
    <xf numFmtId="164"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4" fillId="0" borderId="3" xfId="0" applyNumberFormat="1" applyFont="1" applyBorder="1"/>
    <xf numFmtId="193" fontId="4" fillId="36"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3" fillId="0" borderId="0" xfId="0" applyNumberFormat="1" applyFont="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6" borderId="24" xfId="20961" applyFont="1" applyFill="1" applyBorder="1"/>
    <xf numFmtId="167" fontId="4" fillId="0" borderId="20" xfId="0" applyNumberFormat="1" applyFont="1" applyBorder="1"/>
    <xf numFmtId="167" fontId="6" fillId="36"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7" borderId="0" xfId="20"/>
    <xf numFmtId="169" fontId="26" fillId="37" borderId="92" xfId="20" applyBorder="1"/>
    <xf numFmtId="0" fontId="4" fillId="0" borderId="7" xfId="0" applyFont="1" applyBorder="1" applyAlignment="1">
      <alignment vertical="center"/>
    </xf>
    <xf numFmtId="0" fontId="4" fillId="0" borderId="98" xfId="0" applyFont="1" applyBorder="1" applyAlignment="1">
      <alignment vertical="center"/>
    </xf>
    <xf numFmtId="0" fontId="4" fillId="0" borderId="99"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169" fontId="26" fillId="37" borderId="29" xfId="20" applyBorder="1"/>
    <xf numFmtId="169" fontId="26" fillId="37" borderId="108" xfId="20" applyBorder="1"/>
    <xf numFmtId="169" fontId="26" fillId="37" borderId="100" xfId="20" applyBorder="1"/>
    <xf numFmtId="169" fontId="26" fillId="37"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1" xfId="0" applyFont="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Border="1" applyAlignment="1">
      <alignment horizontal="center" vertical="center"/>
    </xf>
    <xf numFmtId="0" fontId="6" fillId="0" borderId="23" xfId="0" applyFont="1" applyBorder="1" applyAlignment="1">
      <alignment vertical="center"/>
    </xf>
    <xf numFmtId="169" fontId="26" fillId="37"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0" fontId="7" fillId="0" borderId="0" xfId="0" applyFont="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8"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3"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3"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3" xfId="0" applyFont="1" applyBorder="1" applyAlignment="1">
      <alignment horizontal="center" vertical="center" wrapText="1"/>
    </xf>
    <xf numFmtId="3" fontId="21" fillId="36" borderId="98" xfId="0" applyNumberFormat="1" applyFont="1" applyFill="1" applyBorder="1" applyAlignment="1">
      <alignment vertical="center" wrapText="1"/>
    </xf>
    <xf numFmtId="3" fontId="21" fillId="36" borderId="111"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3"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0" fontId="112" fillId="77" borderId="99" xfId="21412" applyFont="1" applyFill="1" applyBorder="1" applyAlignment="1" applyProtection="1">
      <alignment vertical="center" wrapText="1"/>
      <protection locked="0"/>
    </xf>
    <xf numFmtId="0" fontId="113" fillId="70" borderId="94" xfId="21412" applyFont="1" applyFill="1" applyBorder="1" applyAlignment="1" applyProtection="1">
      <alignment horizontal="center" vertical="center"/>
      <protection locked="0"/>
    </xf>
    <xf numFmtId="0" fontId="112" fillId="78" borderId="98" xfId="21412" applyFont="1" applyFill="1" applyBorder="1" applyAlignment="1" applyProtection="1">
      <alignment horizontal="center" vertical="center"/>
      <protection locked="0"/>
    </xf>
    <xf numFmtId="0" fontId="112" fillId="77" borderId="99" xfId="21412" applyFont="1" applyFill="1" applyBorder="1" applyProtection="1">
      <alignment vertical="center"/>
      <protection locked="0"/>
    </xf>
    <xf numFmtId="0" fontId="114" fillId="70" borderId="94" xfId="21412" applyFont="1" applyFill="1" applyBorder="1" applyAlignment="1" applyProtection="1">
      <alignment horizontal="center" vertical="center"/>
      <protection locked="0"/>
    </xf>
    <xf numFmtId="0" fontId="114" fillId="3" borderId="94" xfId="21412" applyFont="1" applyFill="1" applyBorder="1" applyAlignment="1" applyProtection="1">
      <alignment horizontal="center" vertical="center"/>
      <protection locked="0"/>
    </xf>
    <xf numFmtId="0" fontId="114" fillId="0" borderId="94" xfId="21412" applyFont="1" applyBorder="1" applyAlignment="1" applyProtection="1">
      <alignment horizontal="center" vertical="center"/>
      <protection locked="0"/>
    </xf>
    <xf numFmtId="0" fontId="115" fillId="78" borderId="98" xfId="21412" applyFont="1" applyFill="1" applyBorder="1" applyAlignment="1" applyProtection="1">
      <alignment horizontal="center" vertical="center"/>
      <protection locked="0"/>
    </xf>
    <xf numFmtId="0" fontId="112" fillId="77" borderId="99" xfId="21412" applyFont="1" applyFill="1" applyBorder="1" applyAlignment="1" applyProtection="1">
      <alignment horizontal="center" vertical="center"/>
      <protection locked="0"/>
    </xf>
    <xf numFmtId="0" fontId="62" fillId="77" borderId="99" xfId="21412" applyFont="1" applyFill="1" applyBorder="1" applyProtection="1">
      <alignment vertical="center"/>
      <protection locked="0"/>
    </xf>
    <xf numFmtId="0" fontId="114" fillId="70" borderId="98" xfId="21412" applyFont="1" applyFill="1" applyBorder="1" applyAlignment="1" applyProtection="1">
      <alignment horizontal="center" vertical="center"/>
      <protection locked="0"/>
    </xf>
    <xf numFmtId="0" fontId="36" fillId="70" borderId="98" xfId="21412" applyFont="1" applyFill="1" applyBorder="1" applyAlignment="1" applyProtection="1">
      <alignment horizontal="center" vertical="center"/>
      <protection locked="0"/>
    </xf>
    <xf numFmtId="0" fontId="62" fillId="77" borderId="97" xfId="21412" applyFont="1" applyFill="1" applyBorder="1" applyProtection="1">
      <alignment vertical="center"/>
      <protection locked="0"/>
    </xf>
    <xf numFmtId="0" fontId="113" fillId="0" borderId="97" xfId="21412" applyFont="1" applyBorder="1" applyAlignment="1" applyProtection="1">
      <alignment horizontal="left" vertical="center" wrapText="1"/>
      <protection locked="0"/>
    </xf>
    <xf numFmtId="164" fontId="113" fillId="0" borderId="98" xfId="948" applyNumberFormat="1" applyFont="1" applyFill="1" applyBorder="1" applyAlignment="1" applyProtection="1">
      <alignment horizontal="right" vertical="center"/>
      <protection locked="0"/>
    </xf>
    <xf numFmtId="0" fontId="112" fillId="78" borderId="97" xfId="21412" applyFont="1" applyFill="1" applyBorder="1" applyAlignment="1" applyProtection="1">
      <alignment vertical="top" wrapText="1"/>
      <protection locked="0"/>
    </xf>
    <xf numFmtId="164" fontId="113" fillId="78" borderId="98" xfId="948" applyNumberFormat="1" applyFont="1" applyFill="1" applyBorder="1" applyAlignment="1" applyProtection="1">
      <alignment horizontal="right" vertical="center"/>
    </xf>
    <xf numFmtId="164" fontId="62" fillId="77" borderId="97" xfId="948" applyNumberFormat="1" applyFont="1" applyFill="1" applyBorder="1" applyAlignment="1" applyProtection="1">
      <alignment horizontal="right" vertical="center"/>
      <protection locked="0"/>
    </xf>
    <xf numFmtId="0" fontId="113" fillId="70" borderId="97" xfId="21412" applyFont="1" applyFill="1" applyBorder="1" applyAlignment="1" applyProtection="1">
      <alignment vertical="center" wrapText="1"/>
      <protection locked="0"/>
    </xf>
    <xf numFmtId="0" fontId="113" fillId="70" borderId="97" xfId="21412" applyFont="1" applyFill="1" applyBorder="1" applyAlignment="1" applyProtection="1">
      <alignment horizontal="left" vertical="center" wrapText="1"/>
      <protection locked="0"/>
    </xf>
    <xf numFmtId="0" fontId="113" fillId="0" borderId="97" xfId="21412" applyFont="1" applyBorder="1" applyAlignment="1" applyProtection="1">
      <alignment vertical="center" wrapText="1"/>
      <protection locked="0"/>
    </xf>
    <xf numFmtId="0" fontId="113" fillId="3" borderId="97" xfId="21412" applyFont="1" applyFill="1" applyBorder="1" applyAlignment="1" applyProtection="1">
      <alignment horizontal="left" vertical="center" wrapText="1"/>
      <protection locked="0"/>
    </xf>
    <xf numFmtId="0" fontId="112" fillId="78" borderId="97" xfId="21412" applyFont="1" applyFill="1" applyBorder="1" applyAlignment="1" applyProtection="1">
      <alignment vertical="center" wrapText="1"/>
      <protection locked="0"/>
    </xf>
    <xf numFmtId="164" fontId="112" fillId="77" borderId="97" xfId="948" applyNumberFormat="1" applyFont="1" applyFill="1" applyBorder="1" applyAlignment="1" applyProtection="1">
      <alignment horizontal="right" vertical="center"/>
      <protection locked="0"/>
    </xf>
    <xf numFmtId="164" fontId="113" fillId="3" borderId="98" xfId="948" applyNumberFormat="1" applyFont="1" applyFill="1" applyBorder="1" applyAlignment="1" applyProtection="1">
      <alignment horizontal="right" vertical="center"/>
      <protection locked="0"/>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6"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6" borderId="98" xfId="20961" applyNumberFormat="1" applyFont="1" applyFill="1" applyBorder="1" applyAlignment="1">
      <alignment horizontal="left" vertical="center" wrapText="1"/>
    </xf>
    <xf numFmtId="10" fontId="6" fillId="36"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6" borderId="99"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xf numFmtId="0" fontId="9" fillId="0" borderId="111" xfId="0" applyFont="1" applyBorder="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3"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3" fontId="7" fillId="0" borderId="98" xfId="0" applyNumberFormat="1" applyFont="1" applyBorder="1" applyAlignment="1" applyProtection="1">
      <alignment vertical="center" wrapText="1"/>
      <protection locked="0"/>
    </xf>
    <xf numFmtId="193" fontId="7" fillId="0" borderId="98" xfId="0" applyNumberFormat="1" applyFont="1" applyBorder="1" applyAlignment="1" applyProtection="1">
      <alignment horizontal="right" vertical="center" wrapText="1"/>
      <protection locked="0"/>
    </xf>
    <xf numFmtId="0" fontId="9" fillId="2" borderId="113" xfId="0" applyFont="1" applyFill="1" applyBorder="1" applyAlignment="1">
      <alignment horizontal="right" vertical="center"/>
    </xf>
    <xf numFmtId="0" fontId="9" fillId="2" borderId="98" xfId="0" applyFont="1" applyFill="1" applyBorder="1" applyAlignment="1">
      <alignment vertical="center"/>
    </xf>
    <xf numFmtId="193" fontId="9" fillId="2" borderId="98" xfId="0" applyNumberFormat="1" applyFont="1" applyFill="1" applyBorder="1" applyAlignment="1" applyProtection="1">
      <alignment vertical="center"/>
      <protection locked="0"/>
    </xf>
    <xf numFmtId="0" fontId="15" fillId="0" borderId="113" xfId="0" applyFont="1" applyBorder="1" applyAlignment="1">
      <alignment horizontal="center" vertical="center" wrapText="1"/>
    </xf>
    <xf numFmtId="14" fontId="4" fillId="0" borderId="0" xfId="0" applyNumberFormat="1" applyFont="1"/>
    <xf numFmtId="0" fontId="4" fillId="3" borderId="54"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3" xfId="0" applyFont="1" applyBorder="1"/>
    <xf numFmtId="0" fontId="4" fillId="0" borderId="98" xfId="0" applyFont="1" applyBorder="1" applyAlignment="1">
      <alignment wrapText="1"/>
    </xf>
    <xf numFmtId="164" fontId="4" fillId="0" borderId="98" xfId="7" applyNumberFormat="1" applyFont="1" applyBorder="1"/>
    <xf numFmtId="164" fontId="4" fillId="0" borderId="111" xfId="7" applyNumberFormat="1" applyFont="1" applyBorder="1"/>
    <xf numFmtId="0" fontId="14" fillId="0" borderId="98" xfId="0" applyFont="1" applyBorder="1" applyAlignment="1">
      <alignment horizontal="left" wrapText="1" indent="2"/>
    </xf>
    <xf numFmtId="169" fontId="26" fillId="37" borderId="98" xfId="20" applyBorder="1"/>
    <xf numFmtId="164" fontId="4" fillId="0" borderId="98" xfId="7" applyNumberFormat="1" applyFont="1" applyBorder="1" applyAlignment="1">
      <alignment vertical="center"/>
    </xf>
    <xf numFmtId="0" fontId="6" fillId="0" borderId="113" xfId="0" applyFont="1" applyBorder="1"/>
    <xf numFmtId="0" fontId="6" fillId="0" borderId="98" xfId="0" applyFont="1" applyBorder="1" applyAlignment="1">
      <alignment wrapText="1"/>
    </xf>
    <xf numFmtId="164" fontId="6" fillId="0" borderId="111"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7" borderId="114" xfId="20" applyBorder="1"/>
    <xf numFmtId="10" fontId="6" fillId="0" borderId="24" xfId="20961" applyNumberFormat="1" applyFont="1" applyBorder="1"/>
    <xf numFmtId="0" fontId="9" fillId="2" borderId="106"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7"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1"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4" xfId="0" applyFont="1" applyBorder="1" applyAlignment="1">
      <alignment horizontal="left" vertical="center" wrapText="1"/>
    </xf>
    <xf numFmtId="0" fontId="132" fillId="0" borderId="134" xfId="0" applyFont="1" applyBorder="1" applyAlignment="1">
      <alignment horizontal="left" vertical="center" wrapText="1"/>
    </xf>
    <xf numFmtId="0" fontId="133" fillId="3" borderId="134" xfId="0" applyFont="1" applyFill="1" applyBorder="1" applyAlignment="1">
      <alignment horizontal="left" vertical="center" wrapText="1" indent="1"/>
    </xf>
    <xf numFmtId="0" fontId="132" fillId="3" borderId="134" xfId="0" applyFont="1" applyFill="1" applyBorder="1" applyAlignment="1">
      <alignment horizontal="left" vertical="center" wrapText="1"/>
    </xf>
    <xf numFmtId="0" fontId="132" fillId="3" borderId="135" xfId="0" applyFont="1" applyFill="1" applyBorder="1" applyAlignment="1">
      <alignment horizontal="left" vertical="center" wrapText="1"/>
    </xf>
    <xf numFmtId="0" fontId="133" fillId="0" borderId="134"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6" xfId="0" applyFont="1" applyFill="1" applyBorder="1" applyAlignment="1">
      <alignment horizontal="left" vertical="center" wrapText="1"/>
    </xf>
    <xf numFmtId="0" fontId="131" fillId="3" borderId="137" xfId="21414" applyFont="1" applyFill="1" applyBorder="1" applyAlignment="1">
      <alignment horizontal="left" vertical="center" wrapText="1" indent="1"/>
    </xf>
    <xf numFmtId="0" fontId="131" fillId="3" borderId="134" xfId="0" applyFont="1" applyFill="1" applyBorder="1" applyAlignment="1">
      <alignment horizontal="left" vertical="center" wrapText="1" indent="1"/>
    </xf>
    <xf numFmtId="0" fontId="131" fillId="0" borderId="137" xfId="21414" applyFont="1" applyBorder="1" applyAlignment="1">
      <alignment horizontal="left" vertical="center" wrapText="1" indent="1"/>
    </xf>
    <xf numFmtId="0" fontId="131" fillId="0" borderId="134" xfId="0" applyFont="1" applyBorder="1" applyAlignment="1">
      <alignment horizontal="left" vertical="center" wrapText="1" indent="1"/>
    </xf>
    <xf numFmtId="0" fontId="131" fillId="0" borderId="135" xfId="0" applyFont="1" applyBorder="1" applyAlignment="1">
      <alignment horizontal="left" vertical="center" wrapText="1" indent="1"/>
    </xf>
    <xf numFmtId="0" fontId="132" fillId="0" borderId="137" xfId="21414" applyFont="1" applyBorder="1" applyAlignment="1">
      <alignment horizontal="left" vertical="center" wrapText="1"/>
    </xf>
    <xf numFmtId="0" fontId="132" fillId="3" borderId="137" xfId="21414" applyFont="1" applyFill="1" applyBorder="1" applyAlignment="1">
      <alignment horizontal="left" vertical="center" wrapText="1"/>
    </xf>
    <xf numFmtId="0" fontId="134" fillId="0" borderId="137" xfId="21414" applyFont="1" applyBorder="1" applyAlignment="1">
      <alignment horizontal="center" vertical="center" wrapText="1"/>
    </xf>
    <xf numFmtId="0" fontId="135" fillId="0" borderId="137" xfId="0" applyFont="1" applyBorder="1" applyAlignment="1">
      <alignment horizontal="left"/>
    </xf>
    <xf numFmtId="0" fontId="132" fillId="0" borderId="137" xfId="0" applyFont="1" applyBorder="1" applyAlignment="1">
      <alignment horizontal="left" vertical="center" wrapText="1"/>
    </xf>
    <xf numFmtId="0" fontId="0" fillId="0" borderId="0" xfId="0" applyAlignment="1">
      <alignment horizontal="left" vertical="center"/>
    </xf>
    <xf numFmtId="0" fontId="9" fillId="0" borderId="137" xfId="0" applyFont="1" applyBorder="1" applyAlignment="1">
      <alignment horizontal="center" vertical="center" wrapText="1"/>
    </xf>
    <xf numFmtId="0" fontId="132" fillId="0" borderId="142" xfId="0" applyFont="1" applyBorder="1" applyAlignment="1">
      <alignment horizontal="justify" vertical="center" wrapText="1"/>
    </xf>
    <xf numFmtId="0" fontId="131" fillId="0" borderId="136" xfId="0" applyFont="1" applyBorder="1" applyAlignment="1">
      <alignment horizontal="left" vertical="center" wrapText="1" indent="1"/>
    </xf>
    <xf numFmtId="0" fontId="132" fillId="0" borderId="134" xfId="0" applyFont="1" applyBorder="1" applyAlignment="1">
      <alignment horizontal="justify" vertical="center" wrapText="1"/>
    </xf>
    <xf numFmtId="0" fontId="130" fillId="0" borderId="134" xfId="0" applyFont="1" applyBorder="1" applyAlignment="1">
      <alignment horizontal="justify" vertical="center" wrapText="1"/>
    </xf>
    <xf numFmtId="0" fontId="132" fillId="3" borderId="134" xfId="0" applyFont="1" applyFill="1" applyBorder="1" applyAlignment="1">
      <alignment horizontal="justify" vertical="center" wrapText="1"/>
    </xf>
    <xf numFmtId="0" fontId="132" fillId="0" borderId="135" xfId="0" applyFont="1" applyBorder="1" applyAlignment="1">
      <alignment horizontal="justify" vertical="center" wrapText="1"/>
    </xf>
    <xf numFmtId="0" fontId="132" fillId="0" borderId="136" xfId="0" applyFont="1" applyBorder="1" applyAlignment="1">
      <alignment horizontal="justify" vertical="center" wrapText="1"/>
    </xf>
    <xf numFmtId="0" fontId="132" fillId="0" borderId="137" xfId="21414" applyFont="1" applyBorder="1" applyAlignment="1">
      <alignment horizontal="justify" vertical="center" wrapText="1"/>
    </xf>
    <xf numFmtId="0" fontId="133" fillId="0" borderId="128" xfId="0" applyFont="1" applyBorder="1" applyAlignment="1">
      <alignment horizontal="left" vertical="center" wrapText="1" indent="1"/>
    </xf>
    <xf numFmtId="0" fontId="130" fillId="0" borderId="134" xfId="0" applyFont="1" applyBorder="1" applyAlignment="1">
      <alignment vertical="center" wrapText="1"/>
    </xf>
    <xf numFmtId="0" fontId="132" fillId="0" borderId="134" xfId="0" applyFont="1" applyBorder="1" applyAlignment="1">
      <alignment vertical="center" wrapText="1"/>
    </xf>
    <xf numFmtId="0" fontId="132" fillId="0" borderId="137" xfId="21414" applyFont="1" applyBorder="1" applyAlignment="1">
      <alignment vertical="center" wrapText="1"/>
    </xf>
    <xf numFmtId="0" fontId="9" fillId="0" borderId="111" xfId="0" applyFont="1" applyBorder="1" applyAlignment="1">
      <alignment horizontal="center" vertical="center" wrapText="1"/>
    </xf>
    <xf numFmtId="0" fontId="0" fillId="0" borderId="137" xfId="0" applyBorder="1" applyAlignment="1">
      <alignment horizontal="center"/>
    </xf>
    <xf numFmtId="193" fontId="9" fillId="0" borderId="137" xfId="0" applyNumberFormat="1" applyFont="1" applyBorder="1" applyAlignment="1">
      <alignment horizontal="right"/>
    </xf>
    <xf numFmtId="193" fontId="9" fillId="36" borderId="137" xfId="0" applyNumberFormat="1" applyFont="1" applyFill="1" applyBorder="1" applyAlignment="1">
      <alignment horizontal="right"/>
    </xf>
    <xf numFmtId="193" fontId="9" fillId="36" borderId="111" xfId="0" applyNumberFormat="1" applyFont="1" applyFill="1" applyBorder="1" applyAlignment="1">
      <alignment horizontal="right"/>
    </xf>
    <xf numFmtId="0" fontId="15" fillId="0" borderId="137" xfId="0" applyFont="1" applyBorder="1" applyAlignment="1">
      <alignment vertical="center" wrapText="1"/>
    </xf>
    <xf numFmtId="0" fontId="7" fillId="0" borderId="137" xfId="0" applyFont="1" applyBorder="1" applyAlignment="1">
      <alignment horizontal="left" vertical="center" wrapText="1" indent="1"/>
    </xf>
    <xf numFmtId="0" fontId="3" fillId="0" borderId="137" xfId="0" applyFont="1" applyBorder="1" applyAlignment="1">
      <alignment vertical="center"/>
    </xf>
    <xf numFmtId="0" fontId="136" fillId="0" borderId="137" xfId="0" applyFont="1" applyBorder="1" applyAlignment="1" applyProtection="1">
      <alignment horizontal="left" vertical="center" indent="1"/>
      <protection locked="0"/>
    </xf>
    <xf numFmtId="0" fontId="137" fillId="0" borderId="137" xfId="0" applyFont="1" applyBorder="1" applyAlignment="1" applyProtection="1">
      <alignment horizontal="left" vertical="center" indent="3"/>
      <protection locked="0"/>
    </xf>
    <xf numFmtId="0" fontId="138" fillId="0" borderId="137" xfId="0" applyFont="1" applyBorder="1" applyAlignment="1" applyProtection="1">
      <alignment horizontal="left" vertical="center" indent="3"/>
      <protection locked="0"/>
    </xf>
    <xf numFmtId="0" fontId="3" fillId="0" borderId="137"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7" xfId="0" applyNumberFormat="1" applyFont="1" applyBorder="1" applyAlignment="1">
      <alignment horizontal="right" vertical="center"/>
    </xf>
    <xf numFmtId="0" fontId="0" fillId="0" borderId="137" xfId="0" applyBorder="1" applyAlignment="1">
      <alignment horizontal="center" vertical="center"/>
    </xf>
    <xf numFmtId="43" fontId="4" fillId="0" borderId="137" xfId="7" applyFont="1" applyFill="1" applyBorder="1" applyAlignment="1">
      <alignment vertical="center" wrapText="1"/>
    </xf>
    <xf numFmtId="43" fontId="4" fillId="0" borderId="98" xfId="7" applyFont="1" applyBorder="1" applyAlignment="1">
      <alignment vertical="center"/>
    </xf>
    <xf numFmtId="43" fontId="4" fillId="0" borderId="137" xfId="7" applyFont="1" applyBorder="1" applyAlignment="1">
      <alignment vertical="center"/>
    </xf>
    <xf numFmtId="0" fontId="0" fillId="0" borderId="141" xfId="0" applyBorder="1" applyAlignment="1">
      <alignment horizontal="center"/>
    </xf>
    <xf numFmtId="0" fontId="131" fillId="0" borderId="141" xfId="21414" applyFont="1" applyBorder="1" applyAlignment="1">
      <alignment horizontal="left" vertical="center" wrapText="1" indent="1"/>
    </xf>
    <xf numFmtId="0" fontId="131" fillId="3" borderId="137" xfId="0" applyFont="1" applyFill="1" applyBorder="1" applyAlignment="1">
      <alignment horizontal="left" vertical="center" wrapText="1" indent="1"/>
    </xf>
    <xf numFmtId="167" fontId="23" fillId="0" borderId="137" xfId="0" applyNumberFormat="1" applyFont="1" applyBorder="1" applyAlignment="1">
      <alignment horizontal="center"/>
    </xf>
    <xf numFmtId="0" fontId="23" fillId="0" borderId="137" xfId="0" applyFont="1" applyBorder="1"/>
    <xf numFmtId="0" fontId="131" fillId="0" borderId="137" xfId="0" applyFont="1" applyBorder="1" applyAlignment="1">
      <alignment horizontal="left" vertical="center" wrapText="1" indent="1"/>
    </xf>
    <xf numFmtId="0" fontId="133" fillId="3" borderId="137" xfId="0" applyFont="1" applyFill="1" applyBorder="1" applyAlignment="1">
      <alignment horizontal="left" vertical="center" wrapText="1" indent="1"/>
    </xf>
    <xf numFmtId="0" fontId="133" fillId="0" borderId="137"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0" fontId="120" fillId="0" borderId="137" xfId="0" applyFont="1" applyBorder="1"/>
    <xf numFmtId="49" fontId="122" fillId="0" borderId="137" xfId="5" applyNumberFormat="1" applyFont="1" applyBorder="1" applyAlignment="1" applyProtection="1">
      <alignment horizontal="right" vertical="center"/>
      <protection locked="0"/>
    </xf>
    <xf numFmtId="0" fontId="121" fillId="3" borderId="137" xfId="13" applyFont="1" applyFill="1" applyBorder="1" applyAlignment="1" applyProtection="1">
      <alignment horizontal="left" vertical="center" wrapText="1"/>
      <protection locked="0"/>
    </xf>
    <xf numFmtId="49" fontId="121" fillId="3" borderId="137" xfId="5" applyNumberFormat="1" applyFont="1" applyFill="1" applyBorder="1" applyAlignment="1" applyProtection="1">
      <alignment horizontal="right" vertical="center"/>
      <protection locked="0"/>
    </xf>
    <xf numFmtId="0" fontId="121" fillId="0" borderId="137" xfId="13" applyFont="1" applyBorder="1" applyAlignment="1" applyProtection="1">
      <alignment horizontal="left" vertical="center" wrapText="1"/>
      <protection locked="0"/>
    </xf>
    <xf numFmtId="49" fontId="121" fillId="0" borderId="137" xfId="5" applyNumberFormat="1" applyFont="1" applyBorder="1" applyAlignment="1" applyProtection="1">
      <alignment horizontal="right" vertical="center"/>
      <protection locked="0"/>
    </xf>
    <xf numFmtId="0" fontId="123" fillId="0" borderId="137" xfId="13" applyFont="1" applyBorder="1" applyAlignment="1" applyProtection="1">
      <alignment horizontal="left" vertical="center" wrapText="1"/>
      <protection locked="0"/>
    </xf>
    <xf numFmtId="0" fontId="120" fillId="0" borderId="137" xfId="0" applyFont="1" applyBorder="1" applyAlignment="1">
      <alignment horizontal="center" vertical="center" wrapText="1"/>
    </xf>
    <xf numFmtId="166" fontId="116" fillId="36" borderId="145" xfId="21413" applyFont="1" applyFill="1" applyBorder="1"/>
    <xf numFmtId="0" fontId="116" fillId="0" borderId="145" xfId="0" applyFont="1" applyBorder="1"/>
    <xf numFmtId="0" fontId="116" fillId="0" borderId="145" xfId="0" applyFont="1" applyBorder="1" applyAlignment="1">
      <alignment horizontal="left" indent="8"/>
    </xf>
    <xf numFmtId="0" fontId="116" fillId="0" borderId="145" xfId="0" applyFont="1" applyBorder="1" applyAlignment="1">
      <alignment wrapText="1"/>
    </xf>
    <xf numFmtId="0" fontId="119" fillId="0" borderId="145" xfId="0" applyFont="1" applyBorder="1"/>
    <xf numFmtId="49" fontId="122" fillId="0" borderId="145" xfId="5" applyNumberFormat="1" applyFont="1" applyBorder="1" applyAlignment="1" applyProtection="1">
      <alignment horizontal="right" vertical="center" wrapText="1"/>
      <protection locked="0"/>
    </xf>
    <xf numFmtId="49" fontId="121" fillId="3" borderId="145" xfId="5" applyNumberFormat="1" applyFont="1" applyFill="1" applyBorder="1" applyAlignment="1" applyProtection="1">
      <alignment horizontal="right" vertical="center" wrapText="1"/>
      <protection locked="0"/>
    </xf>
    <xf numFmtId="49" fontId="121" fillId="0" borderId="145" xfId="5" applyNumberFormat="1" applyFont="1" applyBorder="1" applyAlignment="1" applyProtection="1">
      <alignment horizontal="right" vertical="center" wrapText="1"/>
      <protection locked="0"/>
    </xf>
    <xf numFmtId="0" fontId="116" fillId="0" borderId="145"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5"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5" xfId="0" applyFont="1" applyBorder="1" applyAlignment="1">
      <alignment horizontal="left" vertical="center" wrapText="1"/>
    </xf>
    <xf numFmtId="0" fontId="120" fillId="0" borderId="145" xfId="0" applyFont="1" applyBorder="1"/>
    <xf numFmtId="0" fontId="119" fillId="0" borderId="145" xfId="0" applyFont="1" applyBorder="1" applyAlignment="1">
      <alignment horizontal="left" wrapText="1" indent="1"/>
    </xf>
    <xf numFmtId="0" fontId="119" fillId="0" borderId="145" xfId="0" applyFont="1" applyBorder="1" applyAlignment="1">
      <alignment horizontal="left" vertical="center" indent="1"/>
    </xf>
    <xf numFmtId="0" fontId="117" fillId="0" borderId="145" xfId="0" applyFont="1" applyBorder="1"/>
    <xf numFmtId="0" fontId="116" fillId="0" borderId="145" xfId="0" applyFont="1" applyBorder="1" applyAlignment="1">
      <alignment horizontal="left" wrapText="1" indent="1"/>
    </xf>
    <xf numFmtId="0" fontId="116" fillId="0" borderId="145" xfId="0" applyFont="1" applyBorder="1" applyAlignment="1">
      <alignment horizontal="left" indent="1"/>
    </xf>
    <xf numFmtId="0" fontId="116" fillId="0" borderId="145" xfId="0" applyFont="1" applyBorder="1" applyAlignment="1">
      <alignment horizontal="left" wrapText="1" indent="4"/>
    </xf>
    <xf numFmtId="0" fontId="116" fillId="0" borderId="145" xfId="0" applyFont="1" applyBorder="1" applyAlignment="1">
      <alignment horizontal="left" indent="3"/>
    </xf>
    <xf numFmtId="0" fontId="119" fillId="0" borderId="145" xfId="0" applyFont="1" applyBorder="1" applyAlignment="1">
      <alignment horizontal="left" indent="1"/>
    </xf>
    <xf numFmtId="0" fontId="120" fillId="0" borderId="145" xfId="0" applyFont="1" applyBorder="1" applyAlignment="1">
      <alignment horizontal="center" vertical="center" wrapText="1"/>
    </xf>
    <xf numFmtId="0" fontId="116" fillId="79" borderId="145" xfId="0" applyFont="1" applyFill="1" applyBorder="1"/>
    <xf numFmtId="0" fontId="119" fillId="0" borderId="7" xfId="0" applyFont="1" applyBorder="1"/>
    <xf numFmtId="0" fontId="116" fillId="0" borderId="145" xfId="0" applyFont="1" applyBorder="1" applyAlignment="1">
      <alignment horizontal="left" wrapText="1" indent="2"/>
    </xf>
    <xf numFmtId="0" fontId="116" fillId="0" borderId="145" xfId="0" applyFont="1" applyBorder="1" applyAlignment="1">
      <alignment horizontal="left" wrapText="1"/>
    </xf>
    <xf numFmtId="0" fontId="119" fillId="81" borderId="145" xfId="0" applyFont="1" applyFill="1" applyBorder="1"/>
    <xf numFmtId="0" fontId="116" fillId="0" borderId="145"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4"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3" xfId="0" applyFont="1" applyBorder="1" applyAlignment="1">
      <alignment horizontal="center" vertical="center" wrapText="1"/>
    </xf>
    <xf numFmtId="0" fontId="116" fillId="0" borderId="151" xfId="0" applyFont="1" applyBorder="1"/>
    <xf numFmtId="0" fontId="116" fillId="0" borderId="152" xfId="0" applyFont="1" applyBorder="1"/>
    <xf numFmtId="49" fontId="116" fillId="0" borderId="153" xfId="0" applyNumberFormat="1" applyFont="1" applyBorder="1" applyAlignment="1">
      <alignment horizontal="left" wrapText="1" indent="1"/>
    </xf>
    <xf numFmtId="49" fontId="116" fillId="0" borderId="151" xfId="0" applyNumberFormat="1" applyFont="1" applyBorder="1" applyAlignment="1">
      <alignment horizontal="left" wrapText="1" indent="1"/>
    </xf>
    <xf numFmtId="0" fontId="116" fillId="0" borderId="153" xfId="0" applyFont="1" applyBorder="1" applyAlignment="1">
      <alignment horizontal="left" wrapText="1" indent="1"/>
    </xf>
    <xf numFmtId="49" fontId="116" fillId="0" borderId="154" xfId="0" applyNumberFormat="1" applyFont="1" applyBorder="1" applyAlignment="1">
      <alignment horizontal="left" wrapText="1" indent="1"/>
    </xf>
    <xf numFmtId="0" fontId="116" fillId="0" borderId="155" xfId="0" applyFont="1" applyBorder="1" applyAlignment="1">
      <alignment horizontal="left" wrapText="1" indent="1"/>
    </xf>
    <xf numFmtId="49" fontId="116" fillId="0" borderId="155" xfId="0" applyNumberFormat="1" applyFont="1" applyBorder="1" applyAlignment="1">
      <alignment horizontal="left" wrapText="1" indent="3"/>
    </xf>
    <xf numFmtId="49" fontId="116" fillId="0" borderId="154" xfId="0" applyNumberFormat="1" applyFont="1" applyBorder="1" applyAlignment="1">
      <alignment horizontal="left" wrapText="1" indent="3"/>
    </xf>
    <xf numFmtId="49" fontId="116" fillId="0" borderId="155" xfId="0" applyNumberFormat="1" applyFont="1" applyBorder="1" applyAlignment="1">
      <alignment horizontal="left" wrapText="1" indent="2"/>
    </xf>
    <xf numFmtId="49" fontId="116" fillId="0" borderId="154" xfId="0" applyNumberFormat="1" applyFont="1" applyBorder="1" applyAlignment="1">
      <alignment horizontal="left" wrapText="1" indent="2"/>
    </xf>
    <xf numFmtId="49" fontId="116" fillId="0" borderId="154" xfId="0" applyNumberFormat="1" applyFont="1" applyBorder="1" applyAlignment="1">
      <alignment horizontal="left" vertical="top" wrapText="1" indent="2"/>
    </xf>
    <xf numFmtId="49" fontId="116" fillId="0" borderId="154" xfId="0" applyNumberFormat="1" applyFont="1" applyBorder="1" applyAlignment="1">
      <alignment horizontal="left" indent="1"/>
    </xf>
    <xf numFmtId="0" fontId="116" fillId="0" borderId="155" xfId="0" applyFont="1" applyBorder="1" applyAlignment="1">
      <alignment horizontal="left" indent="1"/>
    </xf>
    <xf numFmtId="49" fontId="116" fillId="0" borderId="155" xfId="0" applyNumberFormat="1" applyFont="1" applyBorder="1" applyAlignment="1">
      <alignment horizontal="left" indent="1"/>
    </xf>
    <xf numFmtId="49" fontId="116" fillId="0" borderId="155" xfId="0" applyNumberFormat="1" applyFont="1" applyBorder="1" applyAlignment="1">
      <alignment horizontal="left" indent="3"/>
    </xf>
    <xf numFmtId="49" fontId="116" fillId="0" borderId="154" xfId="0" applyNumberFormat="1" applyFont="1" applyBorder="1" applyAlignment="1">
      <alignment horizontal="left" indent="3"/>
    </xf>
    <xf numFmtId="0" fontId="116" fillId="0" borderId="155" xfId="0" applyFont="1" applyBorder="1" applyAlignment="1">
      <alignment horizontal="left" indent="2"/>
    </xf>
    <xf numFmtId="0" fontId="116" fillId="0" borderId="154" xfId="0" applyFont="1" applyBorder="1" applyAlignment="1">
      <alignment horizontal="left" indent="2"/>
    </xf>
    <xf numFmtId="0" fontId="116" fillId="0" borderId="154"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5" xfId="0" applyFont="1" applyBorder="1" applyAlignment="1">
      <alignment horizontal="left" vertical="center" wrapText="1"/>
    </xf>
    <xf numFmtId="0" fontId="9" fillId="0" borderId="0" xfId="0" applyFont="1" applyAlignment="1">
      <alignment wrapText="1"/>
    </xf>
    <xf numFmtId="0" fontId="121" fillId="0" borderId="145" xfId="0" applyFont="1" applyBorder="1"/>
    <xf numFmtId="0" fontId="119" fillId="0" borderId="145"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2" xfId="0" applyFont="1" applyBorder="1" applyAlignment="1">
      <alignment horizontal="left" vertical="center" wrapText="1" indent="1" readingOrder="1"/>
    </xf>
    <xf numFmtId="0" fontId="121" fillId="0" borderId="145" xfId="0" applyFont="1" applyBorder="1" applyAlignment="1">
      <alignment horizontal="left" indent="3"/>
    </xf>
    <xf numFmtId="0" fontId="119" fillId="0" borderId="145" xfId="0" applyFont="1" applyBorder="1" applyAlignment="1">
      <alignment vertical="center" wrapText="1" readingOrder="1"/>
    </xf>
    <xf numFmtId="0" fontId="121" fillId="0" borderId="145" xfId="0" applyFont="1" applyBorder="1" applyAlignment="1">
      <alignment horizontal="left" indent="2"/>
    </xf>
    <xf numFmtId="0" fontId="116" fillId="0" borderId="133" xfId="0" applyFont="1" applyBorder="1" applyAlignment="1">
      <alignment vertical="center" wrapText="1" readingOrder="1"/>
    </xf>
    <xf numFmtId="0" fontId="121" fillId="0" borderId="146" xfId="0" applyFont="1" applyBorder="1" applyAlignment="1">
      <alignment horizontal="left" indent="2"/>
    </xf>
    <xf numFmtId="0" fontId="116" fillId="0" borderId="132" xfId="0" applyFont="1" applyBorder="1" applyAlignment="1">
      <alignment vertical="center" wrapText="1" readingOrder="1"/>
    </xf>
    <xf numFmtId="0" fontId="116" fillId="0" borderId="131" xfId="0" applyFont="1" applyBorder="1" applyAlignment="1">
      <alignment vertical="center" wrapText="1" readingOrder="1"/>
    </xf>
    <xf numFmtId="0" fontId="139" fillId="0" borderId="7" xfId="0" applyFont="1" applyBorder="1"/>
    <xf numFmtId="0" fontId="106" fillId="0" borderId="145" xfId="0" applyFont="1" applyBorder="1" applyAlignment="1">
      <alignment vertical="center" wrapText="1"/>
    </xf>
    <xf numFmtId="0" fontId="106" fillId="0" borderId="145" xfId="0" applyFont="1" applyBorder="1" applyAlignment="1">
      <alignment horizontal="left" vertical="center" wrapText="1"/>
    </xf>
    <xf numFmtId="0" fontId="106" fillId="0" borderId="145" xfId="0" applyFont="1" applyBorder="1" applyAlignment="1">
      <alignment horizontal="left" indent="2"/>
    </xf>
    <xf numFmtId="0" fontId="106" fillId="0" borderId="145" xfId="0" applyFont="1" applyBorder="1" applyAlignment="1">
      <alignment horizontal="left" vertical="center" indent="1"/>
    </xf>
    <xf numFmtId="0" fontId="106" fillId="0" borderId="145" xfId="0" applyFont="1" applyBorder="1" applyAlignment="1">
      <alignment horizontal="left" vertical="center" wrapText="1" indent="1"/>
    </xf>
    <xf numFmtId="0" fontId="106" fillId="0" borderId="145" xfId="0" applyFont="1" applyBorder="1" applyAlignment="1">
      <alignment horizontal="right" vertical="center"/>
    </xf>
    <xf numFmtId="49" fontId="106" fillId="0" borderId="145" xfId="0" applyNumberFormat="1" applyFont="1" applyBorder="1" applyAlignment="1">
      <alignment horizontal="right" vertical="center"/>
    </xf>
    <xf numFmtId="49" fontId="106" fillId="0" borderId="145" xfId="0" applyNumberFormat="1" applyFont="1" applyBorder="1" applyAlignment="1">
      <alignment vertical="top" wrapText="1"/>
    </xf>
    <xf numFmtId="49" fontId="106" fillId="0" borderId="145" xfId="0" applyNumberFormat="1" applyFont="1" applyBorder="1" applyAlignment="1">
      <alignment horizontal="left" vertical="top" wrapText="1" indent="2"/>
    </xf>
    <xf numFmtId="49" fontId="106" fillId="0" borderId="145" xfId="0" applyNumberFormat="1" applyFont="1" applyBorder="1" applyAlignment="1">
      <alignment horizontal="left" vertical="center" wrapText="1" indent="3"/>
    </xf>
    <xf numFmtId="49" fontId="106" fillId="0" borderId="145" xfId="0" applyNumberFormat="1" applyFont="1" applyBorder="1" applyAlignment="1">
      <alignment horizontal="left" wrapText="1" indent="2"/>
    </xf>
    <xf numFmtId="49" fontId="106" fillId="0" borderId="145" xfId="0" applyNumberFormat="1" applyFont="1" applyBorder="1" applyAlignment="1">
      <alignment horizontal="left" vertical="top" wrapText="1"/>
    </xf>
    <xf numFmtId="49" fontId="106" fillId="0" borderId="145" xfId="0" applyNumberFormat="1" applyFont="1" applyBorder="1" applyAlignment="1">
      <alignment horizontal="left" wrapText="1" indent="3"/>
    </xf>
    <xf numFmtId="49" fontId="106" fillId="0" borderId="145" xfId="0" applyNumberFormat="1" applyFont="1" applyBorder="1" applyAlignment="1">
      <alignment vertical="center"/>
    </xf>
    <xf numFmtId="49" fontId="106" fillId="0" borderId="145" xfId="0" applyNumberFormat="1" applyFont="1" applyBorder="1" applyAlignment="1">
      <alignment horizontal="left" indent="3"/>
    </xf>
    <xf numFmtId="0" fontId="106" fillId="0" borderId="145" xfId="0" applyFont="1" applyBorder="1" applyAlignment="1">
      <alignment horizontal="left" indent="1"/>
    </xf>
    <xf numFmtId="0" fontId="106" fillId="0" borderId="145" xfId="0" applyFont="1" applyBorder="1" applyAlignment="1">
      <alignment horizontal="left" wrapText="1" indent="2"/>
    </xf>
    <xf numFmtId="0" fontId="106" fillId="0" borderId="145" xfId="0" applyFont="1" applyBorder="1" applyAlignment="1">
      <alignment horizontal="left" vertical="top" wrapText="1"/>
    </xf>
    <xf numFmtId="0" fontId="105" fillId="0" borderId="7" xfId="0" applyFont="1" applyBorder="1" applyAlignment="1">
      <alignment wrapText="1"/>
    </xf>
    <xf numFmtId="0" fontId="106" fillId="0" borderId="145" xfId="0" applyFont="1" applyBorder="1" applyAlignment="1">
      <alignment horizontal="left" vertical="top" wrapText="1" indent="2"/>
    </xf>
    <xf numFmtId="0" fontId="106" fillId="0" borderId="145" xfId="0" applyFont="1" applyBorder="1" applyAlignment="1">
      <alignment horizontal="left" wrapText="1"/>
    </xf>
    <xf numFmtId="0" fontId="106" fillId="0" borderId="145" xfId="12672" applyFont="1" applyBorder="1" applyAlignment="1">
      <alignment horizontal="left" vertical="center" wrapText="1" indent="2"/>
    </xf>
    <xf numFmtId="0" fontId="106" fillId="0" borderId="145" xfId="0" applyFont="1" applyBorder="1" applyAlignment="1">
      <alignment wrapText="1"/>
    </xf>
    <xf numFmtId="0" fontId="106" fillId="0" borderId="145" xfId="0" applyFont="1" applyBorder="1"/>
    <xf numFmtId="0" fontId="106" fillId="0" borderId="145" xfId="12672" applyFont="1" applyBorder="1" applyAlignment="1">
      <alignment horizontal="left" vertical="center" wrapText="1"/>
    </xf>
    <xf numFmtId="0" fontId="105" fillId="0" borderId="145" xfId="0" applyFont="1" applyBorder="1" applyAlignment="1">
      <alignment wrapText="1"/>
    </xf>
    <xf numFmtId="0" fontId="106" fillId="0" borderId="147" xfId="0" applyFont="1" applyBorder="1" applyAlignment="1">
      <alignment horizontal="left" vertical="center" wrapText="1"/>
    </xf>
    <xf numFmtId="0" fontId="106" fillId="3" borderId="145" xfId="5" applyFont="1" applyFill="1" applyBorder="1" applyAlignment="1" applyProtection="1">
      <alignment horizontal="right" vertical="center"/>
      <protection locked="0"/>
    </xf>
    <xf numFmtId="2" fontId="106" fillId="3" borderId="145" xfId="5" applyNumberFormat="1" applyFont="1" applyFill="1" applyBorder="1" applyAlignment="1" applyProtection="1">
      <alignment horizontal="right" vertical="center"/>
      <protection locked="0"/>
    </xf>
    <xf numFmtId="0" fontId="106" fillId="0" borderId="145" xfId="0" applyFont="1" applyBorder="1" applyAlignment="1">
      <alignment vertical="center"/>
    </xf>
    <xf numFmtId="0" fontId="106" fillId="0" borderId="147"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0" borderId="146"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6" xfId="0" applyFont="1" applyBorder="1" applyAlignment="1">
      <alignment horizontal="left" indent="2"/>
    </xf>
    <xf numFmtId="0" fontId="106" fillId="0" borderId="133" xfId="0" applyFont="1" applyBorder="1" applyAlignment="1">
      <alignment horizontal="left" vertical="center" wrapText="1" readingOrder="1"/>
    </xf>
    <xf numFmtId="0" fontId="106" fillId="0" borderId="145" xfId="0" applyFont="1" applyBorder="1" applyAlignment="1">
      <alignment horizontal="left" vertical="center" wrapText="1" readingOrder="1"/>
    </xf>
    <xf numFmtId="167" fontId="19" fillId="82"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3" borderId="145" xfId="0" applyFont="1" applyFill="1" applyBorder="1" applyAlignment="1">
      <alignment horizontal="left" vertical="center"/>
    </xf>
    <xf numFmtId="49" fontId="145" fillId="0" borderId="145" xfId="0" applyNumberFormat="1" applyFont="1" applyBorder="1" applyAlignment="1">
      <alignment horizontal="left" vertical="center"/>
    </xf>
    <xf numFmtId="0" fontId="145" fillId="0" borderId="145" xfId="0" applyFont="1" applyBorder="1" applyAlignment="1">
      <alignment horizontal="left" vertical="center"/>
    </xf>
    <xf numFmtId="0" fontId="144" fillId="0" borderId="145" xfId="0" applyFont="1" applyBorder="1" applyAlignment="1">
      <alignment horizontal="left" vertical="center"/>
    </xf>
    <xf numFmtId="0" fontId="144" fillId="84" borderId="17" xfId="0" applyFont="1" applyFill="1" applyBorder="1" applyAlignment="1">
      <alignment horizontal="center" vertical="center"/>
    </xf>
    <xf numFmtId="0" fontId="144" fillId="84" borderId="18" xfId="0" applyFont="1" applyFill="1" applyBorder="1" applyAlignment="1">
      <alignment horizontal="center" vertical="center"/>
    </xf>
    <xf numFmtId="194" fontId="144" fillId="83" borderId="154" xfId="7" applyNumberFormat="1" applyFont="1" applyFill="1" applyBorder="1" applyAlignment="1">
      <alignment horizontal="left" vertical="center"/>
    </xf>
    <xf numFmtId="194" fontId="145" fillId="0" borderId="154" xfId="7" applyNumberFormat="1" applyFont="1" applyFill="1" applyBorder="1" applyAlignment="1">
      <alignment horizontal="left" vertical="center"/>
    </xf>
    <xf numFmtId="10" fontId="7" fillId="0" borderId="154" xfId="0" applyNumberFormat="1" applyFont="1" applyBorder="1" applyAlignment="1">
      <alignment horizontal="right" vertical="center" wrapText="1"/>
    </xf>
    <xf numFmtId="0" fontId="148" fillId="85" borderId="152" xfId="0" applyFont="1" applyFill="1" applyBorder="1" applyAlignment="1">
      <alignment horizontal="left" vertical="center"/>
    </xf>
    <xf numFmtId="10" fontId="149" fillId="87" borderId="151" xfId="0" applyNumberFormat="1" applyFont="1" applyFill="1" applyBorder="1" applyAlignment="1">
      <alignment horizontal="right" vertical="center" wrapText="1"/>
    </xf>
    <xf numFmtId="0" fontId="0" fillId="0" borderId="1" xfId="0" applyBorder="1"/>
    <xf numFmtId="0" fontId="4" fillId="86" borderId="145" xfId="0" applyFont="1" applyFill="1" applyBorder="1" applyAlignment="1">
      <alignment horizontal="center" vertical="center" wrapText="1"/>
    </xf>
    <xf numFmtId="0" fontId="6" fillId="87" borderId="145" xfId="0" applyFont="1" applyFill="1" applyBorder="1" applyAlignment="1">
      <alignment vertical="center" wrapText="1"/>
    </xf>
    <xf numFmtId="194" fontId="6" fillId="87" borderId="145" xfId="7" applyNumberFormat="1" applyFont="1" applyFill="1" applyBorder="1" applyAlignment="1">
      <alignment vertical="center"/>
    </xf>
    <xf numFmtId="194" fontId="6" fillId="87" borderId="154" xfId="7" applyNumberFormat="1" applyFont="1" applyFill="1" applyBorder="1" applyAlignment="1">
      <alignment vertical="center"/>
    </xf>
    <xf numFmtId="0" fontId="145" fillId="83" borderId="145" xfId="0" applyFont="1" applyFill="1" applyBorder="1" applyAlignment="1">
      <alignment horizontal="left" vertical="center" wrapText="1" indent="3"/>
    </xf>
    <xf numFmtId="194" fontId="6" fillId="36" borderId="145" xfId="7" applyNumberFormat="1" applyFont="1" applyFill="1" applyBorder="1" applyAlignment="1">
      <alignment vertical="center"/>
    </xf>
    <xf numFmtId="0" fontId="152" fillId="83" borderId="145" xfId="0" applyFont="1" applyFill="1" applyBorder="1" applyAlignment="1">
      <alignment horizontal="left" vertical="center" wrapText="1" indent="5"/>
    </xf>
    <xf numFmtId="0" fontId="153" fillId="84" borderId="145" xfId="0" applyFont="1" applyFill="1" applyBorder="1" applyAlignment="1">
      <alignment horizontal="left" vertical="center" wrapText="1" indent="1"/>
    </xf>
    <xf numFmtId="194" fontId="153" fillId="84" borderId="145" xfId="7" applyNumberFormat="1" applyFont="1" applyFill="1" applyBorder="1" applyAlignment="1">
      <alignment vertical="center"/>
    </xf>
    <xf numFmtId="194" fontId="153" fillId="85" borderId="154" xfId="7" applyNumberFormat="1" applyFont="1" applyFill="1" applyBorder="1" applyAlignment="1">
      <alignment vertical="center"/>
    </xf>
    <xf numFmtId="194" fontId="154" fillId="83" borderId="145" xfId="7" applyNumberFormat="1" applyFont="1" applyFill="1" applyBorder="1" applyAlignment="1">
      <alignment vertical="center"/>
    </xf>
    <xf numFmtId="194" fontId="154" fillId="85" borderId="154" xfId="7" applyNumberFormat="1" applyFont="1" applyFill="1" applyBorder="1" applyAlignment="1">
      <alignment vertical="center"/>
    </xf>
    <xf numFmtId="0" fontId="152" fillId="83" borderId="152" xfId="0" applyFont="1" applyFill="1" applyBorder="1" applyAlignment="1">
      <alignment horizontal="left" vertical="center" wrapText="1" indent="5"/>
    </xf>
    <xf numFmtId="194" fontId="154" fillId="83" borderId="152" xfId="7" applyNumberFormat="1" applyFont="1" applyFill="1" applyBorder="1" applyAlignment="1">
      <alignment vertical="center"/>
    </xf>
    <xf numFmtId="194" fontId="154" fillId="85" borderId="151" xfId="7" applyNumberFormat="1" applyFont="1" applyFill="1" applyBorder="1" applyAlignment="1">
      <alignment vertical="center"/>
    </xf>
    <xf numFmtId="0" fontId="7" fillId="0" borderId="145"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5" xfId="12672" applyFont="1" applyBorder="1" applyAlignment="1">
      <alignment horizontal="left" vertical="center" wrapText="1"/>
    </xf>
    <xf numFmtId="0" fontId="155" fillId="0" borderId="146" xfId="0" applyFont="1" applyBorder="1" applyAlignment="1">
      <alignment horizontal="left" vertical="top" wrapText="1"/>
    </xf>
    <xf numFmtId="0" fontId="155" fillId="0" borderId="145" xfId="0" applyFont="1" applyBorder="1" applyAlignment="1">
      <alignment vertical="center" wrapText="1"/>
    </xf>
    <xf numFmtId="49" fontId="106" fillId="88" borderId="76" xfId="0" applyNumberFormat="1" applyFont="1" applyFill="1" applyBorder="1" applyAlignment="1">
      <alignment horizontal="right" vertical="center"/>
    </xf>
    <xf numFmtId="193" fontId="7" fillId="0" borderId="145" xfId="0" applyNumberFormat="1" applyFont="1" applyBorder="1" applyAlignment="1" applyProtection="1">
      <alignment vertical="center" wrapText="1"/>
      <protection locked="0"/>
    </xf>
    <xf numFmtId="164" fontId="7" fillId="0" borderId="145" xfId="7" applyNumberFormat="1" applyFont="1" applyBorder="1" applyAlignment="1" applyProtection="1">
      <alignment vertical="center" wrapText="1"/>
      <protection locked="0"/>
    </xf>
    <xf numFmtId="164" fontId="4" fillId="0" borderId="145" xfId="7" applyNumberFormat="1" applyFont="1" applyBorder="1" applyAlignment="1" applyProtection="1">
      <alignment vertical="center" wrapText="1"/>
      <protection locked="0"/>
    </xf>
    <xf numFmtId="193" fontId="7" fillId="0" borderId="145" xfId="0" applyNumberFormat="1" applyFont="1" applyBorder="1" applyAlignment="1" applyProtection="1">
      <alignment horizontal="right" vertical="center" wrapText="1"/>
      <protection locked="0"/>
    </xf>
    <xf numFmtId="193" fontId="4" fillId="0" borderId="145" xfId="0" applyNumberFormat="1" applyFont="1" applyBorder="1" applyAlignment="1" applyProtection="1">
      <alignmen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xf>
    <xf numFmtId="10" fontId="4" fillId="0" borderId="145" xfId="20961" applyNumberFormat="1" applyFont="1" applyBorder="1" applyAlignment="1" applyProtection="1">
      <alignment vertical="center" wrapText="1"/>
      <protection locked="0"/>
    </xf>
    <xf numFmtId="10" fontId="4" fillId="89" borderId="98" xfId="20961" applyNumberFormat="1" applyFont="1" applyFill="1" applyBorder="1" applyAlignment="1" applyProtection="1">
      <alignment horizontal="right" vertical="center" wrapText="1"/>
      <protection locked="0"/>
    </xf>
    <xf numFmtId="10" fontId="4" fillId="89" borderId="98" xfId="20961" applyNumberFormat="1" applyFont="1" applyFill="1" applyBorder="1" applyAlignment="1" applyProtection="1">
      <alignment vertical="center" wrapText="1"/>
      <protection locked="0"/>
    </xf>
    <xf numFmtId="10" fontId="4" fillId="89" borderId="111" xfId="20961" applyNumberFormat="1" applyFont="1" applyFill="1" applyBorder="1" applyAlignment="1" applyProtection="1">
      <alignment vertical="center" wrapText="1"/>
      <protection locked="0"/>
    </xf>
    <xf numFmtId="10" fontId="9" fillId="0" borderId="145" xfId="20961" applyNumberFormat="1" applyFont="1" applyFill="1" applyBorder="1" applyAlignment="1" applyProtection="1">
      <alignment vertical="center"/>
      <protection locked="0"/>
    </xf>
    <xf numFmtId="10" fontId="17" fillId="2" borderId="145" xfId="20961" applyNumberFormat="1" applyFont="1" applyFill="1" applyBorder="1" applyAlignment="1" applyProtection="1">
      <alignment vertical="center"/>
      <protection locked="0"/>
    </xf>
    <xf numFmtId="10" fontId="9" fillId="2" borderId="145" xfId="20961" applyNumberFormat="1" applyFont="1" applyFill="1" applyBorder="1" applyAlignment="1" applyProtection="1">
      <alignment vertical="center"/>
      <protection locked="0"/>
    </xf>
    <xf numFmtId="10" fontId="17" fillId="2" borderId="145" xfId="20961" applyNumberFormat="1" applyFont="1" applyFill="1" applyBorder="1" applyAlignment="1" applyProtection="1">
      <alignment vertical="center"/>
    </xf>
    <xf numFmtId="193" fontId="9" fillId="0" borderId="145" xfId="0" applyNumberFormat="1" applyFont="1" applyBorder="1" applyAlignment="1" applyProtection="1">
      <alignment vertical="center"/>
      <protection locked="0"/>
    </xf>
    <xf numFmtId="164" fontId="9" fillId="0" borderId="145" xfId="7" applyNumberFormat="1" applyFont="1" applyFill="1" applyBorder="1" applyAlignment="1" applyProtection="1">
      <alignment vertical="center"/>
      <protection locked="0"/>
    </xf>
    <xf numFmtId="164" fontId="9" fillId="2" borderId="145" xfId="7" applyNumberFormat="1" applyFont="1" applyFill="1" applyBorder="1" applyAlignment="1" applyProtection="1">
      <alignment vertical="center"/>
      <protection locked="0"/>
    </xf>
    <xf numFmtId="164" fontId="17" fillId="2" borderId="145" xfId="7" applyNumberFormat="1" applyFont="1" applyFill="1" applyBorder="1" applyAlignment="1" applyProtection="1">
      <alignment vertical="center"/>
      <protection locked="0"/>
    </xf>
    <xf numFmtId="9" fontId="9" fillId="0" borderId="145" xfId="20961" applyFont="1" applyFill="1" applyBorder="1" applyAlignment="1" applyProtection="1">
      <alignment vertical="center"/>
      <protection locked="0"/>
    </xf>
    <xf numFmtId="9" fontId="9" fillId="2" borderId="145" xfId="20961" applyFont="1" applyFill="1" applyBorder="1" applyAlignment="1" applyProtection="1">
      <alignment vertical="center"/>
    </xf>
    <xf numFmtId="193" fontId="9" fillId="2" borderId="146" xfId="0" applyNumberFormat="1" applyFont="1" applyFill="1" applyBorder="1" applyAlignment="1" applyProtection="1">
      <alignment vertical="center"/>
      <protection locked="0"/>
    </xf>
    <xf numFmtId="193" fontId="17" fillId="2" borderId="146" xfId="0" applyNumberFormat="1" applyFont="1" applyFill="1" applyBorder="1" applyAlignment="1" applyProtection="1">
      <alignment vertical="center"/>
      <protection locked="0"/>
    </xf>
    <xf numFmtId="10" fontId="9" fillId="2" borderId="152" xfId="20961" applyNumberFormat="1" applyFont="1" applyFill="1" applyBorder="1" applyAlignment="1" applyProtection="1">
      <alignment vertical="center"/>
      <protection locked="0"/>
    </xf>
    <xf numFmtId="9" fontId="17" fillId="2" borderId="152" xfId="20961" applyFont="1" applyFill="1" applyBorder="1" applyAlignment="1" applyProtection="1">
      <alignment vertical="center"/>
      <protection locked="0"/>
    </xf>
    <xf numFmtId="3" fontId="21" fillId="0" borderId="145" xfId="0" applyNumberFormat="1" applyFont="1" applyBorder="1" applyAlignment="1">
      <alignment vertical="center" wrapText="1"/>
    </xf>
    <xf numFmtId="3" fontId="21" fillId="0" borderId="148" xfId="0" applyNumberFormat="1" applyFont="1" applyBorder="1" applyAlignment="1">
      <alignment vertical="center" wrapText="1"/>
    </xf>
    <xf numFmtId="164" fontId="0" fillId="0" borderId="98" xfId="7" applyNumberFormat="1" applyFont="1" applyBorder="1"/>
    <xf numFmtId="164" fontId="0" fillId="36" borderId="98" xfId="7" applyNumberFormat="1" applyFont="1" applyFill="1" applyBorder="1"/>
    <xf numFmtId="164" fontId="0" fillId="0" borderId="98" xfId="7" applyNumberFormat="1" applyFont="1" applyBorder="1" applyAlignment="1">
      <alignment vertical="center"/>
    </xf>
    <xf numFmtId="164" fontId="0" fillId="36" borderId="98" xfId="7" applyNumberFormat="1" applyFont="1" applyFill="1" applyBorder="1" applyAlignment="1">
      <alignment vertical="center"/>
    </xf>
    <xf numFmtId="164" fontId="0" fillId="0" borderId="137" xfId="7" applyNumberFormat="1" applyFont="1" applyBorder="1"/>
    <xf numFmtId="164" fontId="0" fillId="36" borderId="137" xfId="7" applyNumberFormat="1" applyFont="1" applyFill="1" applyBorder="1"/>
    <xf numFmtId="164" fontId="3" fillId="0" borderId="145" xfId="7" applyNumberFormat="1" applyFont="1" applyBorder="1"/>
    <xf numFmtId="164" fontId="0" fillId="0" borderId="145" xfId="7" applyNumberFormat="1" applyFont="1" applyBorder="1"/>
    <xf numFmtId="164" fontId="0" fillId="0" borderId="145" xfId="7" applyNumberFormat="1" applyFont="1" applyFill="1" applyBorder="1"/>
    <xf numFmtId="164" fontId="3" fillId="0" borderId="137" xfId="7" applyNumberFormat="1" applyFont="1" applyBorder="1"/>
    <xf numFmtId="193" fontId="10" fillId="0" borderId="137" xfId="0" applyNumberFormat="1" applyFont="1" applyBorder="1" applyAlignment="1">
      <alignment horizontal="right"/>
    </xf>
    <xf numFmtId="193" fontId="10" fillId="0" borderId="145" xfId="0" applyNumberFormat="1" applyFont="1" applyBorder="1" applyAlignment="1">
      <alignment horizontal="right"/>
    </xf>
    <xf numFmtId="193" fontId="9" fillId="0" borderId="145" xfId="0" applyNumberFormat="1" applyFont="1" applyBorder="1" applyAlignment="1">
      <alignment horizontal="right"/>
    </xf>
    <xf numFmtId="10" fontId="9" fillId="2" borderId="98"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95" fontId="0" fillId="0" borderId="0" xfId="7" applyNumberFormat="1" applyFont="1"/>
    <xf numFmtId="43" fontId="0" fillId="0" borderId="0" xfId="0" applyNumberFormat="1"/>
    <xf numFmtId="43" fontId="6" fillId="0" borderId="137" xfId="7" applyFont="1" applyFill="1" applyBorder="1" applyAlignment="1">
      <alignment vertical="center" wrapText="1"/>
    </xf>
    <xf numFmtId="43" fontId="6" fillId="0" borderId="137" xfId="7" applyFont="1" applyBorder="1" applyAlignment="1">
      <alignment vertical="center"/>
    </xf>
    <xf numFmtId="164" fontId="4" fillId="0" borderId="111" xfId="7" applyNumberFormat="1" applyFont="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9" fillId="0" borderId="111" xfId="7" applyNumberFormat="1" applyFont="1" applyBorder="1" applyAlignment="1">
      <alignment horizontal="right" vertical="center" wrapText="1"/>
    </xf>
    <xf numFmtId="164" fontId="6" fillId="36"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64" fontId="23" fillId="0" borderId="137" xfId="7" applyNumberFormat="1" applyFont="1" applyBorder="1" applyAlignment="1">
      <alignment horizontal="center"/>
    </xf>
    <xf numFmtId="164" fontId="22" fillId="0" borderId="137" xfId="7" applyNumberFormat="1" applyFont="1" applyBorder="1" applyAlignment="1">
      <alignment horizontal="center"/>
    </xf>
    <xf numFmtId="164" fontId="22" fillId="0" borderId="137" xfId="7" applyNumberFormat="1" applyFont="1" applyBorder="1" applyAlignment="1">
      <alignment horizontal="center" vertical="center"/>
    </xf>
    <xf numFmtId="164" fontId="23" fillId="0" borderId="137" xfId="7" applyNumberFormat="1" applyFont="1" applyBorder="1" applyAlignment="1">
      <alignment horizontal="center" vertical="center"/>
    </xf>
    <xf numFmtId="164" fontId="22" fillId="0" borderId="30"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19"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3" fillId="0" borderId="13"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5"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19" fillId="0" borderId="13" xfId="7" applyNumberFormat="1" applyFont="1" applyBorder="1" applyAlignment="1">
      <alignment vertical="center"/>
    </xf>
    <xf numFmtId="164" fontId="23" fillId="0" borderId="137" xfId="7" applyNumberFormat="1" applyFont="1" applyBorder="1"/>
    <xf numFmtId="164" fontId="4" fillId="0" borderId="0" xfId="7" applyNumberFormat="1" applyFont="1"/>
    <xf numFmtId="43" fontId="4" fillId="0" borderId="0" xfId="0" applyNumberFormat="1" applyFont="1"/>
    <xf numFmtId="164" fontId="12" fillId="0" borderId="0" xfId="7" applyNumberFormat="1" applyFont="1"/>
    <xf numFmtId="43" fontId="12" fillId="0" borderId="0" xfId="0" applyNumberFormat="1" applyFont="1"/>
    <xf numFmtId="164" fontId="4" fillId="36" borderId="24" xfId="7" applyNumberFormat="1" applyFont="1" applyFill="1" applyBorder="1"/>
    <xf numFmtId="9" fontId="12" fillId="0" borderId="0" xfId="20961" applyFont="1"/>
    <xf numFmtId="164" fontId="4" fillId="0" borderId="99" xfId="7" applyNumberFormat="1" applyFont="1" applyBorder="1" applyAlignment="1">
      <alignment vertical="center"/>
    </xf>
    <xf numFmtId="164" fontId="4" fillId="0" borderId="99" xfId="0" applyNumberFormat="1" applyFont="1" applyBorder="1" applyAlignment="1">
      <alignment vertical="center"/>
    </xf>
    <xf numFmtId="164" fontId="6" fillId="0" borderId="98" xfId="0" applyNumberFormat="1" applyFont="1" applyBorder="1" applyAlignment="1">
      <alignment vertical="center"/>
    </xf>
    <xf numFmtId="164" fontId="6" fillId="0" borderId="99" xfId="0" applyNumberFormat="1" applyFont="1" applyBorder="1" applyAlignment="1">
      <alignment vertical="center"/>
    </xf>
    <xf numFmtId="164" fontId="4" fillId="0" borderId="53" xfId="7" applyNumberFormat="1" applyFont="1" applyBorder="1" applyAlignment="1">
      <alignment vertical="center"/>
    </xf>
    <xf numFmtId="164" fontId="4" fillId="3" borderId="96" xfId="7" applyNumberFormat="1" applyFont="1" applyFill="1" applyBorder="1" applyAlignment="1">
      <alignment vertical="center"/>
    </xf>
    <xf numFmtId="164" fontId="4" fillId="0" borderId="23" xfId="0" applyNumberFormat="1" applyFont="1" applyBorder="1" applyAlignment="1">
      <alignment vertical="center"/>
    </xf>
    <xf numFmtId="164" fontId="6" fillId="0" borderId="23" xfId="0" applyNumberFormat="1" applyFont="1" applyBorder="1" applyAlignment="1">
      <alignment vertical="center"/>
    </xf>
    <xf numFmtId="164" fontId="4" fillId="3" borderId="26" xfId="7" applyNumberFormat="1" applyFont="1" applyFill="1" applyBorder="1" applyAlignment="1">
      <alignment vertical="center"/>
    </xf>
    <xf numFmtId="164" fontId="6" fillId="3" borderId="26" xfId="0" applyNumberFormat="1" applyFont="1" applyFill="1" applyBorder="1" applyAlignment="1">
      <alignment vertical="center"/>
    </xf>
    <xf numFmtId="164" fontId="4" fillId="3" borderId="144" xfId="7" applyNumberFormat="1" applyFont="1" applyFill="1" applyBorder="1" applyAlignment="1">
      <alignment vertical="center"/>
    </xf>
    <xf numFmtId="10" fontId="4" fillId="3" borderId="93" xfId="20961" applyNumberFormat="1" applyFont="1" applyFill="1" applyBorder="1" applyAlignment="1">
      <alignment vertical="center"/>
    </xf>
    <xf numFmtId="164" fontId="6" fillId="3" borderId="144" xfId="7" applyNumberFormat="1" applyFont="1" applyFill="1" applyBorder="1" applyAlignment="1">
      <alignment vertical="center"/>
    </xf>
    <xf numFmtId="10" fontId="6" fillId="3" borderId="93" xfId="20961" applyNumberFormat="1" applyFont="1" applyFill="1" applyBorder="1" applyAlignment="1">
      <alignment vertical="center"/>
    </xf>
    <xf numFmtId="164" fontId="6" fillId="3" borderId="145" xfId="7" applyNumberFormat="1" applyFont="1" applyFill="1" applyBorder="1" applyAlignment="1">
      <alignment vertical="center"/>
    </xf>
    <xf numFmtId="10" fontId="6" fillId="3" borderId="145" xfId="20961" applyNumberFormat="1" applyFont="1" applyFill="1" applyBorder="1" applyAlignment="1">
      <alignment vertical="center"/>
    </xf>
    <xf numFmtId="164" fontId="6" fillId="3" borderId="145" xfId="0" applyNumberFormat="1" applyFont="1" applyFill="1" applyBorder="1" applyAlignment="1">
      <alignment vertical="center"/>
    </xf>
    <xf numFmtId="165" fontId="113" fillId="78" borderId="98" xfId="20961" applyNumberFormat="1" applyFont="1" applyFill="1" applyBorder="1" applyAlignment="1" applyProtection="1">
      <alignment horizontal="right" vertical="center"/>
    </xf>
    <xf numFmtId="164" fontId="120" fillId="0" borderId="137" xfId="7" applyNumberFormat="1" applyFont="1" applyBorder="1"/>
    <xf numFmtId="164" fontId="3" fillId="0" borderId="98" xfId="7" applyNumberFormat="1" applyFont="1" applyBorder="1"/>
    <xf numFmtId="164" fontId="116" fillId="0" borderId="145" xfId="7" applyNumberFormat="1" applyFont="1" applyBorder="1"/>
    <xf numFmtId="164" fontId="119" fillId="0" borderId="145" xfId="7" applyNumberFormat="1" applyFont="1" applyBorder="1"/>
    <xf numFmtId="164" fontId="116" fillId="36" borderId="145" xfId="7" applyNumberFormat="1" applyFont="1" applyFill="1" applyBorder="1"/>
    <xf numFmtId="164" fontId="117" fillId="0" borderId="145" xfId="7" applyNumberFormat="1" applyFont="1" applyBorder="1"/>
    <xf numFmtId="164" fontId="120" fillId="0" borderId="145" xfId="7" applyNumberFormat="1" applyFont="1" applyBorder="1"/>
    <xf numFmtId="164" fontId="119" fillId="0" borderId="145" xfId="0" applyNumberFormat="1" applyFont="1" applyBorder="1" applyAlignment="1">
      <alignment horizontal="left" indent="1"/>
    </xf>
    <xf numFmtId="164" fontId="119" fillId="0" borderId="145" xfId="0" applyNumberFormat="1" applyFont="1" applyBorder="1"/>
    <xf numFmtId="164" fontId="116" fillId="0" borderId="145" xfId="7" applyNumberFormat="1" applyFont="1" applyBorder="1" applyAlignment="1">
      <alignment horizontal="left" indent="1"/>
    </xf>
    <xf numFmtId="164" fontId="116" fillId="0" borderId="145" xfId="7" applyNumberFormat="1" applyFont="1" applyBorder="1" applyAlignment="1">
      <alignment horizontal="center" vertical="center" wrapText="1"/>
    </xf>
    <xf numFmtId="164" fontId="116" fillId="0" borderId="145" xfId="7" applyNumberFormat="1" applyFont="1" applyBorder="1" applyAlignment="1">
      <alignment horizontal="center" vertical="center"/>
    </xf>
    <xf numFmtId="164" fontId="116" fillId="0" borderId="145" xfId="7" applyNumberFormat="1" applyFont="1" applyBorder="1" applyAlignment="1">
      <alignment horizontal="left" vertical="center" wrapText="1"/>
    </xf>
    <xf numFmtId="164" fontId="119" fillId="0" borderId="145" xfId="0" applyNumberFormat="1" applyFont="1" applyBorder="1" applyAlignment="1">
      <alignment horizontal="left" vertical="center" wrapText="1"/>
    </xf>
    <xf numFmtId="164" fontId="119" fillId="0" borderId="69" xfId="0" applyNumberFormat="1" applyFont="1" applyBorder="1"/>
    <xf numFmtId="164" fontId="116" fillId="0" borderId="155" xfId="7" applyNumberFormat="1" applyFont="1" applyBorder="1" applyAlignment="1">
      <alignment horizontal="left" indent="3"/>
    </xf>
    <xf numFmtId="164" fontId="119" fillId="0" borderId="155" xfId="7" applyNumberFormat="1" applyFont="1" applyBorder="1" applyAlignment="1">
      <alignment horizontal="left" indent="2"/>
    </xf>
    <xf numFmtId="164" fontId="119" fillId="0" borderId="155" xfId="7" applyNumberFormat="1" applyFont="1" applyFill="1" applyBorder="1" applyAlignment="1">
      <alignment horizontal="left" indent="2"/>
    </xf>
    <xf numFmtId="164" fontId="116" fillId="80" borderId="155" xfId="7" applyNumberFormat="1" applyFont="1" applyFill="1" applyBorder="1"/>
    <xf numFmtId="164" fontId="116" fillId="80" borderId="145" xfId="7" applyNumberFormat="1" applyFont="1" applyFill="1" applyBorder="1"/>
    <xf numFmtId="164" fontId="116" fillId="80" borderId="154" xfId="7" applyNumberFormat="1" applyFont="1" applyFill="1" applyBorder="1"/>
    <xf numFmtId="164" fontId="119" fillId="0" borderId="155" xfId="7" applyNumberFormat="1" applyFont="1" applyBorder="1" applyAlignment="1">
      <alignment horizontal="left" wrapText="1" indent="3"/>
    </xf>
    <xf numFmtId="164" fontId="116" fillId="0" borderId="145" xfId="7" applyNumberFormat="1" applyFont="1" applyFill="1" applyBorder="1"/>
    <xf numFmtId="43" fontId="121" fillId="0" borderId="145" xfId="7" applyFont="1" applyBorder="1"/>
    <xf numFmtId="164" fontId="121" fillId="0" borderId="145" xfId="7" applyNumberFormat="1" applyFont="1" applyBorder="1"/>
    <xf numFmtId="164" fontId="156" fillId="0" borderId="145" xfId="0" applyNumberFormat="1" applyFont="1" applyBorder="1"/>
    <xf numFmtId="164" fontId="156" fillId="0" borderId="145" xfId="7" applyNumberFormat="1" applyFont="1" applyBorder="1"/>
    <xf numFmtId="164" fontId="121" fillId="0" borderId="145" xfId="0" applyNumberFormat="1" applyFont="1" applyBorder="1"/>
    <xf numFmtId="164" fontId="121" fillId="0" borderId="146" xfId="7" applyNumberFormat="1" applyFont="1" applyBorder="1"/>
    <xf numFmtId="9" fontId="121" fillId="0" borderId="145" xfId="20961" applyFont="1" applyBorder="1"/>
    <xf numFmtId="9" fontId="121" fillId="0" borderId="146" xfId="20961" applyFont="1" applyBorder="1"/>
    <xf numFmtId="43" fontId="121" fillId="0" borderId="146" xfId="7" applyFont="1" applyBorder="1"/>
    <xf numFmtId="43" fontId="156" fillId="0" borderId="145" xfId="7" applyFont="1" applyBorder="1"/>
    <xf numFmtId="0" fontId="11" fillId="0" borderId="3" xfId="17" applyBorder="1" applyAlignment="1" applyProtection="1"/>
    <xf numFmtId="0" fontId="11" fillId="0" borderId="0" xfId="17" applyFill="1" applyAlignment="1" applyProtection="1"/>
    <xf numFmtId="0" fontId="132" fillId="0" borderId="145" xfId="21414" applyFont="1" applyBorder="1" applyAlignment="1">
      <alignment horizontal="left" vertical="center" wrapText="1"/>
    </xf>
    <xf numFmtId="9" fontId="156" fillId="0" borderId="145" xfId="20961" applyFont="1" applyBorder="1"/>
    <xf numFmtId="0" fontId="9" fillId="0" borderId="155" xfId="0" applyFont="1" applyBorder="1" applyAlignment="1">
      <alignment vertical="center"/>
    </xf>
    <xf numFmtId="0" fontId="13" fillId="0" borderId="145" xfId="0" applyFont="1" applyBorder="1" applyAlignment="1">
      <alignment wrapText="1"/>
    </xf>
    <xf numFmtId="10" fontId="4" fillId="0" borderId="21" xfId="20961" applyNumberFormat="1" applyFont="1" applyBorder="1"/>
    <xf numFmtId="10" fontId="4" fillId="0" borderId="21" xfId="0" applyNumberFormat="1" applyFont="1" applyBorder="1"/>
    <xf numFmtId="0" fontId="9" fillId="0" borderId="106" xfId="0" applyFont="1" applyBorder="1" applyAlignment="1">
      <alignment vertical="center"/>
    </xf>
    <xf numFmtId="0" fontId="13" fillId="0" borderId="144" xfId="0" applyFont="1" applyBorder="1" applyAlignment="1">
      <alignment wrapText="1"/>
    </xf>
    <xf numFmtId="10" fontId="4" fillId="0" borderId="111" xfId="20961" applyNumberFormat="1" applyFont="1" applyBorder="1"/>
    <xf numFmtId="10" fontId="4" fillId="0" borderId="67" xfId="20961" applyNumberFormat="1" applyFont="1" applyBorder="1"/>
    <xf numFmtId="10" fontId="4" fillId="0" borderId="24" xfId="20961" applyNumberFormat="1" applyFont="1" applyBorder="1"/>
    <xf numFmtId="164" fontId="4" fillId="0" borderId="98" xfId="7" applyNumberFormat="1" applyFont="1" applyBorder="1" applyAlignment="1">
      <alignment horizontal="center" vertical="center"/>
    </xf>
    <xf numFmtId="164" fontId="0" fillId="0" borderId="0" xfId="7" applyNumberFormat="1" applyFont="1"/>
    <xf numFmtId="164" fontId="0" fillId="0" borderId="0" xfId="0" applyNumberFormat="1"/>
    <xf numFmtId="164" fontId="6" fillId="0" borderId="98" xfId="7" applyNumberFormat="1" applyFont="1" applyFill="1" applyBorder="1"/>
    <xf numFmtId="164" fontId="6" fillId="0" borderId="98" xfId="7" applyNumberFormat="1" applyFont="1" applyFill="1" applyBorder="1" applyAlignment="1">
      <alignment vertical="center"/>
    </xf>
    <xf numFmtId="164" fontId="6" fillId="0" borderId="98" xfId="7" applyNumberFormat="1" applyFont="1" applyBorder="1"/>
    <xf numFmtId="164" fontId="6" fillId="0" borderId="98" xfId="7" applyNumberFormat="1" applyFont="1" applyBorder="1" applyAlignment="1">
      <alignment vertical="center"/>
    </xf>
    <xf numFmtId="164" fontId="0" fillId="0" borderId="137" xfId="7" applyNumberFormat="1" applyFont="1" applyFill="1" applyBorder="1"/>
    <xf numFmtId="16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193" fontId="9" fillId="0" borderId="98" xfId="0" applyNumberFormat="1" applyFont="1" applyBorder="1" applyAlignment="1" applyProtection="1">
      <alignment vertical="center"/>
      <protection locked="0"/>
    </xf>
    <xf numFmtId="9" fontId="9" fillId="0" borderId="98" xfId="20961" applyFont="1" applyFill="1" applyBorder="1" applyAlignment="1" applyProtection="1">
      <alignment vertical="center"/>
      <protection locked="0"/>
    </xf>
    <xf numFmtId="164" fontId="116" fillId="0" borderId="0" xfId="0" applyNumberFormat="1" applyFont="1"/>
    <xf numFmtId="14" fontId="4" fillId="0" borderId="0" xfId="0" applyNumberFormat="1" applyFont="1" applyAlignment="1">
      <alignment horizontal="left" vertical="top"/>
    </xf>
    <xf numFmtId="14" fontId="4" fillId="0" borderId="0" xfId="0" applyNumberFormat="1" applyFont="1" applyAlignment="1">
      <alignment horizontal="left"/>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8" xfId="0" applyFont="1" applyBorder="1" applyAlignment="1">
      <alignment horizontal="center" vertical="center"/>
    </xf>
    <xf numFmtId="0" fontId="141" fillId="0" borderId="29" xfId="0" applyFont="1" applyBorder="1" applyAlignment="1">
      <alignment horizontal="center" vertical="center"/>
    </xf>
    <xf numFmtId="0" fontId="141" fillId="0" borderId="159" xfId="0" applyFont="1" applyBorder="1" applyAlignment="1">
      <alignment horizontal="center" vertical="center"/>
    </xf>
    <xf numFmtId="164" fontId="0" fillId="0" borderId="99" xfId="7" applyNumberFormat="1" applyFont="1" applyBorder="1" applyAlignment="1">
      <alignment horizontal="center"/>
    </xf>
    <xf numFmtId="164" fontId="0" fillId="0" borderId="96" xfId="7" applyNumberFormat="1" applyFont="1" applyBorder="1" applyAlignment="1">
      <alignment horizontal="center"/>
    </xf>
    <xf numFmtId="164" fontId="0" fillId="0" borderId="97" xfId="7" applyNumberFormat="1" applyFont="1" applyBorder="1" applyAlignment="1">
      <alignment horizontal="center"/>
    </xf>
    <xf numFmtId="164" fontId="0" fillId="0" borderId="138"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0" fontId="0" fillId="0" borderId="137"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28" fillId="0" borderId="141"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7" xfId="0" applyFont="1" applyFill="1" applyBorder="1" applyAlignment="1">
      <alignment horizontal="center" vertical="center" wrapText="1"/>
    </xf>
    <xf numFmtId="0" fontId="4" fillId="86" borderId="7" xfId="0" applyFont="1" applyFill="1" applyBorder="1" applyAlignment="1">
      <alignment horizontal="center" vertical="center" wrapText="1"/>
    </xf>
    <xf numFmtId="0" fontId="4" fillId="86" borderId="145" xfId="0" applyFont="1" applyFill="1" applyBorder="1" applyAlignment="1">
      <alignment horizontal="center" vertical="center" wrapText="1"/>
    </xf>
    <xf numFmtId="0" fontId="4" fillId="86" borderId="7" xfId="11" applyFont="1" applyFill="1" applyBorder="1" applyAlignment="1">
      <alignment horizontal="center" vertical="top"/>
    </xf>
    <xf numFmtId="0" fontId="6" fillId="87" borderId="64" xfId="0" applyFont="1" applyFill="1" applyBorder="1" applyAlignment="1">
      <alignment horizontal="center" vertical="center" wrapText="1"/>
    </xf>
    <xf numFmtId="0" fontId="6" fillId="87" borderId="154"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5"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9" fillId="0" borderId="118" xfId="0" applyFont="1" applyBorder="1" applyAlignment="1">
      <alignment horizontal="left" vertical="center" wrapText="1"/>
    </xf>
    <xf numFmtId="0" fontId="119" fillId="0" borderId="119" xfId="0" applyFont="1" applyBorder="1" applyAlignment="1">
      <alignment horizontal="left" vertical="center" wrapText="1"/>
    </xf>
    <xf numFmtId="0" fontId="119" fillId="0" borderId="121"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4" xfId="0" applyFont="1" applyBorder="1" applyAlignment="1">
      <alignment horizontal="left" vertical="center" wrapText="1"/>
    </xf>
    <xf numFmtId="0" fontId="119" fillId="0" borderId="125" xfId="0" applyFont="1" applyBorder="1" applyAlignment="1">
      <alignment horizontal="left" vertical="center" wrapText="1"/>
    </xf>
    <xf numFmtId="0" fontId="120" fillId="0" borderId="144" xfId="0" applyFont="1" applyBorder="1" applyAlignment="1">
      <alignment horizontal="center" vertical="center" wrapText="1"/>
    </xf>
    <xf numFmtId="0" fontId="120" fillId="0" borderId="143" xfId="0" applyFont="1" applyBorder="1" applyAlignment="1">
      <alignment horizontal="center" vertical="center" wrapText="1"/>
    </xf>
    <xf numFmtId="0" fontId="120" fillId="0" borderId="120"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3"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7" xfId="0" applyFont="1" applyBorder="1" applyAlignment="1">
      <alignment horizontal="center" vertical="center" wrapText="1"/>
    </xf>
    <xf numFmtId="0" fontId="124" fillId="0" borderId="145" xfId="0" applyFont="1" applyBorder="1" applyAlignment="1">
      <alignment horizontal="center" vertical="center"/>
    </xf>
    <xf numFmtId="0" fontId="118" fillId="0" borderId="144" xfId="0" applyFont="1" applyBorder="1" applyAlignment="1">
      <alignment horizontal="center" vertical="center"/>
    </xf>
    <xf numFmtId="0" fontId="118" fillId="0" borderId="149"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5" xfId="0" applyFont="1" applyBorder="1" applyAlignment="1">
      <alignment horizontal="center" vertical="center" wrapText="1"/>
    </xf>
    <xf numFmtId="0" fontId="119" fillId="0" borderId="144" xfId="0" applyFont="1" applyBorder="1" applyAlignment="1">
      <alignment horizontal="center" vertical="center" wrapText="1"/>
    </xf>
    <xf numFmtId="0" fontId="119" fillId="0" borderId="149" xfId="0" applyFont="1" applyBorder="1" applyAlignment="1">
      <alignment horizontal="center" vertical="center" wrapText="1"/>
    </xf>
    <xf numFmtId="0" fontId="119" fillId="0" borderId="126"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0"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43"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4"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5"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5"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7" xfId="0" applyFont="1" applyBorder="1" applyAlignment="1">
      <alignment horizontal="left" vertical="top" wrapText="1"/>
    </xf>
    <xf numFmtId="0" fontId="119" fillId="0" borderId="156" xfId="0" applyFont="1" applyBorder="1" applyAlignment="1">
      <alignment horizontal="left" vertical="top" wrapText="1"/>
    </xf>
    <xf numFmtId="0" fontId="119" fillId="0" borderId="157"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4" xfId="0" applyFont="1" applyBorder="1" applyAlignment="1">
      <alignment horizontal="center" vertical="top" wrapText="1"/>
    </xf>
    <xf numFmtId="0" fontId="116" fillId="0" borderId="143" xfId="0" applyFont="1" applyBorder="1" applyAlignment="1">
      <alignment horizontal="center" vertical="top" wrapText="1"/>
    </xf>
    <xf numFmtId="0" fontId="116" fillId="0" borderId="150" xfId="0" applyFont="1" applyBorder="1" applyAlignment="1">
      <alignment horizontal="center" vertical="top" wrapText="1"/>
    </xf>
    <xf numFmtId="0" fontId="116" fillId="0" borderId="147" xfId="0" applyFont="1" applyBorder="1" applyAlignment="1">
      <alignment horizontal="center" vertical="top" wrapText="1"/>
    </xf>
    <xf numFmtId="0" fontId="105" fillId="0" borderId="129" xfId="0" applyFont="1" applyBorder="1" applyAlignment="1">
      <alignment horizontal="left" vertical="top" wrapText="1"/>
    </xf>
    <xf numFmtId="0" fontId="105" fillId="0" borderId="130" xfId="0" applyFont="1" applyBorder="1" applyAlignment="1">
      <alignment horizontal="left" vertical="top" wrapText="1"/>
    </xf>
    <xf numFmtId="0" fontId="122" fillId="0" borderId="145" xfId="0" applyFont="1" applyBorder="1" applyAlignment="1">
      <alignment horizontal="center" vertical="center"/>
    </xf>
    <xf numFmtId="0" fontId="121" fillId="0" borderId="145" xfId="0" applyFont="1" applyBorder="1" applyAlignment="1">
      <alignment horizontal="center" vertical="center" wrapText="1"/>
    </xf>
    <xf numFmtId="0" fontId="121" fillId="0" borderId="146" xfId="0" applyFont="1" applyBorder="1" applyAlignment="1">
      <alignment horizontal="center"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5" fillId="76"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xf numFmtId="0" fontId="106" fillId="0" borderId="99" xfId="0" applyFont="1" applyBorder="1" applyAlignment="1">
      <alignment vertical="center" wrapText="1"/>
    </xf>
    <xf numFmtId="0" fontId="106" fillId="0" borderId="97" xfId="0" applyFont="1" applyBorder="1" applyAlignment="1">
      <alignment vertical="center" wrapText="1"/>
    </xf>
    <xf numFmtId="0" fontId="106" fillId="0" borderId="138" xfId="0" applyFont="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5" fillId="76" borderId="82" xfId="0" applyFont="1" applyFill="1" applyBorder="1" applyAlignment="1">
      <alignment horizontal="center" vertical="center" wrapText="1"/>
    </xf>
    <xf numFmtId="0" fontId="105" fillId="76" borderId="0" xfId="0" applyFont="1" applyFill="1" applyAlignment="1">
      <alignment horizontal="center" vertical="center" wrapText="1"/>
    </xf>
    <xf numFmtId="0" fontId="105" fillId="76" borderId="83" xfId="0" applyFont="1" applyFill="1" applyBorder="1" applyAlignment="1">
      <alignment horizontal="center" vertical="center" wrapText="1"/>
    </xf>
    <xf numFmtId="0" fontId="105" fillId="88" borderId="82"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83" xfId="0" applyFont="1" applyFill="1" applyBorder="1" applyAlignment="1">
      <alignment horizontal="center" vertical="center" wrapText="1"/>
    </xf>
    <xf numFmtId="0" fontId="106" fillId="88" borderId="77" xfId="0" applyFont="1" applyFill="1" applyBorder="1" applyAlignment="1">
      <alignment horizontal="left" vertical="center" wrapText="1"/>
    </xf>
    <xf numFmtId="0" fontId="106" fillId="88" borderId="78" xfId="0" applyFont="1" applyFill="1" applyBorder="1" applyAlignment="1">
      <alignment horizontal="left" vertical="center" wrapText="1"/>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5" fillId="76" borderId="89" xfId="0" applyFont="1" applyFill="1" applyBorder="1" applyAlignment="1">
      <alignment horizontal="center" vertical="center"/>
    </xf>
    <xf numFmtId="0" fontId="105" fillId="76" borderId="145" xfId="0" applyFont="1" applyFill="1" applyBorder="1" applyAlignment="1">
      <alignment horizontal="center" vertical="center" wrapText="1"/>
    </xf>
    <xf numFmtId="0" fontId="105" fillId="0" borderId="145" xfId="0" applyFont="1" applyBorder="1" applyAlignment="1">
      <alignment horizontal="center" vertical="center"/>
    </xf>
    <xf numFmtId="0" fontId="106" fillId="0" borderId="148" xfId="13" applyFont="1" applyBorder="1" applyAlignment="1" applyProtection="1">
      <alignment horizontal="left" vertical="top" wrapText="1"/>
      <protection locked="0"/>
    </xf>
    <xf numFmtId="0" fontId="106" fillId="0" borderId="147" xfId="13" applyFont="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6" fillId="3" borderId="147"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49" fontId="106" fillId="0" borderId="0" xfId="0" applyNumberFormat="1" applyFont="1" applyAlignment="1">
      <alignment horizontal="center" vertical="center"/>
    </xf>
    <xf numFmtId="0" fontId="105" fillId="76" borderId="148" xfId="0" applyFont="1" applyFill="1" applyBorder="1" applyAlignment="1">
      <alignment horizontal="center" vertical="center" wrapText="1"/>
    </xf>
    <xf numFmtId="0" fontId="105" fillId="76" borderId="147" xfId="0" applyFont="1" applyFill="1" applyBorder="1" applyAlignment="1">
      <alignment horizontal="center" vertical="center" wrapText="1"/>
    </xf>
    <xf numFmtId="0" fontId="106" fillId="0" borderId="148" xfId="0" applyFont="1" applyBorder="1" applyAlignment="1">
      <alignment horizontal="left" vertical="center" wrapText="1"/>
    </xf>
    <xf numFmtId="0" fontId="106" fillId="0" borderId="147" xfId="0" applyFont="1" applyBorder="1" applyAlignment="1">
      <alignment horizontal="left" vertical="center" wrapText="1"/>
    </xf>
    <xf numFmtId="0" fontId="106" fillId="0" borderId="145" xfId="0" applyFont="1" applyBorder="1" applyAlignment="1">
      <alignment horizontal="left" vertical="top" wrapText="1"/>
    </xf>
    <xf numFmtId="0" fontId="106" fillId="0" borderId="148" xfId="0" applyFont="1" applyBorder="1" applyAlignment="1">
      <alignment horizontal="left" vertical="top" wrapText="1"/>
    </xf>
    <xf numFmtId="0" fontId="106" fillId="0" borderId="145" xfId="0" applyFont="1" applyBorder="1" applyAlignment="1">
      <alignment horizontal="left" vertical="center" wrapText="1"/>
    </xf>
    <xf numFmtId="0" fontId="106" fillId="0" borderId="145" xfId="0" applyFont="1" applyBorder="1" applyAlignment="1">
      <alignment horizontal="center"/>
    </xf>
    <xf numFmtId="0" fontId="106" fillId="0" borderId="147" xfId="0" applyFont="1" applyBorder="1" applyAlignment="1">
      <alignment horizontal="left" vertical="top"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do.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7"/>
  <sheetViews>
    <sheetView tabSelected="1" zoomScale="80" zoomScaleNormal="80" workbookViewId="0">
      <pane xSplit="1" ySplit="7" topLeftCell="B8" activePane="bottomRight" state="frozen"/>
      <selection pane="topRight" activeCell="B1" sqref="B1"/>
      <selection pane="bottomLeft" activeCell="A8" sqref="A8"/>
      <selection pane="bottomRight" activeCell="C5" sqref="C5"/>
    </sheetView>
  </sheetViews>
  <sheetFormatPr defaultRowHeight="14.4"/>
  <cols>
    <col min="1" max="1" width="10.21875" style="1" customWidth="1"/>
    <col min="2" max="2" width="153" bestFit="1" customWidth="1"/>
    <col min="3" max="3" width="39.44140625" customWidth="1"/>
    <col min="7" max="7" width="25" customWidth="1"/>
  </cols>
  <sheetData>
    <row r="1" spans="1:3">
      <c r="A1" s="6"/>
      <c r="B1" s="119" t="s">
        <v>160</v>
      </c>
      <c r="C1" s="46"/>
    </row>
    <row r="2" spans="1:3" s="116" customFormat="1">
      <c r="A2" s="160">
        <v>1</v>
      </c>
      <c r="B2" s="117" t="s">
        <v>161</v>
      </c>
      <c r="C2" s="115" t="s">
        <v>1001</v>
      </c>
    </row>
    <row r="3" spans="1:3" s="116" customFormat="1">
      <c r="A3" s="160">
        <v>2</v>
      </c>
      <c r="B3" s="118" t="s">
        <v>162</v>
      </c>
      <c r="C3" s="115" t="s">
        <v>1002</v>
      </c>
    </row>
    <row r="4" spans="1:3" s="116" customFormat="1">
      <c r="A4" s="160">
        <v>3</v>
      </c>
      <c r="B4" s="118" t="s">
        <v>163</v>
      </c>
      <c r="C4" s="115" t="s">
        <v>1003</v>
      </c>
    </row>
    <row r="5" spans="1:3" s="116" customFormat="1">
      <c r="A5" s="161">
        <v>4</v>
      </c>
      <c r="B5" s="121" t="s">
        <v>164</v>
      </c>
      <c r="C5" s="759" t="s">
        <v>1004</v>
      </c>
    </row>
    <row r="6" spans="1:3" s="120" customFormat="1" ht="65.25" customHeight="1">
      <c r="A6" s="787" t="s">
        <v>322</v>
      </c>
      <c r="B6" s="788"/>
      <c r="C6" s="788"/>
    </row>
    <row r="7" spans="1:3">
      <c r="A7" s="268" t="s">
        <v>252</v>
      </c>
      <c r="B7" s="269" t="s">
        <v>165</v>
      </c>
    </row>
    <row r="8" spans="1:3">
      <c r="A8" s="270">
        <v>1</v>
      </c>
      <c r="B8" s="266" t="s">
        <v>140</v>
      </c>
    </row>
    <row r="9" spans="1:3">
      <c r="A9" s="270">
        <v>2</v>
      </c>
      <c r="B9" s="266" t="s">
        <v>166</v>
      </c>
    </row>
    <row r="10" spans="1:3">
      <c r="A10" s="270">
        <v>3</v>
      </c>
      <c r="B10" s="266" t="s">
        <v>167</v>
      </c>
    </row>
    <row r="11" spans="1:3">
      <c r="A11" s="270">
        <v>4</v>
      </c>
      <c r="B11" s="266" t="s">
        <v>168</v>
      </c>
    </row>
    <row r="12" spans="1:3">
      <c r="A12" s="270">
        <v>5</v>
      </c>
      <c r="B12" s="266" t="s">
        <v>108</v>
      </c>
    </row>
    <row r="13" spans="1:3">
      <c r="A13" s="270">
        <v>6</v>
      </c>
      <c r="B13" s="271" t="s">
        <v>92</v>
      </c>
    </row>
    <row r="14" spans="1:3">
      <c r="A14" s="270">
        <v>7</v>
      </c>
      <c r="B14" s="266" t="s">
        <v>169</v>
      </c>
    </row>
    <row r="15" spans="1:3">
      <c r="A15" s="270">
        <v>8</v>
      </c>
      <c r="B15" s="266" t="s">
        <v>172</v>
      </c>
    </row>
    <row r="16" spans="1:3">
      <c r="A16" s="270">
        <v>9</v>
      </c>
      <c r="B16" s="266" t="s">
        <v>86</v>
      </c>
    </row>
    <row r="17" spans="1:2">
      <c r="A17" s="272" t="s">
        <v>379</v>
      </c>
      <c r="B17" s="266" t="s">
        <v>359</v>
      </c>
    </row>
    <row r="18" spans="1:2">
      <c r="A18" s="270">
        <v>9.1999999999999993</v>
      </c>
      <c r="B18" s="760" t="s">
        <v>975</v>
      </c>
    </row>
    <row r="19" spans="1:2">
      <c r="A19" s="270">
        <v>9.3000000000000007</v>
      </c>
      <c r="B19" s="760" t="s">
        <v>976</v>
      </c>
    </row>
    <row r="20" spans="1:2">
      <c r="A20" s="270">
        <v>10</v>
      </c>
      <c r="B20" s="266" t="s">
        <v>173</v>
      </c>
    </row>
    <row r="21" spans="1:2">
      <c r="A21" s="270">
        <v>11</v>
      </c>
      <c r="B21" s="271" t="s">
        <v>156</v>
      </c>
    </row>
    <row r="22" spans="1:2">
      <c r="A22" s="270">
        <v>12</v>
      </c>
      <c r="B22" s="271" t="s">
        <v>153</v>
      </c>
    </row>
    <row r="23" spans="1:2">
      <c r="A23" s="270">
        <v>13</v>
      </c>
      <c r="B23" s="273" t="s">
        <v>298</v>
      </c>
    </row>
    <row r="24" spans="1:2">
      <c r="A24" s="270">
        <v>14</v>
      </c>
      <c r="B24" s="266" t="s">
        <v>352</v>
      </c>
    </row>
    <row r="25" spans="1:2">
      <c r="A25" s="270">
        <v>15</v>
      </c>
      <c r="B25" s="266" t="s">
        <v>75</v>
      </c>
    </row>
    <row r="26" spans="1:2">
      <c r="A26" s="270">
        <v>15.1</v>
      </c>
      <c r="B26" s="266" t="s">
        <v>388</v>
      </c>
    </row>
    <row r="27" spans="1:2">
      <c r="A27" s="270">
        <v>16</v>
      </c>
      <c r="B27" s="266" t="s">
        <v>450</v>
      </c>
    </row>
    <row r="28" spans="1:2">
      <c r="A28" s="270">
        <v>17</v>
      </c>
      <c r="B28" s="266" t="s">
        <v>674</v>
      </c>
    </row>
    <row r="29" spans="1:2">
      <c r="A29" s="270">
        <v>18</v>
      </c>
      <c r="B29" s="266" t="s">
        <v>933</v>
      </c>
    </row>
    <row r="30" spans="1:2">
      <c r="A30" s="270">
        <v>19</v>
      </c>
      <c r="B30" s="266" t="s">
        <v>934</v>
      </c>
    </row>
    <row r="31" spans="1:2">
      <c r="A31" s="270">
        <v>20</v>
      </c>
      <c r="B31" s="266" t="s">
        <v>935</v>
      </c>
    </row>
    <row r="32" spans="1:2">
      <c r="A32" s="270">
        <v>21</v>
      </c>
      <c r="B32" s="266" t="s">
        <v>543</v>
      </c>
    </row>
    <row r="33" spans="1:2">
      <c r="A33" s="270">
        <v>22</v>
      </c>
      <c r="B33" s="266" t="s">
        <v>936</v>
      </c>
    </row>
    <row r="34" spans="1:2" ht="26.4">
      <c r="A34" s="270">
        <v>23</v>
      </c>
      <c r="B34" s="594" t="s">
        <v>932</v>
      </c>
    </row>
    <row r="35" spans="1:2">
      <c r="A35" s="270">
        <v>24</v>
      </c>
      <c r="B35" s="266" t="s">
        <v>937</v>
      </c>
    </row>
    <row r="36" spans="1:2">
      <c r="A36" s="270">
        <v>25</v>
      </c>
      <c r="B36" s="266" t="s">
        <v>938</v>
      </c>
    </row>
    <row r="37" spans="1:2">
      <c r="A37" s="270">
        <v>26</v>
      </c>
      <c r="B37" s="266" t="s">
        <v>719</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7" location="'16. NSFR'!A1" display="წმინდა სტაბილური დაფინანსების კოეფიციენტი" xr:uid="{00000000-0004-0000-0000-000011000000}"/>
    <hyperlink ref="B28"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2" location="'21. NPL'!A1" display="უმოქმედო სესხების ცვლილება" xr:uid="{00000000-0004-0000-0000-000015000000}"/>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1" location="'20. Reserves'!A1" display="რეზერვის ცვლილება სესხებზე და კორპორატიულ სავალო ფასიანი ქაღალდებზე" xr:uid="{00000000-0004-0000-0000-00001A000000}"/>
    <hyperlink ref="B37"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C5" r:id="rId1" xr:uid="{829DC0E1-917A-490D-B95A-042093C91B6A}"/>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Normal="100" workbookViewId="0">
      <pane xSplit="1" ySplit="5" topLeftCell="B41" activePane="bottomRight" state="frozen"/>
      <selection pane="topRight" activeCell="B1" sqref="B1"/>
      <selection pane="bottomLeft" activeCell="A5" sqref="A5"/>
      <selection pane="bottomRight" activeCell="C53" activeCellId="1" sqref="C29 C53"/>
    </sheetView>
  </sheetViews>
  <sheetFormatPr defaultRowHeight="14.4"/>
  <cols>
    <col min="1" max="1" width="9.5546875" style="1" bestFit="1" customWidth="1"/>
    <col min="2" max="2" width="132.44140625" style="1" customWidth="1"/>
    <col min="3" max="3" width="18.44140625" style="1" customWidth="1"/>
  </cols>
  <sheetData>
    <row r="1" spans="1:6">
      <c r="A1" s="12" t="s">
        <v>109</v>
      </c>
      <c r="B1" s="11" t="str">
        <f>Info!C2</f>
        <v>კრედო</v>
      </c>
      <c r="D1" s="1"/>
      <c r="E1" s="1"/>
      <c r="F1" s="1"/>
    </row>
    <row r="2" spans="1:6" s="12" customFormat="1" ht="15.75" customHeight="1">
      <c r="A2" s="12" t="s">
        <v>110</v>
      </c>
      <c r="B2" s="335">
        <f>'1. key ratios'!B2</f>
        <v>45657</v>
      </c>
    </row>
    <row r="3" spans="1:6" s="12" customFormat="1" ht="15.75" customHeight="1"/>
    <row r="4" spans="1:6" ht="15" thickBot="1">
      <c r="A4" s="1" t="s">
        <v>258</v>
      </c>
      <c r="B4" s="22" t="s">
        <v>86</v>
      </c>
    </row>
    <row r="5" spans="1:6">
      <c r="A5" s="77" t="s">
        <v>26</v>
      </c>
      <c r="B5" s="78"/>
      <c r="C5" s="79" t="s">
        <v>27</v>
      </c>
    </row>
    <row r="6" spans="1:6">
      <c r="A6" s="80">
        <v>1</v>
      </c>
      <c r="B6" s="42" t="s">
        <v>28</v>
      </c>
      <c r="C6" s="170">
        <f>SUM(C7:C11)</f>
        <v>377602915.24641442</v>
      </c>
    </row>
    <row r="7" spans="1:6">
      <c r="A7" s="80">
        <v>2</v>
      </c>
      <c r="B7" s="39" t="s">
        <v>29</v>
      </c>
      <c r="C7" s="171">
        <v>5239960</v>
      </c>
    </row>
    <row r="8" spans="1:6">
      <c r="A8" s="80">
        <v>3</v>
      </c>
      <c r="B8" s="34" t="s">
        <v>30</v>
      </c>
      <c r="C8" s="171">
        <v>39150769.530000001</v>
      </c>
    </row>
    <row r="9" spans="1:6">
      <c r="A9" s="80">
        <v>4</v>
      </c>
      <c r="B9" s="34" t="s">
        <v>31</v>
      </c>
      <c r="C9" s="171"/>
    </row>
    <row r="10" spans="1:6">
      <c r="A10" s="80">
        <v>5</v>
      </c>
      <c r="B10" s="34" t="s">
        <v>32</v>
      </c>
      <c r="C10" s="171"/>
    </row>
    <row r="11" spans="1:6">
      <c r="A11" s="80">
        <v>6</v>
      </c>
      <c r="B11" s="40" t="s">
        <v>33</v>
      </c>
      <c r="C11" s="171">
        <v>333212185.71641445</v>
      </c>
    </row>
    <row r="12" spans="1:6" s="2" customFormat="1">
      <c r="A12" s="80">
        <v>7</v>
      </c>
      <c r="B12" s="42" t="s">
        <v>34</v>
      </c>
      <c r="C12" s="172">
        <f>SUM(C13:C28)</f>
        <v>29954496.670000006</v>
      </c>
    </row>
    <row r="13" spans="1:6" s="2" customFormat="1">
      <c r="A13" s="80">
        <v>8</v>
      </c>
      <c r="B13" s="41" t="s">
        <v>35</v>
      </c>
      <c r="C13" s="173"/>
    </row>
    <row r="14" spans="1:6" s="2" customFormat="1" ht="27.6">
      <c r="A14" s="80">
        <v>9</v>
      </c>
      <c r="B14" s="35" t="s">
        <v>36</v>
      </c>
      <c r="C14" s="173"/>
    </row>
    <row r="15" spans="1:6" s="2" customFormat="1">
      <c r="A15" s="80">
        <v>10</v>
      </c>
      <c r="B15" s="36" t="s">
        <v>37</v>
      </c>
      <c r="C15" s="173">
        <v>29954496.670000006</v>
      </c>
    </row>
    <row r="16" spans="1:6" s="2" customFormat="1">
      <c r="A16" s="80">
        <v>11</v>
      </c>
      <c r="B16" s="37" t="s">
        <v>38</v>
      </c>
      <c r="C16" s="173"/>
    </row>
    <row r="17" spans="1:3" s="2" customFormat="1">
      <c r="A17" s="80">
        <v>12</v>
      </c>
      <c r="B17" s="36" t="s">
        <v>39</v>
      </c>
      <c r="C17" s="173"/>
    </row>
    <row r="18" spans="1:3" s="2" customFormat="1">
      <c r="A18" s="80">
        <v>13</v>
      </c>
      <c r="B18" s="36" t="s">
        <v>40</v>
      </c>
      <c r="C18" s="173"/>
    </row>
    <row r="19" spans="1:3" s="2" customFormat="1">
      <c r="A19" s="80">
        <v>14</v>
      </c>
      <c r="B19" s="36" t="s">
        <v>41</v>
      </c>
      <c r="C19" s="173"/>
    </row>
    <row r="20" spans="1:3" s="2" customFormat="1" ht="27.6">
      <c r="A20" s="80">
        <v>15</v>
      </c>
      <c r="B20" s="36" t="s">
        <v>42</v>
      </c>
      <c r="C20" s="173"/>
    </row>
    <row r="21" spans="1:3" s="2" customFormat="1" ht="27.6">
      <c r="A21" s="80">
        <v>16</v>
      </c>
      <c r="B21" s="35" t="s">
        <v>43</v>
      </c>
      <c r="C21" s="173"/>
    </row>
    <row r="22" spans="1:3" s="2" customFormat="1">
      <c r="A22" s="80">
        <v>17</v>
      </c>
      <c r="B22" s="81" t="s">
        <v>44</v>
      </c>
      <c r="C22" s="173"/>
    </row>
    <row r="23" spans="1:3" s="2" customFormat="1">
      <c r="A23" s="80">
        <v>18</v>
      </c>
      <c r="B23" s="629" t="s">
        <v>722</v>
      </c>
      <c r="C23" s="394"/>
    </row>
    <row r="24" spans="1:3" s="2" customFormat="1" ht="27.6">
      <c r="A24" s="80">
        <v>19</v>
      </c>
      <c r="B24" s="35" t="s">
        <v>45</v>
      </c>
      <c r="C24" s="173"/>
    </row>
    <row r="25" spans="1:3" s="2" customFormat="1" ht="27.6">
      <c r="A25" s="80">
        <v>20</v>
      </c>
      <c r="B25" s="35" t="s">
        <v>46</v>
      </c>
      <c r="C25" s="173"/>
    </row>
    <row r="26" spans="1:3" s="2" customFormat="1" ht="27.6">
      <c r="A26" s="80">
        <v>21</v>
      </c>
      <c r="B26" s="37" t="s">
        <v>47</v>
      </c>
      <c r="C26" s="173"/>
    </row>
    <row r="27" spans="1:3" s="2" customFormat="1">
      <c r="A27" s="80">
        <v>22</v>
      </c>
      <c r="B27" s="37" t="s">
        <v>48</v>
      </c>
      <c r="C27" s="173"/>
    </row>
    <row r="28" spans="1:3" s="2" customFormat="1" ht="27.6">
      <c r="A28" s="80">
        <v>23</v>
      </c>
      <c r="B28" s="37" t="s">
        <v>49</v>
      </c>
      <c r="C28" s="173"/>
    </row>
    <row r="29" spans="1:3" s="2" customFormat="1">
      <c r="A29" s="80">
        <v>24</v>
      </c>
      <c r="B29" s="43" t="s">
        <v>23</v>
      </c>
      <c r="C29" s="172">
        <f>C6-C12</f>
        <v>347648418.57641441</v>
      </c>
    </row>
    <row r="30" spans="1:3" s="2" customFormat="1">
      <c r="A30" s="82"/>
      <c r="B30" s="38"/>
      <c r="C30" s="173"/>
    </row>
    <row r="31" spans="1:3" s="2" customFormat="1">
      <c r="A31" s="82">
        <v>25</v>
      </c>
      <c r="B31" s="43" t="s">
        <v>50</v>
      </c>
      <c r="C31" s="172">
        <f>C32+C35</f>
        <v>0</v>
      </c>
    </row>
    <row r="32" spans="1:3" s="2" customFormat="1">
      <c r="A32" s="82">
        <v>26</v>
      </c>
      <c r="B32" s="34" t="s">
        <v>51</v>
      </c>
      <c r="C32" s="174">
        <f>C33+C34</f>
        <v>0</v>
      </c>
    </row>
    <row r="33" spans="1:3" s="2" customFormat="1">
      <c r="A33" s="82">
        <v>27</v>
      </c>
      <c r="B33" s="113" t="s">
        <v>52</v>
      </c>
      <c r="C33" s="173"/>
    </row>
    <row r="34" spans="1:3" s="2" customFormat="1">
      <c r="A34" s="82">
        <v>28</v>
      </c>
      <c r="B34" s="113" t="s">
        <v>53</v>
      </c>
      <c r="C34" s="173"/>
    </row>
    <row r="35" spans="1:3" s="2" customFormat="1">
      <c r="A35" s="82">
        <v>29</v>
      </c>
      <c r="B35" s="34" t="s">
        <v>54</v>
      </c>
      <c r="C35" s="173"/>
    </row>
    <row r="36" spans="1:3" s="2" customFormat="1">
      <c r="A36" s="82">
        <v>30</v>
      </c>
      <c r="B36" s="43" t="s">
        <v>55</v>
      </c>
      <c r="C36" s="172">
        <f>SUM(C37:C41)</f>
        <v>0</v>
      </c>
    </row>
    <row r="37" spans="1:3" s="2" customFormat="1">
      <c r="A37" s="82">
        <v>31</v>
      </c>
      <c r="B37" s="35" t="s">
        <v>56</v>
      </c>
      <c r="C37" s="173"/>
    </row>
    <row r="38" spans="1:3" s="2" customFormat="1">
      <c r="A38" s="82">
        <v>32</v>
      </c>
      <c r="B38" s="36" t="s">
        <v>57</v>
      </c>
      <c r="C38" s="173"/>
    </row>
    <row r="39" spans="1:3" s="2" customFormat="1" ht="27.6">
      <c r="A39" s="82">
        <v>33</v>
      </c>
      <c r="B39" s="35" t="s">
        <v>58</v>
      </c>
      <c r="C39" s="173"/>
    </row>
    <row r="40" spans="1:3" s="2" customFormat="1" ht="27.6">
      <c r="A40" s="82">
        <v>34</v>
      </c>
      <c r="B40" s="35" t="s">
        <v>46</v>
      </c>
      <c r="C40" s="173"/>
    </row>
    <row r="41" spans="1:3" s="2" customFormat="1" ht="27.6">
      <c r="A41" s="82">
        <v>35</v>
      </c>
      <c r="B41" s="37" t="s">
        <v>59</v>
      </c>
      <c r="C41" s="173"/>
    </row>
    <row r="42" spans="1:3" s="2" customFormat="1">
      <c r="A42" s="82">
        <v>36</v>
      </c>
      <c r="B42" s="43" t="s">
        <v>24</v>
      </c>
      <c r="C42" s="172">
        <f>C31-C36</f>
        <v>0</v>
      </c>
    </row>
    <row r="43" spans="1:3" s="2" customFormat="1">
      <c r="A43" s="82"/>
      <c r="B43" s="38"/>
      <c r="C43" s="173"/>
    </row>
    <row r="44" spans="1:3" s="2" customFormat="1">
      <c r="A44" s="82">
        <v>37</v>
      </c>
      <c r="B44" s="44" t="s">
        <v>60</v>
      </c>
      <c r="C44" s="172">
        <f>SUM(C45:C47)</f>
        <v>100977274.88</v>
      </c>
    </row>
    <row r="45" spans="1:3" s="2" customFormat="1">
      <c r="A45" s="82">
        <v>38</v>
      </c>
      <c r="B45" s="34" t="s">
        <v>61</v>
      </c>
      <c r="C45" s="173">
        <v>100977274.88</v>
      </c>
    </row>
    <row r="46" spans="1:3" s="2" customFormat="1">
      <c r="A46" s="82">
        <v>39</v>
      </c>
      <c r="B46" s="34" t="s">
        <v>62</v>
      </c>
      <c r="C46" s="173"/>
    </row>
    <row r="47" spans="1:3" s="2" customFormat="1">
      <c r="A47" s="82">
        <v>40</v>
      </c>
      <c r="B47" s="630" t="s">
        <v>721</v>
      </c>
      <c r="C47" s="173"/>
    </row>
    <row r="48" spans="1:3" s="2" customFormat="1">
      <c r="A48" s="82">
        <v>41</v>
      </c>
      <c r="B48" s="44" t="s">
        <v>63</v>
      </c>
      <c r="C48" s="172">
        <f>SUM(C49:C52)</f>
        <v>0</v>
      </c>
    </row>
    <row r="49" spans="1:3" s="2" customFormat="1">
      <c r="A49" s="82">
        <v>42</v>
      </c>
      <c r="B49" s="35" t="s">
        <v>64</v>
      </c>
      <c r="C49" s="173"/>
    </row>
    <row r="50" spans="1:3" s="2" customFormat="1">
      <c r="A50" s="82">
        <v>43</v>
      </c>
      <c r="B50" s="36" t="s">
        <v>65</v>
      </c>
      <c r="C50" s="173"/>
    </row>
    <row r="51" spans="1:3" s="2" customFormat="1" ht="27.6">
      <c r="A51" s="82">
        <v>44</v>
      </c>
      <c r="B51" s="35" t="s">
        <v>66</v>
      </c>
      <c r="C51" s="173"/>
    </row>
    <row r="52" spans="1:3" s="2" customFormat="1" ht="27.6">
      <c r="A52" s="82">
        <v>45</v>
      </c>
      <c r="B52" s="35" t="s">
        <v>46</v>
      </c>
      <c r="C52" s="173"/>
    </row>
    <row r="53" spans="1:3" s="2" customFormat="1" ht="15" thickBot="1">
      <c r="A53" s="82">
        <v>46</v>
      </c>
      <c r="B53" s="83" t="s">
        <v>25</v>
      </c>
      <c r="C53" s="175">
        <f>C44-C48</f>
        <v>100977274.88</v>
      </c>
    </row>
    <row r="56" spans="1:3">
      <c r="B56" s="1" t="s">
        <v>142</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zoomScale="80" zoomScaleNormal="80" workbookViewId="0">
      <selection activeCell="B23" sqref="B23"/>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4">
      <c r="A1" s="12" t="s">
        <v>109</v>
      </c>
      <c r="B1" s="11" t="str">
        <f>Info!C2</f>
        <v>კრედო</v>
      </c>
    </row>
    <row r="2" spans="1:4" s="12" customFormat="1" ht="15.75" customHeight="1">
      <c r="A2" s="12" t="s">
        <v>110</v>
      </c>
      <c r="B2" s="335">
        <f>'1. key ratios'!B2</f>
        <v>45657</v>
      </c>
    </row>
    <row r="3" spans="1:4" s="12" customFormat="1" ht="15.75" customHeight="1"/>
    <row r="4" spans="1:4" ht="14.4" thickBot="1">
      <c r="A4" s="1" t="s">
        <v>358</v>
      </c>
      <c r="B4" s="255" t="s">
        <v>359</v>
      </c>
    </row>
    <row r="5" spans="1:4" s="30" customFormat="1">
      <c r="A5" s="820" t="s">
        <v>360</v>
      </c>
      <c r="B5" s="821"/>
      <c r="C5" s="245" t="s">
        <v>361</v>
      </c>
      <c r="D5" s="246" t="s">
        <v>362</v>
      </c>
    </row>
    <row r="6" spans="1:4" s="256" customFormat="1">
      <c r="A6" s="247">
        <v>1</v>
      </c>
      <c r="B6" s="248" t="s">
        <v>363</v>
      </c>
      <c r="C6" s="248"/>
      <c r="D6" s="249"/>
    </row>
    <row r="7" spans="1:4" s="256" customFormat="1">
      <c r="A7" s="250" t="s">
        <v>364</v>
      </c>
      <c r="B7" s="251" t="s">
        <v>365</v>
      </c>
      <c r="C7" s="299">
        <v>4.4999999999999998E-2</v>
      </c>
      <c r="D7" s="682">
        <f>C7*'5. RWA'!$C$13</f>
        <v>117756882.41752003</v>
      </c>
    </row>
    <row r="8" spans="1:4" s="256" customFormat="1">
      <c r="A8" s="250" t="s">
        <v>366</v>
      </c>
      <c r="B8" s="251" t="s">
        <v>367</v>
      </c>
      <c r="C8" s="300">
        <v>0.06</v>
      </c>
      <c r="D8" s="682">
        <f>C8*'5. RWA'!$C$13</f>
        <v>157009176.55669338</v>
      </c>
    </row>
    <row r="9" spans="1:4" s="256" customFormat="1">
      <c r="A9" s="250" t="s">
        <v>368</v>
      </c>
      <c r="B9" s="251" t="s">
        <v>369</v>
      </c>
      <c r="C9" s="300">
        <v>0.08</v>
      </c>
      <c r="D9" s="682">
        <f>C9*'5. RWA'!$C$13</f>
        <v>209345568.74225783</v>
      </c>
    </row>
    <row r="10" spans="1:4" s="256" customFormat="1">
      <c r="A10" s="247" t="s">
        <v>370</v>
      </c>
      <c r="B10" s="248" t="s">
        <v>371</v>
      </c>
      <c r="C10" s="301"/>
      <c r="D10" s="683"/>
    </row>
    <row r="11" spans="1:4" s="257" customFormat="1">
      <c r="A11" s="252" t="s">
        <v>372</v>
      </c>
      <c r="B11" s="253" t="s">
        <v>434</v>
      </c>
      <c r="C11" s="302">
        <v>2.5000000000000001E-2</v>
      </c>
      <c r="D11" s="684">
        <f>C11*'5. RWA'!$C$13</f>
        <v>65420490.23195558</v>
      </c>
    </row>
    <row r="12" spans="1:4" s="257" customFormat="1">
      <c r="A12" s="252" t="s">
        <v>373</v>
      </c>
      <c r="B12" s="253" t="s">
        <v>374</v>
      </c>
      <c r="C12" s="302">
        <v>2.5000000000000001E-3</v>
      </c>
      <c r="D12" s="684">
        <f>C12*'5. RWA'!$C$13</f>
        <v>6542049.0231955573</v>
      </c>
    </row>
    <row r="13" spans="1:4" s="257" customFormat="1">
      <c r="A13" s="252" t="s">
        <v>375</v>
      </c>
      <c r="B13" s="253" t="s">
        <v>376</v>
      </c>
      <c r="C13" s="302"/>
      <c r="D13" s="684">
        <f>C13*'5. RWA'!$C$13</f>
        <v>0</v>
      </c>
    </row>
    <row r="14" spans="1:4" s="256" customFormat="1">
      <c r="A14" s="247" t="s">
        <v>377</v>
      </c>
      <c r="B14" s="248" t="s">
        <v>432</v>
      </c>
      <c r="C14" s="303"/>
      <c r="D14" s="683"/>
    </row>
    <row r="15" spans="1:4" s="256" customFormat="1">
      <c r="A15" s="267" t="s">
        <v>380</v>
      </c>
      <c r="B15" s="253" t="s">
        <v>433</v>
      </c>
      <c r="C15" s="302">
        <v>3.4608307453648499E-2</v>
      </c>
      <c r="D15" s="684">
        <f>C15*'5. RWA'!$C$13</f>
        <v>90563697.588637084</v>
      </c>
    </row>
    <row r="16" spans="1:4" s="256" customFormat="1">
      <c r="A16" s="267" t="s">
        <v>381</v>
      </c>
      <c r="B16" s="253" t="s">
        <v>383</v>
      </c>
      <c r="C16" s="302">
        <v>4.0545907581835759E-2</v>
      </c>
      <c r="D16" s="684">
        <f>C16*'5. RWA'!$C$13</f>
        <v>106101326.0361304</v>
      </c>
    </row>
    <row r="17" spans="1:4" s="256" customFormat="1">
      <c r="A17" s="267" t="s">
        <v>382</v>
      </c>
      <c r="B17" s="253" t="s">
        <v>430</v>
      </c>
      <c r="C17" s="302">
        <v>4.8358539329450577E-2</v>
      </c>
      <c r="D17" s="684">
        <f>C17*'5. RWA'!$C$13</f>
        <v>126545573.99335843</v>
      </c>
    </row>
    <row r="18" spans="1:4" s="30" customFormat="1">
      <c r="A18" s="822" t="s">
        <v>431</v>
      </c>
      <c r="B18" s="823"/>
      <c r="C18" s="304" t="s">
        <v>361</v>
      </c>
      <c r="D18" s="685" t="s">
        <v>362</v>
      </c>
    </row>
    <row r="19" spans="1:4" s="256" customFormat="1">
      <c r="A19" s="254">
        <v>4</v>
      </c>
      <c r="B19" s="253" t="s">
        <v>23</v>
      </c>
      <c r="C19" s="302">
        <f>C7+C11+C12+C13+C15</f>
        <v>0.10710830745364851</v>
      </c>
      <c r="D19" s="682">
        <f>C19*'5. RWA'!$C$13</f>
        <v>280283119.26130825</v>
      </c>
    </row>
    <row r="20" spans="1:4" s="256" customFormat="1">
      <c r="A20" s="254">
        <v>5</v>
      </c>
      <c r="B20" s="253" t="s">
        <v>87</v>
      </c>
      <c r="C20" s="302">
        <f>C8+C11+C12+C13+C16</f>
        <v>0.12804590758183576</v>
      </c>
      <c r="D20" s="682">
        <f>C20*'5. RWA'!$C$13</f>
        <v>335073041.8479749</v>
      </c>
    </row>
    <row r="21" spans="1:4" s="256" customFormat="1" ht="14.4" thickBot="1">
      <c r="A21" s="258" t="s">
        <v>378</v>
      </c>
      <c r="B21" s="259" t="s">
        <v>86</v>
      </c>
      <c r="C21" s="305">
        <f>C9+C11+C12+C13+C17</f>
        <v>0.1558585393294506</v>
      </c>
      <c r="D21" s="686">
        <f>C21*'5. RWA'!$C$13</f>
        <v>407853681.99076748</v>
      </c>
    </row>
    <row r="23" spans="1:4">
      <c r="B23" s="16"/>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showGridLines="0" zoomScaleNormal="100" workbookViewId="0">
      <selection activeCell="B19" sqref="B19"/>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600" t="s">
        <v>109</v>
      </c>
      <c r="B1" s="11" t="str">
        <f>Info!C2</f>
        <v>კრედო</v>
      </c>
    </row>
    <row r="2" spans="1:2">
      <c r="A2" s="600" t="s">
        <v>110</v>
      </c>
      <c r="B2" s="335">
        <f>'1. key ratios'!B2</f>
        <v>45657</v>
      </c>
    </row>
    <row r="3" spans="1:2">
      <c r="A3" s="601" t="s">
        <v>977</v>
      </c>
      <c r="B3" s="596" t="s">
        <v>948</v>
      </c>
    </row>
    <row r="4" spans="1:2" ht="15" thickBot="1"/>
    <row r="5" spans="1:2">
      <c r="A5" s="606"/>
      <c r="B5" s="607" t="s">
        <v>949</v>
      </c>
    </row>
    <row r="6" spans="1:2">
      <c r="A6" s="602" t="s">
        <v>950</v>
      </c>
      <c r="B6" s="608">
        <f>SUM(B7,B11)</f>
        <v>448625693.4564144</v>
      </c>
    </row>
    <row r="7" spans="1:2" ht="15.6">
      <c r="A7" s="602" t="s">
        <v>983</v>
      </c>
      <c r="B7" s="608">
        <f>SUM(B8:B10)</f>
        <v>448625693.4564144</v>
      </c>
    </row>
    <row r="8" spans="1:2">
      <c r="A8" s="603" t="s">
        <v>951</v>
      </c>
      <c r="B8" s="609">
        <f>'9. Capital'!C29</f>
        <v>347648418.57641441</v>
      </c>
    </row>
    <row r="9" spans="1:2">
      <c r="A9" s="603" t="s">
        <v>952</v>
      </c>
      <c r="B9" s="609">
        <f>'9. Capital'!C42</f>
        <v>0</v>
      </c>
    </row>
    <row r="10" spans="1:2">
      <c r="A10" s="603" t="s">
        <v>953</v>
      </c>
      <c r="B10" s="609">
        <f>'9. Capital'!C53</f>
        <v>100977274.88</v>
      </c>
    </row>
    <row r="11" spans="1:2">
      <c r="A11" s="602" t="s">
        <v>954</v>
      </c>
      <c r="B11" s="608">
        <f>SUM(B12:B13)</f>
        <v>0</v>
      </c>
    </row>
    <row r="12" spans="1:2" ht="15.6">
      <c r="A12" s="603" t="s">
        <v>984</v>
      </c>
      <c r="B12" s="609"/>
    </row>
    <row r="13" spans="1:2" ht="15.6">
      <c r="A13" s="603" t="s">
        <v>985</v>
      </c>
      <c r="B13" s="609"/>
    </row>
    <row r="14" spans="1:2">
      <c r="A14" s="602" t="s">
        <v>955</v>
      </c>
      <c r="B14" s="608">
        <f>SUM(B15:B16)</f>
        <v>448625693.4564144</v>
      </c>
    </row>
    <row r="15" spans="1:2">
      <c r="A15" s="604" t="s">
        <v>956</v>
      </c>
      <c r="B15" s="609"/>
    </row>
    <row r="16" spans="1:2">
      <c r="A16" s="604" t="s">
        <v>86</v>
      </c>
      <c r="B16" s="609">
        <f>B7</f>
        <v>448625693.4564144</v>
      </c>
    </row>
    <row r="17" spans="1:5">
      <c r="A17" s="602" t="s">
        <v>957</v>
      </c>
      <c r="B17" s="608"/>
    </row>
    <row r="18" spans="1:5">
      <c r="A18" s="604" t="s">
        <v>958</v>
      </c>
      <c r="B18" s="609">
        <f>'5. RWA'!C13</f>
        <v>2616819609.278223</v>
      </c>
    </row>
    <row r="19" spans="1:5">
      <c r="A19" s="604" t="s">
        <v>959</v>
      </c>
      <c r="B19" s="609">
        <f>'15.1. LR'!C36</f>
        <v>3161292227.8983312</v>
      </c>
    </row>
    <row r="20" spans="1:5">
      <c r="A20" s="602" t="s">
        <v>960</v>
      </c>
      <c r="B20" s="608"/>
    </row>
    <row r="21" spans="1:5">
      <c r="A21" s="605" t="s">
        <v>961</v>
      </c>
      <c r="B21" s="610">
        <f>IFERROR(B6/B18,0)</f>
        <v>0.17143928907661898</v>
      </c>
    </row>
    <row r="22" spans="1:5">
      <c r="A22" s="605" t="s">
        <v>962</v>
      </c>
      <c r="B22" s="610">
        <f>IFERROR(B6/B19,0)</f>
        <v>0.14191212362378364</v>
      </c>
    </row>
    <row r="23" spans="1:5" ht="15" thickBot="1">
      <c r="A23" s="611" t="s">
        <v>963</v>
      </c>
      <c r="B23" s="612">
        <f>IFERROR(B6/B14,0)</f>
        <v>1</v>
      </c>
    </row>
    <row r="24" spans="1:5" ht="16.5" customHeight="1">
      <c r="A24" s="599" t="s">
        <v>986</v>
      </c>
      <c r="B24" s="597"/>
      <c r="C24" s="597"/>
      <c r="D24" s="597"/>
      <c r="E24" s="597"/>
    </row>
    <row r="25" spans="1:5" ht="25.5" customHeight="1">
      <c r="A25" s="599" t="s">
        <v>987</v>
      </c>
    </row>
    <row r="26" spans="1:5" ht="57" customHeight="1">
      <c r="A26" s="599" t="s">
        <v>988</v>
      </c>
    </row>
    <row r="27" spans="1:5">
      <c r="A27" s="59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showGridLines="0" zoomScaleNormal="100" workbookViewId="0">
      <selection activeCell="A7" sqref="A7:A8"/>
    </sheetView>
  </sheetViews>
  <sheetFormatPr defaultRowHeight="14.4"/>
  <cols>
    <col min="1" max="1" width="82" customWidth="1"/>
    <col min="2" max="2" width="28.109375" bestFit="1" customWidth="1"/>
    <col min="3" max="3" width="28.21875" customWidth="1"/>
    <col min="4" max="6" width="28.109375" customWidth="1"/>
  </cols>
  <sheetData>
    <row r="1" spans="1:6">
      <c r="A1" s="600" t="s">
        <v>109</v>
      </c>
      <c r="B1" s="11" t="str">
        <f>Info!C2</f>
        <v>კრედო</v>
      </c>
      <c r="C1" s="1"/>
    </row>
    <row r="2" spans="1:6">
      <c r="A2" s="600" t="s">
        <v>110</v>
      </c>
      <c r="B2" s="335">
        <f>'1. key ratios'!B2</f>
        <v>45657</v>
      </c>
      <c r="C2" s="1"/>
    </row>
    <row r="3" spans="1:6">
      <c r="A3" s="601" t="s">
        <v>978</v>
      </c>
      <c r="B3" s="596" t="s">
        <v>948</v>
      </c>
      <c r="C3" s="1"/>
    </row>
    <row r="5" spans="1:6">
      <c r="A5" s="598"/>
    </row>
    <row r="6" spans="1:6" ht="15" thickBot="1">
      <c r="A6" s="613"/>
      <c r="B6" s="613"/>
      <c r="C6" s="613"/>
      <c r="D6" s="613"/>
      <c r="E6" s="613"/>
      <c r="F6" s="613"/>
    </row>
    <row r="7" spans="1:6">
      <c r="A7" s="824"/>
      <c r="B7" s="826" t="s">
        <v>964</v>
      </c>
      <c r="C7" s="826"/>
      <c r="D7" s="826"/>
      <c r="E7" s="826"/>
      <c r="F7" s="827" t="s">
        <v>965</v>
      </c>
    </row>
    <row r="8" spans="1:6" ht="27.6">
      <c r="A8" s="825"/>
      <c r="B8" s="614" t="s">
        <v>966</v>
      </c>
      <c r="C8" s="614" t="s">
        <v>967</v>
      </c>
      <c r="D8" s="614" t="s">
        <v>968</v>
      </c>
      <c r="E8" s="614" t="s">
        <v>969</v>
      </c>
      <c r="F8" s="828"/>
    </row>
    <row r="9" spans="1:6">
      <c r="A9" s="615" t="s">
        <v>970</v>
      </c>
      <c r="B9" s="616">
        <f>B13+B17</f>
        <v>0</v>
      </c>
      <c r="C9" s="616">
        <f t="shared" ref="C9:E9" si="0">C13+C17</f>
        <v>0</v>
      </c>
      <c r="D9" s="616">
        <f t="shared" si="0"/>
        <v>0</v>
      </c>
      <c r="E9" s="616">
        <f t="shared" si="0"/>
        <v>0</v>
      </c>
      <c r="F9" s="617">
        <f>F13+F17</f>
        <v>0</v>
      </c>
    </row>
    <row r="10" spans="1:6">
      <c r="A10" s="618" t="s">
        <v>971</v>
      </c>
      <c r="B10" s="619">
        <f t="shared" ref="B10:E12" si="1">B14+B18</f>
        <v>0</v>
      </c>
      <c r="C10" s="619">
        <f t="shared" si="1"/>
        <v>0</v>
      </c>
      <c r="D10" s="619">
        <f t="shared" si="1"/>
        <v>0</v>
      </c>
      <c r="E10" s="619">
        <f t="shared" si="1"/>
        <v>0</v>
      </c>
      <c r="F10" s="617">
        <f>SUM(B10:E10)</f>
        <v>0</v>
      </c>
    </row>
    <row r="11" spans="1:6">
      <c r="A11" s="618" t="s">
        <v>972</v>
      </c>
      <c r="B11" s="619">
        <f t="shared" si="1"/>
        <v>0</v>
      </c>
      <c r="C11" s="619">
        <f t="shared" si="1"/>
        <v>0</v>
      </c>
      <c r="D11" s="619">
        <f t="shared" si="1"/>
        <v>0</v>
      </c>
      <c r="E11" s="619">
        <f t="shared" si="1"/>
        <v>0</v>
      </c>
      <c r="F11" s="617">
        <f t="shared" ref="F11:F12" si="2">SUM(B11:E11)</f>
        <v>0</v>
      </c>
    </row>
    <row r="12" spans="1:6">
      <c r="A12" s="620" t="s">
        <v>973</v>
      </c>
      <c r="B12" s="619">
        <f t="shared" si="1"/>
        <v>0</v>
      </c>
      <c r="C12" s="619">
        <f t="shared" si="1"/>
        <v>0</v>
      </c>
      <c r="D12" s="619">
        <f t="shared" si="1"/>
        <v>0</v>
      </c>
      <c r="E12" s="619">
        <f t="shared" si="1"/>
        <v>0</v>
      </c>
      <c r="F12" s="617">
        <f t="shared" si="2"/>
        <v>0</v>
      </c>
    </row>
    <row r="13" spans="1:6">
      <c r="A13" s="621" t="s">
        <v>974</v>
      </c>
      <c r="B13" s="622"/>
      <c r="C13" s="622"/>
      <c r="D13" s="622"/>
      <c r="E13" s="622"/>
      <c r="F13" s="623"/>
    </row>
    <row r="14" spans="1:6">
      <c r="A14" s="618" t="s">
        <v>971</v>
      </c>
      <c r="B14" s="624"/>
      <c r="C14" s="624"/>
      <c r="D14" s="624"/>
      <c r="E14" s="624"/>
      <c r="F14" s="625"/>
    </row>
    <row r="15" spans="1:6">
      <c r="A15" s="618" t="s">
        <v>972</v>
      </c>
      <c r="B15" s="624"/>
      <c r="C15" s="624"/>
      <c r="D15" s="624"/>
      <c r="E15" s="624"/>
      <c r="F15" s="625"/>
    </row>
    <row r="16" spans="1:6">
      <c r="A16" s="620" t="s">
        <v>973</v>
      </c>
      <c r="B16" s="624"/>
      <c r="C16" s="624"/>
      <c r="D16" s="624"/>
      <c r="E16" s="624"/>
      <c r="F16" s="625"/>
    </row>
    <row r="17" spans="1:6">
      <c r="A17" s="621" t="s">
        <v>954</v>
      </c>
      <c r="B17" s="622"/>
      <c r="C17" s="622"/>
      <c r="D17" s="622"/>
      <c r="E17" s="622"/>
      <c r="F17" s="625"/>
    </row>
    <row r="18" spans="1:6">
      <c r="A18" s="618" t="s">
        <v>971</v>
      </c>
      <c r="B18" s="624"/>
      <c r="C18" s="624"/>
      <c r="D18" s="624"/>
      <c r="E18" s="624"/>
      <c r="F18" s="625"/>
    </row>
    <row r="19" spans="1:6">
      <c r="A19" s="618" t="s">
        <v>972</v>
      </c>
      <c r="B19" s="624"/>
      <c r="C19" s="624"/>
      <c r="D19" s="624"/>
      <c r="E19" s="624"/>
      <c r="F19" s="625"/>
    </row>
    <row r="20" spans="1:6" ht="15" thickBot="1">
      <c r="A20" s="626" t="s">
        <v>973</v>
      </c>
      <c r="B20" s="627"/>
      <c r="C20" s="627"/>
      <c r="D20" s="627"/>
      <c r="E20" s="627"/>
      <c r="F20" s="628"/>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52" activePane="bottomRight" state="frozen"/>
      <selection pane="topRight" activeCell="B1" sqref="B1"/>
      <selection pane="bottomLeft" activeCell="A5" sqref="A5"/>
      <selection pane="bottomRight" activeCell="C25" sqref="C25"/>
    </sheetView>
  </sheetViews>
  <sheetFormatPr defaultRowHeight="14.4"/>
  <cols>
    <col min="1" max="1" width="10.77734375" style="31" customWidth="1"/>
    <col min="2" max="2" width="91.77734375" style="31" customWidth="1"/>
    <col min="3" max="3" width="53.21875" style="31" customWidth="1"/>
    <col min="4" max="4" width="32.21875" style="31" customWidth="1"/>
    <col min="5" max="5" width="9.44140625" customWidth="1"/>
  </cols>
  <sheetData>
    <row r="1" spans="1:6">
      <c r="A1" s="12" t="s">
        <v>109</v>
      </c>
      <c r="B1" s="13" t="str">
        <f>Info!C2</f>
        <v>კრედო</v>
      </c>
      <c r="E1" s="1"/>
      <c r="F1" s="1"/>
    </row>
    <row r="2" spans="1:6" s="12" customFormat="1" ht="15.75" customHeight="1">
      <c r="A2" s="12" t="s">
        <v>110</v>
      </c>
      <c r="B2" s="335">
        <f>'1. key ratios'!B2</f>
        <v>45657</v>
      </c>
    </row>
    <row r="3" spans="1:6" s="12" customFormat="1" ht="15.75" customHeight="1">
      <c r="A3" s="19"/>
    </row>
    <row r="4" spans="1:6" s="12" customFormat="1" ht="15.75" customHeight="1" thickBot="1">
      <c r="A4" s="12" t="s">
        <v>259</v>
      </c>
      <c r="B4" s="136" t="s">
        <v>173</v>
      </c>
      <c r="D4" s="138" t="s">
        <v>88</v>
      </c>
    </row>
    <row r="5" spans="1:6" ht="27.6">
      <c r="A5" s="89" t="s">
        <v>26</v>
      </c>
      <c r="B5" s="90" t="s">
        <v>145</v>
      </c>
      <c r="C5" s="91" t="s">
        <v>854</v>
      </c>
      <c r="D5" s="137" t="s">
        <v>174</v>
      </c>
    </row>
    <row r="6" spans="1:6">
      <c r="A6" s="436">
        <v>1</v>
      </c>
      <c r="B6" s="397" t="s">
        <v>839</v>
      </c>
      <c r="C6" s="691">
        <f>SUM(C7:C9)</f>
        <v>387769774.25640655</v>
      </c>
      <c r="D6" s="84"/>
      <c r="E6" s="4"/>
    </row>
    <row r="7" spans="1:6">
      <c r="A7" s="436">
        <v>1.1000000000000001</v>
      </c>
      <c r="B7" s="398" t="s">
        <v>97</v>
      </c>
      <c r="C7" s="692">
        <v>108924484.53</v>
      </c>
      <c r="D7" s="85"/>
      <c r="E7" s="4"/>
    </row>
    <row r="8" spans="1:6">
      <c r="A8" s="436">
        <v>1.2</v>
      </c>
      <c r="B8" s="398" t="s">
        <v>98</v>
      </c>
      <c r="C8" s="692">
        <v>184108026.08000001</v>
      </c>
      <c r="D8" s="85"/>
      <c r="E8" s="4"/>
    </row>
    <row r="9" spans="1:6">
      <c r="A9" s="436">
        <v>1.3</v>
      </c>
      <c r="B9" s="398" t="s">
        <v>99</v>
      </c>
      <c r="C9" s="692">
        <v>94737263.646406531</v>
      </c>
      <c r="D9" s="85"/>
      <c r="E9" s="4"/>
    </row>
    <row r="10" spans="1:6">
      <c r="A10" s="436">
        <v>2</v>
      </c>
      <c r="B10" s="399" t="s">
        <v>726</v>
      </c>
      <c r="C10" s="693">
        <v>566676.57999999996</v>
      </c>
      <c r="D10" s="85"/>
      <c r="E10" s="4"/>
    </row>
    <row r="11" spans="1:6">
      <c r="A11" s="436">
        <v>2.1</v>
      </c>
      <c r="B11" s="400" t="s">
        <v>727</v>
      </c>
      <c r="C11" s="694">
        <v>566676.57999999996</v>
      </c>
      <c r="D11" s="86"/>
      <c r="E11" s="5"/>
    </row>
    <row r="12" spans="1:6" ht="23.55" customHeight="1">
      <c r="A12" s="436">
        <v>3</v>
      </c>
      <c r="B12" s="401" t="s">
        <v>728</v>
      </c>
      <c r="C12" s="695"/>
      <c r="D12" s="86"/>
      <c r="E12" s="5"/>
    </row>
    <row r="13" spans="1:6" ht="22.95" customHeight="1">
      <c r="A13" s="436">
        <v>4</v>
      </c>
      <c r="B13" s="402" t="s">
        <v>729</v>
      </c>
      <c r="C13" s="695"/>
      <c r="D13" s="86"/>
      <c r="E13" s="5"/>
    </row>
    <row r="14" spans="1:6">
      <c r="A14" s="436">
        <v>5</v>
      </c>
      <c r="B14" s="402" t="s">
        <v>730</v>
      </c>
      <c r="C14" s="695">
        <f>SUM(C15:C17)</f>
        <v>0</v>
      </c>
      <c r="D14" s="86"/>
      <c r="E14" s="5"/>
    </row>
    <row r="15" spans="1:6">
      <c r="A15" s="436">
        <v>5.0999999999999996</v>
      </c>
      <c r="B15" s="403" t="s">
        <v>731</v>
      </c>
      <c r="C15" s="692"/>
      <c r="D15" s="86"/>
      <c r="E15" s="4"/>
    </row>
    <row r="16" spans="1:6">
      <c r="A16" s="436">
        <v>5.2</v>
      </c>
      <c r="B16" s="403" t="s">
        <v>566</v>
      </c>
      <c r="C16" s="692"/>
      <c r="D16" s="85"/>
      <c r="E16" s="4"/>
    </row>
    <row r="17" spans="1:5">
      <c r="A17" s="436">
        <v>5.3</v>
      </c>
      <c r="B17" s="403" t="s">
        <v>732</v>
      </c>
      <c r="C17" s="692"/>
      <c r="D17" s="85"/>
      <c r="E17" s="4"/>
    </row>
    <row r="18" spans="1:5">
      <c r="A18" s="436">
        <v>6</v>
      </c>
      <c r="B18" s="401" t="s">
        <v>733</v>
      </c>
      <c r="C18" s="693">
        <f>SUM(C19:C20)</f>
        <v>2547406147.7876034</v>
      </c>
      <c r="D18" s="85"/>
      <c r="E18" s="4"/>
    </row>
    <row r="19" spans="1:5">
      <c r="A19" s="436">
        <v>6.1</v>
      </c>
      <c r="B19" s="403" t="s">
        <v>566</v>
      </c>
      <c r="C19" s="694">
        <v>57522454.370000005</v>
      </c>
      <c r="D19" s="85"/>
      <c r="E19" s="4"/>
    </row>
    <row r="20" spans="1:5">
      <c r="A20" s="436">
        <v>6.2</v>
      </c>
      <c r="B20" s="403" t="s">
        <v>732</v>
      </c>
      <c r="C20" s="694">
        <v>2489883693.4176035</v>
      </c>
      <c r="D20" s="85"/>
      <c r="E20" s="4"/>
    </row>
    <row r="21" spans="1:5">
      <c r="A21" s="436">
        <v>7</v>
      </c>
      <c r="B21" s="404" t="s">
        <v>734</v>
      </c>
      <c r="C21" s="695">
        <v>2463673.85</v>
      </c>
      <c r="D21" s="85"/>
      <c r="E21" s="4"/>
    </row>
    <row r="22" spans="1:5">
      <c r="A22" s="436">
        <v>8</v>
      </c>
      <c r="B22" s="405" t="s">
        <v>735</v>
      </c>
      <c r="C22" s="693"/>
      <c r="D22" s="85"/>
      <c r="E22" s="4"/>
    </row>
    <row r="23" spans="1:5">
      <c r="A23" s="436">
        <v>9</v>
      </c>
      <c r="B23" s="402" t="s">
        <v>736</v>
      </c>
      <c r="C23" s="693">
        <f>SUM(C24:C25)</f>
        <v>50821188.43</v>
      </c>
      <c r="D23" s="463"/>
      <c r="E23" s="4"/>
    </row>
    <row r="24" spans="1:5">
      <c r="A24" s="436">
        <v>9.1</v>
      </c>
      <c r="B24" s="406" t="s">
        <v>737</v>
      </c>
      <c r="C24" s="696">
        <v>50821188.43</v>
      </c>
      <c r="D24" s="87"/>
      <c r="E24" s="4"/>
    </row>
    <row r="25" spans="1:5">
      <c r="A25" s="436">
        <v>9.1999999999999993</v>
      </c>
      <c r="B25" s="406" t="s">
        <v>738</v>
      </c>
      <c r="C25" s="697"/>
      <c r="D25" s="462"/>
      <c r="E25" s="3"/>
    </row>
    <row r="26" spans="1:5">
      <c r="A26" s="436">
        <v>10</v>
      </c>
      <c r="B26" s="402" t="s">
        <v>37</v>
      </c>
      <c r="C26" s="698">
        <f>SUM(C27:C28)</f>
        <v>29954496.670000006</v>
      </c>
      <c r="D26" s="593" t="s">
        <v>996</v>
      </c>
      <c r="E26" s="4"/>
    </row>
    <row r="27" spans="1:5">
      <c r="A27" s="436">
        <v>10.1</v>
      </c>
      <c r="B27" s="406" t="s">
        <v>739</v>
      </c>
      <c r="C27" s="692"/>
      <c r="D27" s="85"/>
      <c r="E27" s="4"/>
    </row>
    <row r="28" spans="1:5">
      <c r="A28" s="436">
        <v>10.199999999999999</v>
      </c>
      <c r="B28" s="406" t="s">
        <v>740</v>
      </c>
      <c r="C28" s="692">
        <v>29954496.670000006</v>
      </c>
      <c r="D28" s="85"/>
      <c r="E28" s="4"/>
    </row>
    <row r="29" spans="1:5">
      <c r="A29" s="436">
        <v>11</v>
      </c>
      <c r="B29" s="402" t="s">
        <v>741</v>
      </c>
      <c r="C29" s="693">
        <f>SUM(C30:C31)</f>
        <v>0</v>
      </c>
      <c r="D29" s="85"/>
      <c r="E29" s="4"/>
    </row>
    <row r="30" spans="1:5">
      <c r="A30" s="436">
        <v>11.1</v>
      </c>
      <c r="B30" s="406" t="s">
        <v>742</v>
      </c>
      <c r="C30" s="692"/>
      <c r="D30" s="85"/>
      <c r="E30" s="4"/>
    </row>
    <row r="31" spans="1:5">
      <c r="A31" s="436">
        <v>11.2</v>
      </c>
      <c r="B31" s="406" t="s">
        <v>743</v>
      </c>
      <c r="C31" s="692"/>
      <c r="D31" s="85"/>
      <c r="E31" s="4"/>
    </row>
    <row r="32" spans="1:5">
      <c r="A32" s="436">
        <v>13</v>
      </c>
      <c r="B32" s="402" t="s">
        <v>100</v>
      </c>
      <c r="C32" s="693">
        <v>49991803.979999997</v>
      </c>
      <c r="D32" s="85"/>
      <c r="E32" s="4"/>
    </row>
    <row r="33" spans="1:5">
      <c r="A33" s="436">
        <v>13.1</v>
      </c>
      <c r="B33" s="407" t="s">
        <v>744</v>
      </c>
      <c r="C33" s="692">
        <v>19110000.68</v>
      </c>
      <c r="D33" s="85"/>
      <c r="E33" s="4"/>
    </row>
    <row r="34" spans="1:5">
      <c r="A34" s="436">
        <v>13.2</v>
      </c>
      <c r="B34" s="407" t="s">
        <v>745</v>
      </c>
      <c r="C34" s="696"/>
      <c r="D34" s="87"/>
      <c r="E34" s="4"/>
    </row>
    <row r="35" spans="1:5">
      <c r="A35" s="436">
        <v>14</v>
      </c>
      <c r="B35" s="408" t="s">
        <v>746</v>
      </c>
      <c r="C35" s="699">
        <f>SUM(C6,C10,C12,C13,C14,C18,C21,C22,C23,C26,C29,C32)</f>
        <v>3068973761.5540099</v>
      </c>
      <c r="D35" s="87"/>
      <c r="E35" s="4"/>
    </row>
    <row r="36" spans="1:5">
      <c r="A36" s="436"/>
      <c r="B36" s="409" t="s">
        <v>105</v>
      </c>
      <c r="C36" s="700"/>
      <c r="D36" s="88"/>
      <c r="E36" s="4"/>
    </row>
    <row r="37" spans="1:5">
      <c r="A37" s="436">
        <v>15</v>
      </c>
      <c r="B37" s="410" t="s">
        <v>747</v>
      </c>
      <c r="C37" s="697">
        <v>1571658.95</v>
      </c>
      <c r="D37" s="462"/>
      <c r="E37" s="3"/>
    </row>
    <row r="38" spans="1:5">
      <c r="A38" s="436">
        <v>15.1</v>
      </c>
      <c r="B38" s="411" t="s">
        <v>727</v>
      </c>
      <c r="C38" s="692">
        <v>1571658.95</v>
      </c>
      <c r="D38" s="85"/>
      <c r="E38" s="4"/>
    </row>
    <row r="39" spans="1:5" ht="20.399999999999999">
      <c r="A39" s="436">
        <v>16</v>
      </c>
      <c r="B39" s="404" t="s">
        <v>748</v>
      </c>
      <c r="C39" s="693"/>
      <c r="D39" s="85"/>
      <c r="E39" s="4"/>
    </row>
    <row r="40" spans="1:5">
      <c r="A40" s="436">
        <v>17</v>
      </c>
      <c r="B40" s="404" t="s">
        <v>749</v>
      </c>
      <c r="C40" s="693">
        <f>SUM(C41:C44)</f>
        <v>2477506840.0019159</v>
      </c>
      <c r="D40" s="85"/>
      <c r="E40" s="4"/>
    </row>
    <row r="41" spans="1:5">
      <c r="A41" s="436">
        <v>17.100000000000001</v>
      </c>
      <c r="B41" s="412" t="s">
        <v>750</v>
      </c>
      <c r="C41" s="692">
        <v>1253745251.2419162</v>
      </c>
      <c r="D41" s="85"/>
      <c r="E41" s="4"/>
    </row>
    <row r="42" spans="1:5">
      <c r="A42" s="454">
        <v>17.2</v>
      </c>
      <c r="B42" s="455" t="s">
        <v>101</v>
      </c>
      <c r="C42" s="696">
        <v>1200419786.5599999</v>
      </c>
      <c r="D42" s="87"/>
      <c r="E42" s="4"/>
    </row>
    <row r="43" spans="1:5">
      <c r="A43" s="436">
        <v>17.3</v>
      </c>
      <c r="B43" s="456" t="s">
        <v>751</v>
      </c>
      <c r="C43" s="690"/>
      <c r="D43" s="457"/>
      <c r="E43" s="4"/>
    </row>
    <row r="44" spans="1:5">
      <c r="A44" s="436">
        <v>17.399999999999999</v>
      </c>
      <c r="B44" s="456" t="s">
        <v>752</v>
      </c>
      <c r="C44" s="690">
        <v>23341802.199999999</v>
      </c>
      <c r="D44" s="457"/>
      <c r="E44" s="4"/>
    </row>
    <row r="45" spans="1:5">
      <c r="A45" s="436">
        <v>18</v>
      </c>
      <c r="B45" s="420" t="s">
        <v>753</v>
      </c>
      <c r="C45" s="689">
        <v>777588.58</v>
      </c>
      <c r="D45" s="457"/>
      <c r="E45" s="3"/>
    </row>
    <row r="46" spans="1:5">
      <c r="A46" s="436">
        <v>19</v>
      </c>
      <c r="B46" s="420" t="s">
        <v>754</v>
      </c>
      <c r="C46" s="689">
        <f>SUM(C47:C48)</f>
        <v>11994737.639999989</v>
      </c>
      <c r="D46" s="458"/>
    </row>
    <row r="47" spans="1:5">
      <c r="A47" s="436">
        <v>19.100000000000001</v>
      </c>
      <c r="B47" s="459" t="s">
        <v>755</v>
      </c>
      <c r="C47" s="690">
        <v>6428919.5399999898</v>
      </c>
      <c r="D47" s="458"/>
    </row>
    <row r="48" spans="1:5">
      <c r="A48" s="436">
        <v>19.2</v>
      </c>
      <c r="B48" s="459" t="s">
        <v>756</v>
      </c>
      <c r="C48" s="690">
        <v>5565818.0999999996</v>
      </c>
      <c r="D48" s="458"/>
    </row>
    <row r="49" spans="1:4">
      <c r="A49" s="436">
        <v>20</v>
      </c>
      <c r="B49" s="416" t="s">
        <v>102</v>
      </c>
      <c r="C49" s="688">
        <v>152596154.16999999</v>
      </c>
      <c r="D49" s="593" t="s">
        <v>997</v>
      </c>
    </row>
    <row r="50" spans="1:4">
      <c r="A50" s="436">
        <v>21</v>
      </c>
      <c r="B50" s="417" t="s">
        <v>90</v>
      </c>
      <c r="C50" s="688">
        <v>46923867.170000009</v>
      </c>
      <c r="D50" s="458"/>
    </row>
    <row r="51" spans="1:4">
      <c r="A51" s="436">
        <v>21.1</v>
      </c>
      <c r="B51" s="413" t="s">
        <v>757</v>
      </c>
      <c r="C51" s="687"/>
      <c r="D51" s="458"/>
    </row>
    <row r="52" spans="1:4">
      <c r="A52" s="436">
        <v>22</v>
      </c>
      <c r="B52" s="416" t="s">
        <v>758</v>
      </c>
      <c r="C52" s="688">
        <f>SUM(C37,C39,C40,C45,C46,C49,C50)</f>
        <v>2691370846.5119157</v>
      </c>
      <c r="D52" s="458"/>
    </row>
    <row r="53" spans="1:4">
      <c r="A53" s="436"/>
      <c r="B53" s="418" t="s">
        <v>759</v>
      </c>
      <c r="C53" s="701"/>
      <c r="D53" s="458"/>
    </row>
    <row r="54" spans="1:4">
      <c r="A54" s="436">
        <v>23</v>
      </c>
      <c r="B54" s="416" t="s">
        <v>106</v>
      </c>
      <c r="C54" s="689">
        <v>5239960</v>
      </c>
      <c r="D54" s="593" t="s">
        <v>998</v>
      </c>
    </row>
    <row r="55" spans="1:4">
      <c r="A55" s="436">
        <v>24</v>
      </c>
      <c r="B55" s="416" t="s">
        <v>760</v>
      </c>
      <c r="C55" s="689"/>
      <c r="D55" s="458"/>
    </row>
    <row r="56" spans="1:4">
      <c r="A56" s="436">
        <v>25</v>
      </c>
      <c r="B56" s="416" t="s">
        <v>103</v>
      </c>
      <c r="C56" s="689">
        <v>39150769.530000001</v>
      </c>
      <c r="D56" s="593" t="s">
        <v>999</v>
      </c>
    </row>
    <row r="57" spans="1:4">
      <c r="A57" s="436">
        <v>26</v>
      </c>
      <c r="B57" s="420" t="s">
        <v>761</v>
      </c>
      <c r="C57" s="689"/>
      <c r="D57" s="458"/>
    </row>
    <row r="58" spans="1:4">
      <c r="A58" s="436">
        <v>27</v>
      </c>
      <c r="B58" s="420" t="s">
        <v>762</v>
      </c>
      <c r="C58" s="689">
        <f>SUM(C59:C60)</f>
        <v>0</v>
      </c>
      <c r="D58" s="458"/>
    </row>
    <row r="59" spans="1:4">
      <c r="A59" s="436">
        <v>27.1</v>
      </c>
      <c r="B59" s="459" t="s">
        <v>763</v>
      </c>
      <c r="C59" s="690"/>
      <c r="D59" s="458"/>
    </row>
    <row r="60" spans="1:4">
      <c r="A60" s="436">
        <v>27.2</v>
      </c>
      <c r="B60" s="456" t="s">
        <v>764</v>
      </c>
      <c r="C60" s="690"/>
      <c r="D60" s="458"/>
    </row>
    <row r="61" spans="1:4">
      <c r="A61" s="436">
        <v>28</v>
      </c>
      <c r="B61" s="417" t="s">
        <v>765</v>
      </c>
      <c r="C61" s="689"/>
      <c r="D61" s="458"/>
    </row>
    <row r="62" spans="1:4">
      <c r="A62" s="436">
        <v>29</v>
      </c>
      <c r="B62" s="420" t="s">
        <v>766</v>
      </c>
      <c r="C62" s="689">
        <f>SUM(C63:C65)</f>
        <v>0</v>
      </c>
      <c r="D62" s="458"/>
    </row>
    <row r="63" spans="1:4">
      <c r="A63" s="436">
        <v>29.1</v>
      </c>
      <c r="B63" s="460" t="s">
        <v>767</v>
      </c>
      <c r="C63" s="690"/>
      <c r="D63" s="458"/>
    </row>
    <row r="64" spans="1:4" ht="24" customHeight="1">
      <c r="A64" s="436">
        <v>29.2</v>
      </c>
      <c r="B64" s="459" t="s">
        <v>768</v>
      </c>
      <c r="C64" s="690"/>
      <c r="D64" s="458"/>
    </row>
    <row r="65" spans="1:4" ht="22.05" customHeight="1">
      <c r="A65" s="436">
        <v>29.3</v>
      </c>
      <c r="B65" s="461" t="s">
        <v>769</v>
      </c>
      <c r="C65" s="690"/>
      <c r="D65" s="458"/>
    </row>
    <row r="66" spans="1:4">
      <c r="A66" s="436">
        <v>30</v>
      </c>
      <c r="B66" s="420" t="s">
        <v>104</v>
      </c>
      <c r="C66" s="689">
        <v>333212185.51641399</v>
      </c>
      <c r="D66" s="593" t="s">
        <v>1000</v>
      </c>
    </row>
    <row r="67" spans="1:4">
      <c r="A67" s="436">
        <v>31</v>
      </c>
      <c r="B67" s="419" t="s">
        <v>770</v>
      </c>
      <c r="C67" s="689">
        <f>SUM(C54,C55,C56,C57,C58,C61,C62,C66)</f>
        <v>377602915.04641402</v>
      </c>
      <c r="D67" s="458"/>
    </row>
    <row r="68" spans="1:4">
      <c r="A68" s="436">
        <v>32</v>
      </c>
      <c r="B68" s="420" t="s">
        <v>771</v>
      </c>
      <c r="C68" s="689">
        <f>SUM(C52,C67)</f>
        <v>3068973761.5583296</v>
      </c>
      <c r="D68" s="458"/>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U26"/>
  <sheetViews>
    <sheetView zoomScale="80" zoomScaleNormal="80" workbookViewId="0">
      <pane xSplit="2" ySplit="7" topLeftCell="I8" activePane="bottomRight" state="frozen"/>
      <selection pane="topRight" activeCell="C1" sqref="C1"/>
      <selection pane="bottomLeft" activeCell="A8" sqref="A8"/>
      <selection pane="bottomRight" activeCell="C22" sqref="C22:R22"/>
    </sheetView>
  </sheetViews>
  <sheetFormatPr defaultColWidth="9.21875" defaultRowHeight="13.8"/>
  <cols>
    <col min="1" max="1" width="10.5546875" style="1" bestFit="1" customWidth="1"/>
    <col min="2" max="2" width="76.6640625" style="1" customWidth="1"/>
    <col min="3" max="3" width="12.33203125" style="1" customWidth="1"/>
    <col min="4" max="4" width="13.33203125" style="1" bestFit="1" customWidth="1"/>
    <col min="5" max="5" width="13.5546875" style="1" bestFit="1" customWidth="1"/>
    <col min="6" max="6" width="13.33203125" style="1" bestFit="1" customWidth="1"/>
    <col min="7" max="7" width="14.5546875" style="1" bestFit="1" customWidth="1"/>
    <col min="8" max="8" width="13.33203125" style="1" bestFit="1" customWidth="1"/>
    <col min="9" max="9" width="13.5546875" style="1" bestFit="1" customWidth="1"/>
    <col min="10" max="10" width="13.33203125" style="1" bestFit="1" customWidth="1"/>
    <col min="11" max="11" width="16" style="1" bestFit="1" customWidth="1"/>
    <col min="12" max="12" width="13.5546875" style="1" bestFit="1" customWidth="1"/>
    <col min="13" max="13" width="14.5546875" style="1" bestFit="1" customWidth="1"/>
    <col min="14" max="14" width="13.33203125" style="1" bestFit="1" customWidth="1"/>
    <col min="15" max="15" width="10" style="1" bestFit="1" customWidth="1"/>
    <col min="16" max="16" width="13.33203125" style="1" bestFit="1" customWidth="1"/>
    <col min="17" max="17" width="12.5546875" style="1" customWidth="1"/>
    <col min="18" max="18" width="13.33203125" style="1" bestFit="1" customWidth="1"/>
    <col min="19" max="19" width="17.5546875" style="1" customWidth="1"/>
    <col min="20" max="20" width="12.33203125" style="8" bestFit="1" customWidth="1"/>
    <col min="21" max="16384" width="9.21875" style="8"/>
  </cols>
  <sheetData>
    <row r="1" spans="1:21">
      <c r="A1" s="1" t="s">
        <v>109</v>
      </c>
      <c r="B1" s="1" t="str">
        <f>Info!C2</f>
        <v>კრედო</v>
      </c>
    </row>
    <row r="2" spans="1:21">
      <c r="A2" s="1" t="s">
        <v>110</v>
      </c>
      <c r="B2" s="335">
        <f>'1. key ratios'!B2</f>
        <v>45657</v>
      </c>
    </row>
    <row r="4" spans="1:21" ht="42" thickBot="1">
      <c r="A4" s="30" t="s">
        <v>260</v>
      </c>
      <c r="B4" s="199" t="s">
        <v>295</v>
      </c>
    </row>
    <row r="5" spans="1:21">
      <c r="A5" s="74"/>
      <c r="B5" s="76"/>
      <c r="C5" s="68" t="s">
        <v>0</v>
      </c>
      <c r="D5" s="68" t="s">
        <v>1</v>
      </c>
      <c r="E5" s="68" t="s">
        <v>2</v>
      </c>
      <c r="F5" s="68" t="s">
        <v>3</v>
      </c>
      <c r="G5" s="68" t="s">
        <v>4</v>
      </c>
      <c r="H5" s="68" t="s">
        <v>6</v>
      </c>
      <c r="I5" s="68" t="s">
        <v>146</v>
      </c>
      <c r="J5" s="68" t="s">
        <v>147</v>
      </c>
      <c r="K5" s="68" t="s">
        <v>148</v>
      </c>
      <c r="L5" s="68" t="s">
        <v>149</v>
      </c>
      <c r="M5" s="68" t="s">
        <v>150</v>
      </c>
      <c r="N5" s="68" t="s">
        <v>151</v>
      </c>
      <c r="O5" s="68" t="s">
        <v>282</v>
      </c>
      <c r="P5" s="68" t="s">
        <v>283</v>
      </c>
      <c r="Q5" s="68" t="s">
        <v>284</v>
      </c>
      <c r="R5" s="192" t="s">
        <v>285</v>
      </c>
      <c r="S5" s="69" t="s">
        <v>286</v>
      </c>
    </row>
    <row r="6" spans="1:21" ht="46.5" customHeight="1">
      <c r="A6" s="92"/>
      <c r="B6" s="833" t="s">
        <v>287</v>
      </c>
      <c r="C6" s="831">
        <v>0</v>
      </c>
      <c r="D6" s="832"/>
      <c r="E6" s="831">
        <v>0.2</v>
      </c>
      <c r="F6" s="832"/>
      <c r="G6" s="831">
        <v>0.35</v>
      </c>
      <c r="H6" s="832"/>
      <c r="I6" s="831">
        <v>0.5</v>
      </c>
      <c r="J6" s="832"/>
      <c r="K6" s="831">
        <v>0.75</v>
      </c>
      <c r="L6" s="832"/>
      <c r="M6" s="831">
        <v>1</v>
      </c>
      <c r="N6" s="832"/>
      <c r="O6" s="831">
        <v>1.5</v>
      </c>
      <c r="P6" s="832"/>
      <c r="Q6" s="831">
        <v>2.5</v>
      </c>
      <c r="R6" s="832"/>
      <c r="S6" s="829" t="s">
        <v>157</v>
      </c>
    </row>
    <row r="7" spans="1:21">
      <c r="A7" s="92"/>
      <c r="B7" s="834"/>
      <c r="C7" s="198" t="s">
        <v>280</v>
      </c>
      <c r="D7" s="198" t="s">
        <v>281</v>
      </c>
      <c r="E7" s="198" t="s">
        <v>280</v>
      </c>
      <c r="F7" s="198" t="s">
        <v>281</v>
      </c>
      <c r="G7" s="198" t="s">
        <v>280</v>
      </c>
      <c r="H7" s="198" t="s">
        <v>281</v>
      </c>
      <c r="I7" s="198" t="s">
        <v>280</v>
      </c>
      <c r="J7" s="198" t="s">
        <v>281</v>
      </c>
      <c r="K7" s="198" t="s">
        <v>280</v>
      </c>
      <c r="L7" s="198" t="s">
        <v>281</v>
      </c>
      <c r="M7" s="198" t="s">
        <v>280</v>
      </c>
      <c r="N7" s="198" t="s">
        <v>281</v>
      </c>
      <c r="O7" s="198" t="s">
        <v>280</v>
      </c>
      <c r="P7" s="198" t="s">
        <v>281</v>
      </c>
      <c r="Q7" s="198" t="s">
        <v>280</v>
      </c>
      <c r="R7" s="198" t="s">
        <v>281</v>
      </c>
      <c r="S7" s="830"/>
    </row>
    <row r="8" spans="1:21">
      <c r="A8" s="72">
        <v>1</v>
      </c>
      <c r="B8" s="112" t="s">
        <v>135</v>
      </c>
      <c r="C8" s="176">
        <f>129987638.277972+57522455</f>
        <v>187510093.27797198</v>
      </c>
      <c r="D8" s="176"/>
      <c r="E8" s="176"/>
      <c r="F8" s="193"/>
      <c r="G8" s="176"/>
      <c r="H8" s="176"/>
      <c r="I8" s="176"/>
      <c r="J8" s="176"/>
      <c r="K8" s="176"/>
      <c r="L8" s="176"/>
      <c r="M8" s="176">
        <v>54120388</v>
      </c>
      <c r="N8" s="176"/>
      <c r="O8" s="176"/>
      <c r="P8" s="176"/>
      <c r="Q8" s="176"/>
      <c r="R8" s="193"/>
      <c r="S8" s="202">
        <f>$C$6*SUM(C8:D8)+$E$6*SUM(E8:F8)+$G$6*SUM(G8:H8)+$I$6*SUM(I8:J8)+$K$6*SUM(K8:L8)+$M$6*SUM(M8:N8)+$O$6*SUM(O8:P8)+$Q$6*SUM(Q8:R8)</f>
        <v>54120388</v>
      </c>
      <c r="T8" s="704"/>
      <c r="U8" s="705"/>
    </row>
    <row r="9" spans="1:21">
      <c r="A9" s="72">
        <v>2</v>
      </c>
      <c r="B9" s="112" t="s">
        <v>136</v>
      </c>
      <c r="C9" s="176">
        <v>0</v>
      </c>
      <c r="D9" s="176"/>
      <c r="E9" s="176"/>
      <c r="F9" s="176"/>
      <c r="G9" s="176"/>
      <c r="H9" s="176"/>
      <c r="I9" s="176"/>
      <c r="J9" s="176"/>
      <c r="K9" s="176"/>
      <c r="L9" s="176"/>
      <c r="M9" s="176"/>
      <c r="N9" s="176"/>
      <c r="O9" s="176"/>
      <c r="P9" s="176"/>
      <c r="Q9" s="176"/>
      <c r="R9" s="193"/>
      <c r="S9" s="202">
        <f t="shared" ref="S9:S21" si="0">$C$6*SUM(C9:D9)+$E$6*SUM(E9:F9)+$G$6*SUM(G9:H9)+$I$6*SUM(I9:J9)+$K$6*SUM(K9:L9)+$M$6*SUM(M9:N9)+$O$6*SUM(O9:P9)+$Q$6*SUM(Q9:R9)</f>
        <v>0</v>
      </c>
      <c r="T9" s="704"/>
      <c r="U9" s="705"/>
    </row>
    <row r="10" spans="1:21">
      <c r="A10" s="72">
        <v>3</v>
      </c>
      <c r="B10" s="112" t="s">
        <v>137</v>
      </c>
      <c r="C10" s="176"/>
      <c r="D10" s="176"/>
      <c r="E10" s="176"/>
      <c r="F10" s="176"/>
      <c r="G10" s="176"/>
      <c r="H10" s="176"/>
      <c r="I10" s="176"/>
      <c r="J10" s="176"/>
      <c r="K10" s="176"/>
      <c r="L10" s="176"/>
      <c r="M10" s="176"/>
      <c r="N10" s="176"/>
      <c r="O10" s="176"/>
      <c r="P10" s="176"/>
      <c r="Q10" s="176"/>
      <c r="R10" s="193"/>
      <c r="S10" s="202">
        <f t="shared" si="0"/>
        <v>0</v>
      </c>
      <c r="T10" s="704"/>
      <c r="U10" s="705"/>
    </row>
    <row r="11" spans="1:21">
      <c r="A11" s="72">
        <v>4</v>
      </c>
      <c r="B11" s="112" t="s">
        <v>138</v>
      </c>
      <c r="C11" s="176"/>
      <c r="D11" s="176"/>
      <c r="E11" s="176"/>
      <c r="F11" s="176"/>
      <c r="G11" s="176"/>
      <c r="H11" s="176"/>
      <c r="I11" s="176"/>
      <c r="J11" s="176"/>
      <c r="K11" s="176"/>
      <c r="L11" s="176"/>
      <c r="M11" s="176"/>
      <c r="N11" s="176"/>
      <c r="O11" s="176"/>
      <c r="P11" s="176"/>
      <c r="Q11" s="176"/>
      <c r="R11" s="193"/>
      <c r="S11" s="202">
        <f t="shared" si="0"/>
        <v>0</v>
      </c>
      <c r="T11" s="704"/>
      <c r="U11" s="705"/>
    </row>
    <row r="12" spans="1:21">
      <c r="A12" s="72">
        <v>5</v>
      </c>
      <c r="B12" s="112" t="s">
        <v>941</v>
      </c>
      <c r="C12" s="176">
        <v>0</v>
      </c>
      <c r="D12" s="176"/>
      <c r="E12" s="176"/>
      <c r="F12" s="176"/>
      <c r="G12" s="176"/>
      <c r="H12" s="176"/>
      <c r="I12" s="176"/>
      <c r="J12" s="176"/>
      <c r="K12" s="176"/>
      <c r="L12" s="176"/>
      <c r="M12" s="176"/>
      <c r="N12" s="176"/>
      <c r="O12" s="176"/>
      <c r="P12" s="176"/>
      <c r="Q12" s="176"/>
      <c r="R12" s="193"/>
      <c r="S12" s="202">
        <f t="shared" si="0"/>
        <v>0</v>
      </c>
      <c r="T12" s="704"/>
      <c r="U12" s="705"/>
    </row>
    <row r="13" spans="1:21">
      <c r="A13" s="72">
        <v>6</v>
      </c>
      <c r="B13" s="112" t="s">
        <v>139</v>
      </c>
      <c r="C13" s="176"/>
      <c r="D13" s="176"/>
      <c r="E13" s="176">
        <v>71600451</v>
      </c>
      <c r="F13" s="176"/>
      <c r="G13" s="176"/>
      <c r="H13" s="176"/>
      <c r="I13" s="176">
        <v>22856103</v>
      </c>
      <c r="J13" s="176"/>
      <c r="K13" s="176"/>
      <c r="L13" s="176"/>
      <c r="M13" s="176">
        <v>267046</v>
      </c>
      <c r="N13" s="176"/>
      <c r="O13" s="176">
        <v>13663</v>
      </c>
      <c r="P13" s="176"/>
      <c r="Q13" s="176"/>
      <c r="R13" s="193"/>
      <c r="S13" s="202">
        <f t="shared" si="0"/>
        <v>26035682.200000003</v>
      </c>
      <c r="T13" s="704"/>
      <c r="U13" s="705"/>
    </row>
    <row r="14" spans="1:21">
      <c r="A14" s="72">
        <v>7</v>
      </c>
      <c r="B14" s="112" t="s">
        <v>72</v>
      </c>
      <c r="C14" s="176"/>
      <c r="D14" s="176"/>
      <c r="E14" s="176"/>
      <c r="F14" s="176"/>
      <c r="G14" s="176"/>
      <c r="H14" s="176"/>
      <c r="I14" s="176"/>
      <c r="J14" s="176"/>
      <c r="K14" s="176"/>
      <c r="L14" s="176"/>
      <c r="M14" s="176">
        <v>71231232.898262873</v>
      </c>
      <c r="N14" s="176">
        <v>8578949</v>
      </c>
      <c r="O14" s="176"/>
      <c r="P14" s="176"/>
      <c r="Q14" s="176"/>
      <c r="R14" s="193"/>
      <c r="S14" s="202">
        <f t="shared" si="0"/>
        <v>79810181.898262873</v>
      </c>
      <c r="T14" s="704"/>
      <c r="U14" s="705"/>
    </row>
    <row r="15" spans="1:21">
      <c r="A15" s="72">
        <v>8</v>
      </c>
      <c r="B15" s="112" t="s">
        <v>73</v>
      </c>
      <c r="C15" s="176"/>
      <c r="D15" s="176"/>
      <c r="E15" s="176"/>
      <c r="F15" s="176"/>
      <c r="G15" s="176"/>
      <c r="H15" s="176"/>
      <c r="I15" s="176" t="s">
        <v>5</v>
      </c>
      <c r="J15" s="176"/>
      <c r="K15" s="176">
        <v>2260076675.3752074</v>
      </c>
      <c r="L15" s="176">
        <v>48393896</v>
      </c>
      <c r="M15" s="176"/>
      <c r="N15" s="176"/>
      <c r="O15" s="176"/>
      <c r="P15" s="176"/>
      <c r="Q15" s="176"/>
      <c r="R15" s="193"/>
      <c r="S15" s="202">
        <f t="shared" si="0"/>
        <v>1731352928.5314054</v>
      </c>
      <c r="T15" s="704"/>
      <c r="U15" s="705"/>
    </row>
    <row r="16" spans="1:21">
      <c r="A16" s="72">
        <v>9</v>
      </c>
      <c r="B16" s="112" t="s">
        <v>942</v>
      </c>
      <c r="C16" s="176">
        <v>0</v>
      </c>
      <c r="D16" s="176"/>
      <c r="E16" s="176"/>
      <c r="F16" s="176"/>
      <c r="G16" s="176">
        <v>154064500.46546111</v>
      </c>
      <c r="H16" s="176"/>
      <c r="I16" s="176"/>
      <c r="J16" s="176"/>
      <c r="K16" s="176"/>
      <c r="L16" s="176"/>
      <c r="M16" s="176"/>
      <c r="N16" s="176"/>
      <c r="O16" s="176"/>
      <c r="P16" s="176"/>
      <c r="Q16" s="176"/>
      <c r="R16" s="193"/>
      <c r="S16" s="202">
        <f t="shared" si="0"/>
        <v>53922575.162911385</v>
      </c>
      <c r="T16" s="704"/>
      <c r="U16" s="705"/>
    </row>
    <row r="17" spans="1:21">
      <c r="A17" s="72">
        <v>10</v>
      </c>
      <c r="B17" s="112" t="s">
        <v>68</v>
      </c>
      <c r="C17" s="176"/>
      <c r="D17" s="176"/>
      <c r="E17" s="176"/>
      <c r="F17" s="176"/>
      <c r="G17" s="176"/>
      <c r="H17" s="176"/>
      <c r="I17" s="176">
        <v>341507.5142826392</v>
      </c>
      <c r="J17" s="176"/>
      <c r="K17" s="176"/>
      <c r="L17" s="176"/>
      <c r="M17" s="176">
        <v>4169777.2558293194</v>
      </c>
      <c r="N17" s="176"/>
      <c r="O17" s="176"/>
      <c r="P17" s="176"/>
      <c r="Q17" s="176"/>
      <c r="R17" s="193"/>
      <c r="S17" s="202">
        <f t="shared" si="0"/>
        <v>4340531.0129706394</v>
      </c>
      <c r="T17" s="704"/>
      <c r="U17" s="705"/>
    </row>
    <row r="18" spans="1:21">
      <c r="A18" s="72">
        <v>11</v>
      </c>
      <c r="B18" s="112" t="s">
        <v>69</v>
      </c>
      <c r="C18" s="176"/>
      <c r="D18" s="176"/>
      <c r="E18" s="176"/>
      <c r="F18" s="176"/>
      <c r="G18" s="176"/>
      <c r="H18" s="176"/>
      <c r="I18" s="176"/>
      <c r="J18" s="176"/>
      <c r="K18" s="176"/>
      <c r="L18" s="176"/>
      <c r="M18" s="176"/>
      <c r="N18" s="176"/>
      <c r="O18" s="176"/>
      <c r="P18" s="176"/>
      <c r="Q18" s="176"/>
      <c r="R18" s="193"/>
      <c r="S18" s="202">
        <f t="shared" si="0"/>
        <v>0</v>
      </c>
      <c r="T18" s="704"/>
      <c r="U18" s="705"/>
    </row>
    <row r="19" spans="1:21">
      <c r="A19" s="72">
        <v>12</v>
      </c>
      <c r="B19" s="112" t="s">
        <v>70</v>
      </c>
      <c r="C19" s="176"/>
      <c r="D19" s="176"/>
      <c r="E19" s="176"/>
      <c r="F19" s="176"/>
      <c r="G19" s="176"/>
      <c r="H19" s="176"/>
      <c r="I19" s="176"/>
      <c r="J19" s="176"/>
      <c r="K19" s="176"/>
      <c r="L19" s="176"/>
      <c r="M19" s="176"/>
      <c r="N19" s="176"/>
      <c r="O19" s="176"/>
      <c r="P19" s="176"/>
      <c r="Q19" s="176"/>
      <c r="R19" s="193"/>
      <c r="S19" s="202">
        <f t="shared" si="0"/>
        <v>0</v>
      </c>
      <c r="T19" s="704"/>
      <c r="U19" s="705"/>
    </row>
    <row r="20" spans="1:21">
      <c r="A20" s="72">
        <v>13</v>
      </c>
      <c r="B20" s="112" t="s">
        <v>71</v>
      </c>
      <c r="C20" s="176"/>
      <c r="D20" s="176"/>
      <c r="E20" s="176"/>
      <c r="F20" s="176"/>
      <c r="G20" s="176"/>
      <c r="H20" s="176"/>
      <c r="I20" s="176"/>
      <c r="J20" s="176"/>
      <c r="K20" s="176"/>
      <c r="L20" s="176"/>
      <c r="M20" s="176"/>
      <c r="N20" s="176"/>
      <c r="O20" s="176"/>
      <c r="P20" s="176"/>
      <c r="Q20" s="176"/>
      <c r="R20" s="193"/>
      <c r="S20" s="202">
        <f t="shared" si="0"/>
        <v>0</v>
      </c>
      <c r="T20" s="704"/>
      <c r="U20" s="705"/>
    </row>
    <row r="21" spans="1:21">
      <c r="A21" s="72">
        <v>14</v>
      </c>
      <c r="B21" s="112" t="s">
        <v>155</v>
      </c>
      <c r="C21" s="176">
        <v>108924484.53</v>
      </c>
      <c r="D21" s="176"/>
      <c r="E21" s="176"/>
      <c r="F21" s="176"/>
      <c r="G21" s="176"/>
      <c r="H21" s="176"/>
      <c r="I21" s="176"/>
      <c r="J21" s="176"/>
      <c r="K21" s="176"/>
      <c r="L21" s="176"/>
      <c r="M21" s="176">
        <v>101379668.79000002</v>
      </c>
      <c r="N21" s="176"/>
      <c r="O21" s="176"/>
      <c r="P21" s="176"/>
      <c r="Q21" s="176">
        <v>2463673.85</v>
      </c>
      <c r="R21" s="193"/>
      <c r="S21" s="202">
        <f t="shared" si="0"/>
        <v>107538853.41500002</v>
      </c>
      <c r="T21" s="704"/>
      <c r="U21" s="705"/>
    </row>
    <row r="22" spans="1:21" ht="14.4" thickBot="1">
      <c r="A22" s="55"/>
      <c r="B22" s="96" t="s">
        <v>67</v>
      </c>
      <c r="C22" s="177">
        <f>SUM(C8:C21)</f>
        <v>296434577.80797195</v>
      </c>
      <c r="D22" s="177">
        <f t="shared" ref="D22:S22" si="1">SUM(D8:D21)</f>
        <v>0</v>
      </c>
      <c r="E22" s="177">
        <f t="shared" si="1"/>
        <v>71600451</v>
      </c>
      <c r="F22" s="177">
        <f t="shared" si="1"/>
        <v>0</v>
      </c>
      <c r="G22" s="177">
        <f t="shared" si="1"/>
        <v>154064500.46546111</v>
      </c>
      <c r="H22" s="177">
        <f t="shared" si="1"/>
        <v>0</v>
      </c>
      <c r="I22" s="177">
        <f t="shared" si="1"/>
        <v>23197610.51428264</v>
      </c>
      <c r="J22" s="177">
        <f t="shared" si="1"/>
        <v>0</v>
      </c>
      <c r="K22" s="177">
        <f t="shared" si="1"/>
        <v>2260076675.3752074</v>
      </c>
      <c r="L22" s="177">
        <f t="shared" si="1"/>
        <v>48393896</v>
      </c>
      <c r="M22" s="177">
        <f t="shared" si="1"/>
        <v>231168112.94409221</v>
      </c>
      <c r="N22" s="177">
        <f t="shared" si="1"/>
        <v>8578949</v>
      </c>
      <c r="O22" s="177">
        <f t="shared" si="1"/>
        <v>13663</v>
      </c>
      <c r="P22" s="177">
        <f t="shared" si="1"/>
        <v>0</v>
      </c>
      <c r="Q22" s="177">
        <f t="shared" si="1"/>
        <v>2463673.85</v>
      </c>
      <c r="R22" s="177">
        <f t="shared" si="1"/>
        <v>0</v>
      </c>
      <c r="S22" s="706">
        <f t="shared" si="1"/>
        <v>2057121140.2205503</v>
      </c>
    </row>
    <row r="23" spans="1:21">
      <c r="S23" s="702"/>
    </row>
    <row r="24" spans="1:21">
      <c r="C24" s="702"/>
      <c r="D24" s="702"/>
      <c r="E24" s="702"/>
      <c r="F24" s="702"/>
      <c r="G24" s="702"/>
      <c r="H24" s="702"/>
      <c r="I24" s="702"/>
      <c r="J24" s="702"/>
      <c r="K24" s="702"/>
      <c r="L24" s="702"/>
      <c r="M24" s="702"/>
      <c r="N24" s="702"/>
      <c r="O24" s="702"/>
      <c r="P24" s="702"/>
      <c r="Q24" s="702"/>
      <c r="R24" s="702"/>
      <c r="S24" s="702"/>
    </row>
    <row r="26" spans="1:21">
      <c r="C26" s="703"/>
      <c r="D26" s="703"/>
      <c r="E26" s="703"/>
      <c r="F26" s="703"/>
      <c r="G26" s="703"/>
      <c r="H26" s="703"/>
      <c r="I26" s="703"/>
      <c r="J26" s="703"/>
      <c r="K26" s="703"/>
      <c r="L26" s="703"/>
      <c r="M26" s="703"/>
      <c r="N26" s="703"/>
      <c r="O26" s="703"/>
      <c r="P26" s="703"/>
      <c r="Q26" s="703"/>
      <c r="R26" s="703"/>
      <c r="S26" s="70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D14" sqref="D14"/>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109</v>
      </c>
      <c r="B1" s="1" t="str">
        <f>Info!C2</f>
        <v>კრედო</v>
      </c>
    </row>
    <row r="2" spans="1:22">
      <c r="A2" s="1" t="s">
        <v>110</v>
      </c>
      <c r="B2" s="335">
        <f>'1. key ratios'!B2</f>
        <v>45657</v>
      </c>
    </row>
    <row r="4" spans="1:22" ht="28.2" thickBot="1">
      <c r="A4" s="1" t="s">
        <v>261</v>
      </c>
      <c r="B4" s="199" t="s">
        <v>296</v>
      </c>
      <c r="V4" s="138" t="s">
        <v>88</v>
      </c>
    </row>
    <row r="5" spans="1:22">
      <c r="A5" s="53"/>
      <c r="B5" s="54"/>
      <c r="C5" s="835" t="s">
        <v>117</v>
      </c>
      <c r="D5" s="836"/>
      <c r="E5" s="836"/>
      <c r="F5" s="836"/>
      <c r="G5" s="836"/>
      <c r="H5" s="836"/>
      <c r="I5" s="836"/>
      <c r="J5" s="836"/>
      <c r="K5" s="836"/>
      <c r="L5" s="837"/>
      <c r="M5" s="835" t="s">
        <v>118</v>
      </c>
      <c r="N5" s="836"/>
      <c r="O5" s="836"/>
      <c r="P5" s="836"/>
      <c r="Q5" s="836"/>
      <c r="R5" s="836"/>
      <c r="S5" s="837"/>
      <c r="T5" s="840" t="s">
        <v>294</v>
      </c>
      <c r="U5" s="840" t="s">
        <v>293</v>
      </c>
      <c r="V5" s="838" t="s">
        <v>119</v>
      </c>
    </row>
    <row r="6" spans="1:22" s="30" customFormat="1" ht="138">
      <c r="A6" s="70"/>
      <c r="B6" s="114"/>
      <c r="C6" s="51" t="s">
        <v>120</v>
      </c>
      <c r="D6" s="50" t="s">
        <v>121</v>
      </c>
      <c r="E6" s="48" t="s">
        <v>122</v>
      </c>
      <c r="F6" s="48" t="s">
        <v>288</v>
      </c>
      <c r="G6" s="50" t="s">
        <v>123</v>
      </c>
      <c r="H6" s="50" t="s">
        <v>124</v>
      </c>
      <c r="I6" s="50" t="s">
        <v>125</v>
      </c>
      <c r="J6" s="50" t="s">
        <v>154</v>
      </c>
      <c r="K6" s="50" t="s">
        <v>126</v>
      </c>
      <c r="L6" s="52" t="s">
        <v>127</v>
      </c>
      <c r="M6" s="51" t="s">
        <v>128</v>
      </c>
      <c r="N6" s="50" t="s">
        <v>129</v>
      </c>
      <c r="O6" s="50" t="s">
        <v>130</v>
      </c>
      <c r="P6" s="50" t="s">
        <v>131</v>
      </c>
      <c r="Q6" s="50" t="s">
        <v>132</v>
      </c>
      <c r="R6" s="50" t="s">
        <v>133</v>
      </c>
      <c r="S6" s="52" t="s">
        <v>134</v>
      </c>
      <c r="T6" s="841"/>
      <c r="U6" s="841"/>
      <c r="V6" s="839"/>
    </row>
    <row r="7" spans="1:22">
      <c r="A7" s="95">
        <v>1</v>
      </c>
      <c r="B7" s="112" t="s">
        <v>135</v>
      </c>
      <c r="C7" s="178"/>
      <c r="D7" s="176"/>
      <c r="E7" s="176"/>
      <c r="F7" s="176"/>
      <c r="G7" s="176"/>
      <c r="H7" s="176"/>
      <c r="I7" s="176"/>
      <c r="J7" s="176"/>
      <c r="K7" s="176"/>
      <c r="L7" s="179"/>
      <c r="M7" s="178"/>
      <c r="N7" s="176"/>
      <c r="O7" s="176"/>
      <c r="P7" s="176"/>
      <c r="Q7" s="176"/>
      <c r="R7" s="176"/>
      <c r="S7" s="179"/>
      <c r="T7" s="196"/>
      <c r="U7" s="195"/>
      <c r="V7" s="180">
        <f>SUM(C7:S7)</f>
        <v>0</v>
      </c>
    </row>
    <row r="8" spans="1:22">
      <c r="A8" s="95">
        <v>2</v>
      </c>
      <c r="B8" s="112" t="s">
        <v>136</v>
      </c>
      <c r="C8" s="178"/>
      <c r="D8" s="176"/>
      <c r="E8" s="176"/>
      <c r="F8" s="176"/>
      <c r="G8" s="176"/>
      <c r="H8" s="176"/>
      <c r="I8" s="176"/>
      <c r="J8" s="176"/>
      <c r="K8" s="176"/>
      <c r="L8" s="179"/>
      <c r="M8" s="178"/>
      <c r="N8" s="176"/>
      <c r="O8" s="176"/>
      <c r="P8" s="176"/>
      <c r="Q8" s="176"/>
      <c r="R8" s="176"/>
      <c r="S8" s="179"/>
      <c r="T8" s="195"/>
      <c r="U8" s="195"/>
      <c r="V8" s="180">
        <f t="shared" ref="V8:V20" si="0">SUM(C8:S8)</f>
        <v>0</v>
      </c>
    </row>
    <row r="9" spans="1:22">
      <c r="A9" s="95">
        <v>3</v>
      </c>
      <c r="B9" s="112" t="s">
        <v>137</v>
      </c>
      <c r="C9" s="178"/>
      <c r="D9" s="176"/>
      <c r="E9" s="176"/>
      <c r="F9" s="176"/>
      <c r="G9" s="176"/>
      <c r="H9" s="176"/>
      <c r="I9" s="176"/>
      <c r="J9" s="176"/>
      <c r="K9" s="176"/>
      <c r="L9" s="179"/>
      <c r="M9" s="178"/>
      <c r="N9" s="176"/>
      <c r="O9" s="176"/>
      <c r="P9" s="176"/>
      <c r="Q9" s="176"/>
      <c r="R9" s="176"/>
      <c r="S9" s="179"/>
      <c r="T9" s="195"/>
      <c r="U9" s="195"/>
      <c r="V9" s="180">
        <f>SUM(C9:S9)</f>
        <v>0</v>
      </c>
    </row>
    <row r="10" spans="1:22">
      <c r="A10" s="95">
        <v>4</v>
      </c>
      <c r="B10" s="112" t="s">
        <v>138</v>
      </c>
      <c r="C10" s="178"/>
      <c r="D10" s="176"/>
      <c r="E10" s="176"/>
      <c r="F10" s="176"/>
      <c r="G10" s="176"/>
      <c r="H10" s="176"/>
      <c r="I10" s="176"/>
      <c r="J10" s="176"/>
      <c r="K10" s="176"/>
      <c r="L10" s="179"/>
      <c r="M10" s="178"/>
      <c r="N10" s="176"/>
      <c r="O10" s="176"/>
      <c r="P10" s="176"/>
      <c r="Q10" s="176"/>
      <c r="R10" s="176"/>
      <c r="S10" s="179"/>
      <c r="T10" s="195"/>
      <c r="U10" s="195"/>
      <c r="V10" s="180">
        <f t="shared" si="0"/>
        <v>0</v>
      </c>
    </row>
    <row r="11" spans="1:22">
      <c r="A11" s="95">
        <v>5</v>
      </c>
      <c r="B11" s="112" t="s">
        <v>941</v>
      </c>
      <c r="C11" s="178"/>
      <c r="D11" s="176"/>
      <c r="E11" s="176"/>
      <c r="F11" s="176"/>
      <c r="G11" s="176"/>
      <c r="H11" s="176"/>
      <c r="I11" s="176"/>
      <c r="J11" s="176"/>
      <c r="K11" s="176"/>
      <c r="L11" s="179"/>
      <c r="M11" s="178"/>
      <c r="N11" s="176"/>
      <c r="O11" s="176"/>
      <c r="P11" s="176"/>
      <c r="Q11" s="176"/>
      <c r="R11" s="176"/>
      <c r="S11" s="179"/>
      <c r="T11" s="195"/>
      <c r="U11" s="195"/>
      <c r="V11" s="180">
        <f t="shared" si="0"/>
        <v>0</v>
      </c>
    </row>
    <row r="12" spans="1:22">
      <c r="A12" s="95">
        <v>6</v>
      </c>
      <c r="B12" s="112" t="s">
        <v>139</v>
      </c>
      <c r="C12" s="178"/>
      <c r="D12" s="176"/>
      <c r="E12" s="176"/>
      <c r="F12" s="176"/>
      <c r="G12" s="176"/>
      <c r="H12" s="176"/>
      <c r="I12" s="176"/>
      <c r="J12" s="176"/>
      <c r="K12" s="176"/>
      <c r="L12" s="179"/>
      <c r="M12" s="178"/>
      <c r="N12" s="176"/>
      <c r="O12" s="176"/>
      <c r="P12" s="176"/>
      <c r="Q12" s="176"/>
      <c r="R12" s="176"/>
      <c r="S12" s="179"/>
      <c r="T12" s="195"/>
      <c r="U12" s="195"/>
      <c r="V12" s="180">
        <f t="shared" si="0"/>
        <v>0</v>
      </c>
    </row>
    <row r="13" spans="1:22">
      <c r="A13" s="95">
        <v>7</v>
      </c>
      <c r="B13" s="112" t="s">
        <v>72</v>
      </c>
      <c r="C13" s="178"/>
      <c r="D13" s="176"/>
      <c r="E13" s="176"/>
      <c r="F13" s="176"/>
      <c r="G13" s="176"/>
      <c r="H13" s="176"/>
      <c r="I13" s="176"/>
      <c r="J13" s="176"/>
      <c r="K13" s="176"/>
      <c r="L13" s="179"/>
      <c r="M13" s="178"/>
      <c r="N13" s="176"/>
      <c r="O13" s="176"/>
      <c r="P13" s="176"/>
      <c r="Q13" s="176"/>
      <c r="R13" s="176"/>
      <c r="S13" s="179"/>
      <c r="T13" s="195"/>
      <c r="U13" s="195"/>
      <c r="V13" s="180">
        <f t="shared" si="0"/>
        <v>0</v>
      </c>
    </row>
    <row r="14" spans="1:22">
      <c r="A14" s="95">
        <v>8</v>
      </c>
      <c r="B14" s="112" t="s">
        <v>73</v>
      </c>
      <c r="C14" s="178"/>
      <c r="D14" s="176">
        <v>6376015.3662445508</v>
      </c>
      <c r="E14" s="176"/>
      <c r="F14" s="176"/>
      <c r="G14" s="176"/>
      <c r="H14" s="176"/>
      <c r="I14" s="176"/>
      <c r="J14" s="176"/>
      <c r="K14" s="176"/>
      <c r="L14" s="179"/>
      <c r="M14" s="178"/>
      <c r="N14" s="176"/>
      <c r="O14" s="176"/>
      <c r="P14" s="176"/>
      <c r="Q14" s="176"/>
      <c r="R14" s="176"/>
      <c r="S14" s="179"/>
      <c r="T14" s="195"/>
      <c r="U14" s="195"/>
      <c r="V14" s="180">
        <f t="shared" si="0"/>
        <v>6376015.3662445508</v>
      </c>
    </row>
    <row r="15" spans="1:22">
      <c r="A15" s="95">
        <v>9</v>
      </c>
      <c r="B15" s="112" t="s">
        <v>942</v>
      </c>
      <c r="C15" s="178"/>
      <c r="D15" s="176"/>
      <c r="E15" s="176"/>
      <c r="F15" s="176"/>
      <c r="G15" s="176"/>
      <c r="H15" s="176"/>
      <c r="I15" s="176"/>
      <c r="J15" s="176"/>
      <c r="K15" s="176"/>
      <c r="L15" s="179"/>
      <c r="M15" s="178"/>
      <c r="N15" s="176"/>
      <c r="O15" s="176"/>
      <c r="P15" s="176"/>
      <c r="Q15" s="176"/>
      <c r="R15" s="176"/>
      <c r="S15" s="179"/>
      <c r="T15" s="195"/>
      <c r="U15" s="195"/>
      <c r="V15" s="180">
        <f t="shared" si="0"/>
        <v>0</v>
      </c>
    </row>
    <row r="16" spans="1:22">
      <c r="A16" s="95">
        <v>10</v>
      </c>
      <c r="B16" s="112" t="s">
        <v>68</v>
      </c>
      <c r="C16" s="178"/>
      <c r="D16" s="176"/>
      <c r="E16" s="176"/>
      <c r="F16" s="176"/>
      <c r="G16" s="176"/>
      <c r="H16" s="176"/>
      <c r="I16" s="176"/>
      <c r="J16" s="176"/>
      <c r="K16" s="176"/>
      <c r="L16" s="179"/>
      <c r="M16" s="178"/>
      <c r="N16" s="176"/>
      <c r="O16" s="176"/>
      <c r="P16" s="176"/>
      <c r="Q16" s="176"/>
      <c r="R16" s="176"/>
      <c r="S16" s="179"/>
      <c r="T16" s="195"/>
      <c r="U16" s="195"/>
      <c r="V16" s="180">
        <f t="shared" si="0"/>
        <v>0</v>
      </c>
    </row>
    <row r="17" spans="1:22">
      <c r="A17" s="95">
        <v>11</v>
      </c>
      <c r="B17" s="112" t="s">
        <v>69</v>
      </c>
      <c r="C17" s="178"/>
      <c r="D17" s="176"/>
      <c r="E17" s="176"/>
      <c r="F17" s="176"/>
      <c r="G17" s="176"/>
      <c r="H17" s="176"/>
      <c r="I17" s="176"/>
      <c r="J17" s="176"/>
      <c r="K17" s="176"/>
      <c r="L17" s="179"/>
      <c r="M17" s="178"/>
      <c r="N17" s="176"/>
      <c r="O17" s="176"/>
      <c r="P17" s="176"/>
      <c r="Q17" s="176"/>
      <c r="R17" s="176"/>
      <c r="S17" s="179"/>
      <c r="T17" s="195"/>
      <c r="U17" s="195"/>
      <c r="V17" s="180">
        <f t="shared" si="0"/>
        <v>0</v>
      </c>
    </row>
    <row r="18" spans="1:22">
      <c r="A18" s="95">
        <v>12</v>
      </c>
      <c r="B18" s="112" t="s">
        <v>70</v>
      </c>
      <c r="C18" s="178"/>
      <c r="D18" s="176"/>
      <c r="E18" s="176"/>
      <c r="F18" s="176"/>
      <c r="G18" s="176"/>
      <c r="H18" s="176"/>
      <c r="I18" s="176"/>
      <c r="J18" s="176"/>
      <c r="K18" s="176"/>
      <c r="L18" s="179"/>
      <c r="M18" s="178"/>
      <c r="N18" s="176"/>
      <c r="O18" s="176"/>
      <c r="P18" s="176"/>
      <c r="Q18" s="176"/>
      <c r="R18" s="176"/>
      <c r="S18" s="179"/>
      <c r="T18" s="195"/>
      <c r="U18" s="195"/>
      <c r="V18" s="180">
        <f t="shared" si="0"/>
        <v>0</v>
      </c>
    </row>
    <row r="19" spans="1:22">
      <c r="A19" s="95">
        <v>13</v>
      </c>
      <c r="B19" s="112" t="s">
        <v>71</v>
      </c>
      <c r="C19" s="178"/>
      <c r="D19" s="176"/>
      <c r="E19" s="176"/>
      <c r="F19" s="176"/>
      <c r="G19" s="176"/>
      <c r="H19" s="176"/>
      <c r="I19" s="176"/>
      <c r="J19" s="176"/>
      <c r="K19" s="176"/>
      <c r="L19" s="179"/>
      <c r="M19" s="178"/>
      <c r="N19" s="176"/>
      <c r="O19" s="176"/>
      <c r="P19" s="176"/>
      <c r="Q19" s="176"/>
      <c r="R19" s="176"/>
      <c r="S19" s="179"/>
      <c r="T19" s="195"/>
      <c r="U19" s="195"/>
      <c r="V19" s="180">
        <f t="shared" si="0"/>
        <v>0</v>
      </c>
    </row>
    <row r="20" spans="1:22">
      <c r="A20" s="95">
        <v>14</v>
      </c>
      <c r="B20" s="112" t="s">
        <v>155</v>
      </c>
      <c r="C20" s="178"/>
      <c r="D20" s="176"/>
      <c r="E20" s="176"/>
      <c r="F20" s="176"/>
      <c r="G20" s="176"/>
      <c r="H20" s="176"/>
      <c r="I20" s="176"/>
      <c r="J20" s="176"/>
      <c r="K20" s="176"/>
      <c r="L20" s="179"/>
      <c r="M20" s="178"/>
      <c r="N20" s="176"/>
      <c r="O20" s="176"/>
      <c r="P20" s="176"/>
      <c r="Q20" s="176"/>
      <c r="R20" s="176"/>
      <c r="S20" s="179"/>
      <c r="T20" s="195"/>
      <c r="U20" s="195"/>
      <c r="V20" s="180">
        <f t="shared" si="0"/>
        <v>0</v>
      </c>
    </row>
    <row r="21" spans="1:22" ht="14.4" thickBot="1">
      <c r="A21" s="55"/>
      <c r="B21" s="56" t="s">
        <v>67</v>
      </c>
      <c r="C21" s="181">
        <f>SUM(C7:C20)</f>
        <v>0</v>
      </c>
      <c r="D21" s="177">
        <f t="shared" ref="D21:V21" si="1">SUM(D7:D20)</f>
        <v>6376015.3662445508</v>
      </c>
      <c r="E21" s="177">
        <f t="shared" si="1"/>
        <v>0</v>
      </c>
      <c r="F21" s="177">
        <f t="shared" si="1"/>
        <v>0</v>
      </c>
      <c r="G21" s="177">
        <f t="shared" si="1"/>
        <v>0</v>
      </c>
      <c r="H21" s="177">
        <f t="shared" si="1"/>
        <v>0</v>
      </c>
      <c r="I21" s="177">
        <f t="shared" si="1"/>
        <v>0</v>
      </c>
      <c r="J21" s="177">
        <f t="shared" si="1"/>
        <v>0</v>
      </c>
      <c r="K21" s="177">
        <f t="shared" si="1"/>
        <v>0</v>
      </c>
      <c r="L21" s="182">
        <f t="shared" si="1"/>
        <v>0</v>
      </c>
      <c r="M21" s="181">
        <f t="shared" si="1"/>
        <v>0</v>
      </c>
      <c r="N21" s="177">
        <f t="shared" si="1"/>
        <v>0</v>
      </c>
      <c r="O21" s="177">
        <f t="shared" si="1"/>
        <v>0</v>
      </c>
      <c r="P21" s="177">
        <f t="shared" si="1"/>
        <v>0</v>
      </c>
      <c r="Q21" s="177">
        <f t="shared" si="1"/>
        <v>0</v>
      </c>
      <c r="R21" s="177">
        <f t="shared" si="1"/>
        <v>0</v>
      </c>
      <c r="S21" s="182">
        <f t="shared" si="1"/>
        <v>0</v>
      </c>
      <c r="T21" s="182">
        <f>SUM(T7:T20)</f>
        <v>0</v>
      </c>
      <c r="U21" s="182">
        <f t="shared" si="1"/>
        <v>0</v>
      </c>
      <c r="V21" s="183">
        <f t="shared" si="1"/>
        <v>6376015.3662445508</v>
      </c>
    </row>
    <row r="24" spans="1:22">
      <c r="C24" s="33"/>
      <c r="D24" s="33"/>
      <c r="E24" s="33"/>
    </row>
    <row r="25" spans="1:22">
      <c r="A25" s="29"/>
      <c r="B25" s="29"/>
      <c r="D25" s="33"/>
      <c r="E25" s="33"/>
    </row>
    <row r="26" spans="1:22">
      <c r="A26" s="29"/>
      <c r="B26" s="49"/>
      <c r="D26" s="33"/>
      <c r="E26" s="33"/>
    </row>
    <row r="27" spans="1:22">
      <c r="A27" s="29"/>
      <c r="B27" s="29"/>
      <c r="D27" s="33"/>
      <c r="E27" s="33"/>
    </row>
    <row r="28" spans="1:22">
      <c r="A28" s="29"/>
      <c r="B28" s="49"/>
      <c r="D28" s="33"/>
      <c r="E28" s="3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G16" sqref="G16"/>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9" width="11.6640625" style="8" bestFit="1" customWidth="1"/>
    <col min="10" max="10" width="9.88671875" style="8" bestFit="1" customWidth="1"/>
    <col min="11" max="11" width="9.33203125" style="8" bestFit="1" customWidth="1"/>
    <col min="12" max="12" width="11.109375" style="8" bestFit="1" customWidth="1"/>
    <col min="13" max="13" width="11.33203125" style="8" bestFit="1" customWidth="1"/>
    <col min="14" max="14" width="9.33203125" style="8" bestFit="1" customWidth="1"/>
    <col min="15" max="16384" width="9.21875" style="8"/>
  </cols>
  <sheetData>
    <row r="1" spans="1:14">
      <c r="A1" s="1" t="s">
        <v>109</v>
      </c>
      <c r="B1" s="1" t="str">
        <f>Info!C2</f>
        <v>კრედო</v>
      </c>
    </row>
    <row r="2" spans="1:14">
      <c r="A2" s="1" t="s">
        <v>110</v>
      </c>
      <c r="B2" s="335">
        <f>'1. key ratios'!B2</f>
        <v>45657</v>
      </c>
    </row>
    <row r="4" spans="1:14" ht="14.4" thickBot="1">
      <c r="A4" s="1" t="s">
        <v>262</v>
      </c>
      <c r="B4" s="22" t="s">
        <v>297</v>
      </c>
    </row>
    <row r="5" spans="1:14">
      <c r="A5" s="53"/>
      <c r="B5" s="93"/>
      <c r="C5" s="97" t="s">
        <v>0</v>
      </c>
      <c r="D5" s="97" t="s">
        <v>1</v>
      </c>
      <c r="E5" s="97" t="s">
        <v>2</v>
      </c>
      <c r="F5" s="97" t="s">
        <v>3</v>
      </c>
      <c r="G5" s="194" t="s">
        <v>4</v>
      </c>
      <c r="H5" s="98" t="s">
        <v>6</v>
      </c>
      <c r="I5" s="17"/>
    </row>
    <row r="6" spans="1:14" ht="15" customHeight="1">
      <c r="A6" s="92"/>
      <c r="B6" s="15"/>
      <c r="C6" s="833" t="s">
        <v>289</v>
      </c>
      <c r="D6" s="844" t="s">
        <v>310</v>
      </c>
      <c r="E6" s="845"/>
      <c r="F6" s="833" t="s">
        <v>316</v>
      </c>
      <c r="G6" s="833" t="s">
        <v>317</v>
      </c>
      <c r="H6" s="842" t="s">
        <v>291</v>
      </c>
      <c r="I6" s="17"/>
    </row>
    <row r="7" spans="1:14" ht="69">
      <c r="A7" s="92"/>
      <c r="B7" s="15"/>
      <c r="C7" s="834"/>
      <c r="D7" s="197" t="s">
        <v>292</v>
      </c>
      <c r="E7" s="197" t="s">
        <v>290</v>
      </c>
      <c r="F7" s="834"/>
      <c r="G7" s="834"/>
      <c r="H7" s="843"/>
      <c r="I7" s="17"/>
    </row>
    <row r="8" spans="1:14">
      <c r="A8" s="45">
        <v>1</v>
      </c>
      <c r="B8" s="112" t="s">
        <v>135</v>
      </c>
      <c r="C8" s="176">
        <v>241630480.45000002</v>
      </c>
      <c r="D8" s="176"/>
      <c r="E8" s="176"/>
      <c r="F8" s="176">
        <v>54120387.800000004</v>
      </c>
      <c r="G8" s="193">
        <v>54120387.800000004</v>
      </c>
      <c r="H8" s="200">
        <f>IFERROR(G8/(C8+E8),0)</f>
        <v>0.22397997015612026</v>
      </c>
      <c r="I8" s="704"/>
      <c r="J8" s="704"/>
      <c r="K8" s="704"/>
      <c r="L8" s="704"/>
      <c r="M8" s="704"/>
      <c r="N8" s="707"/>
    </row>
    <row r="9" spans="1:14" ht="15" customHeight="1">
      <c r="A9" s="45">
        <v>2</v>
      </c>
      <c r="B9" s="112" t="s">
        <v>136</v>
      </c>
      <c r="C9" s="176"/>
      <c r="D9" s="176"/>
      <c r="E9" s="176"/>
      <c r="F9" s="176"/>
      <c r="G9" s="193"/>
      <c r="H9" s="200" t="str">
        <f>IFERROR(G9/(C9+E9),"")</f>
        <v/>
      </c>
      <c r="I9" s="704"/>
      <c r="J9" s="704"/>
      <c r="K9" s="704"/>
      <c r="L9" s="704"/>
      <c r="M9" s="704"/>
      <c r="N9" s="707"/>
    </row>
    <row r="10" spans="1:14">
      <c r="A10" s="45">
        <v>3</v>
      </c>
      <c r="B10" s="112" t="s">
        <v>137</v>
      </c>
      <c r="C10" s="176"/>
      <c r="D10" s="176"/>
      <c r="E10" s="176"/>
      <c r="F10" s="176"/>
      <c r="G10" s="193"/>
      <c r="H10" s="200" t="str">
        <f t="shared" ref="H10:H21" si="0">IFERROR(G10/(C10+E10),"")</f>
        <v/>
      </c>
      <c r="I10" s="704"/>
      <c r="J10" s="704"/>
      <c r="K10" s="704"/>
      <c r="L10" s="704"/>
      <c r="M10" s="704"/>
      <c r="N10" s="707"/>
    </row>
    <row r="11" spans="1:14">
      <c r="A11" s="45">
        <v>4</v>
      </c>
      <c r="B11" s="112" t="s">
        <v>138</v>
      </c>
      <c r="C11" s="176"/>
      <c r="D11" s="176"/>
      <c r="E11" s="176"/>
      <c r="F11" s="176"/>
      <c r="G11" s="193"/>
      <c r="H11" s="200" t="str">
        <f t="shared" si="0"/>
        <v/>
      </c>
      <c r="I11" s="704"/>
      <c r="J11" s="704"/>
      <c r="K11" s="704"/>
      <c r="L11" s="704"/>
      <c r="M11" s="704"/>
      <c r="N11" s="707"/>
    </row>
    <row r="12" spans="1:14">
      <c r="A12" s="45">
        <v>5</v>
      </c>
      <c r="B12" s="112" t="s">
        <v>941</v>
      </c>
      <c r="C12" s="176"/>
      <c r="D12" s="176"/>
      <c r="E12" s="176"/>
      <c r="F12" s="176"/>
      <c r="G12" s="193"/>
      <c r="H12" s="200" t="str">
        <f t="shared" si="0"/>
        <v/>
      </c>
      <c r="I12" s="704"/>
      <c r="J12" s="704"/>
      <c r="K12" s="704"/>
      <c r="L12" s="704"/>
      <c r="M12" s="704"/>
      <c r="N12" s="707"/>
    </row>
    <row r="13" spans="1:14">
      <c r="A13" s="45">
        <v>6</v>
      </c>
      <c r="B13" s="112" t="s">
        <v>139</v>
      </c>
      <c r="C13" s="176">
        <v>94737263.650000006</v>
      </c>
      <c r="D13" s="176"/>
      <c r="E13" s="176"/>
      <c r="F13" s="176">
        <v>26035682.200000003</v>
      </c>
      <c r="G13" s="193">
        <v>26035682.200000003</v>
      </c>
      <c r="H13" s="200">
        <f t="shared" si="0"/>
        <v>0.27481986703972111</v>
      </c>
      <c r="I13" s="704"/>
      <c r="J13" s="704"/>
      <c r="K13" s="704"/>
      <c r="L13" s="704"/>
      <c r="M13" s="704"/>
      <c r="N13" s="707"/>
    </row>
    <row r="14" spans="1:14">
      <c r="A14" s="45">
        <v>7</v>
      </c>
      <c r="B14" s="112" t="s">
        <v>72</v>
      </c>
      <c r="C14" s="176">
        <v>71231232.898262873</v>
      </c>
      <c r="D14" s="176">
        <f>16487898+670000</f>
        <v>17157898</v>
      </c>
      <c r="E14" s="176">
        <v>8578949.1500000004</v>
      </c>
      <c r="F14" s="176">
        <f>C14+E14</f>
        <v>79810182.048262879</v>
      </c>
      <c r="G14" s="176">
        <v>79810182.048262879</v>
      </c>
      <c r="H14" s="200">
        <f t="shared" si="0"/>
        <v>1</v>
      </c>
      <c r="I14" s="704"/>
      <c r="J14" s="704"/>
      <c r="K14" s="704"/>
      <c r="L14" s="704"/>
      <c r="M14" s="704"/>
      <c r="N14" s="707"/>
    </row>
    <row r="15" spans="1:14">
      <c r="A15" s="45">
        <v>8</v>
      </c>
      <c r="B15" s="112" t="s">
        <v>73</v>
      </c>
      <c r="C15" s="176">
        <v>2260076675.3752074</v>
      </c>
      <c r="D15" s="176">
        <f>161148003.8-494655</f>
        <v>160653348.80000001</v>
      </c>
      <c r="E15" s="176">
        <v>48393896</v>
      </c>
      <c r="F15" s="176">
        <v>1731352928</v>
      </c>
      <c r="G15" s="193">
        <v>1724976914</v>
      </c>
      <c r="H15" s="200">
        <f t="shared" si="0"/>
        <v>0.74723799185033268</v>
      </c>
      <c r="I15" s="704"/>
      <c r="J15" s="704"/>
      <c r="K15" s="704"/>
      <c r="L15" s="704"/>
      <c r="M15" s="704"/>
      <c r="N15" s="707"/>
    </row>
    <row r="16" spans="1:14">
      <c r="A16" s="45">
        <v>9</v>
      </c>
      <c r="B16" s="112" t="s">
        <v>942</v>
      </c>
      <c r="C16" s="176">
        <v>154064500.46546111</v>
      </c>
      <c r="D16" s="176"/>
      <c r="E16" s="176"/>
      <c r="F16" s="176">
        <v>53922575.162911385</v>
      </c>
      <c r="G16" s="193">
        <v>53922575.162911385</v>
      </c>
      <c r="H16" s="200">
        <f t="shared" si="0"/>
        <v>0.35</v>
      </c>
      <c r="I16" s="704"/>
      <c r="J16" s="704"/>
      <c r="K16" s="704"/>
      <c r="L16" s="704"/>
      <c r="M16" s="704"/>
      <c r="N16" s="707"/>
    </row>
    <row r="17" spans="1:14">
      <c r="A17" s="45">
        <v>10</v>
      </c>
      <c r="B17" s="112" t="s">
        <v>68</v>
      </c>
      <c r="C17" s="176">
        <v>4511285</v>
      </c>
      <c r="D17" s="176"/>
      <c r="E17" s="176"/>
      <c r="F17" s="176">
        <v>4340531.0129706394</v>
      </c>
      <c r="G17" s="193">
        <v>4340531.0129706394</v>
      </c>
      <c r="H17" s="200">
        <f t="shared" si="0"/>
        <v>0.96214958996619349</v>
      </c>
      <c r="I17" s="704"/>
      <c r="J17" s="704"/>
      <c r="K17" s="704"/>
      <c r="L17" s="704"/>
      <c r="M17" s="704"/>
      <c r="N17" s="707"/>
    </row>
    <row r="18" spans="1:14">
      <c r="A18" s="45">
        <v>11</v>
      </c>
      <c r="B18" s="112" t="s">
        <v>69</v>
      </c>
      <c r="C18" s="176"/>
      <c r="D18" s="176"/>
      <c r="E18" s="176"/>
      <c r="F18" s="176"/>
      <c r="G18" s="193"/>
      <c r="H18" s="200" t="str">
        <f t="shared" si="0"/>
        <v/>
      </c>
      <c r="I18" s="704"/>
      <c r="J18" s="704"/>
      <c r="K18" s="704"/>
      <c r="L18" s="704"/>
      <c r="M18" s="704"/>
      <c r="N18" s="707"/>
    </row>
    <row r="19" spans="1:14">
      <c r="A19" s="45">
        <v>12</v>
      </c>
      <c r="B19" s="112" t="s">
        <v>70</v>
      </c>
      <c r="C19" s="176"/>
      <c r="D19" s="176"/>
      <c r="E19" s="176"/>
      <c r="F19" s="176"/>
      <c r="G19" s="193"/>
      <c r="H19" s="200" t="str">
        <f t="shared" si="0"/>
        <v/>
      </c>
      <c r="I19" s="704"/>
      <c r="J19" s="704"/>
      <c r="K19" s="704"/>
      <c r="L19" s="704"/>
      <c r="M19" s="704"/>
      <c r="N19" s="707"/>
    </row>
    <row r="20" spans="1:14">
      <c r="A20" s="45">
        <v>13</v>
      </c>
      <c r="B20" s="112" t="s">
        <v>71</v>
      </c>
      <c r="C20" s="176"/>
      <c r="D20" s="176"/>
      <c r="E20" s="176"/>
      <c r="F20" s="176"/>
      <c r="G20" s="193"/>
      <c r="H20" s="200" t="str">
        <f t="shared" si="0"/>
        <v/>
      </c>
      <c r="I20" s="704"/>
      <c r="J20" s="704"/>
      <c r="K20" s="704"/>
      <c r="L20" s="704"/>
      <c r="M20" s="704"/>
      <c r="N20" s="707"/>
    </row>
    <row r="21" spans="1:14">
      <c r="A21" s="45">
        <v>14</v>
      </c>
      <c r="B21" s="112" t="s">
        <v>155</v>
      </c>
      <c r="C21" s="176">
        <v>212767827.17000002</v>
      </c>
      <c r="D21" s="176"/>
      <c r="E21" s="176"/>
      <c r="F21" s="176">
        <v>107538853.41500002</v>
      </c>
      <c r="G21" s="193">
        <v>107538853.41500002</v>
      </c>
      <c r="H21" s="200">
        <f t="shared" si="0"/>
        <v>0.50542816949988034</v>
      </c>
      <c r="I21" s="704"/>
      <c r="J21" s="704"/>
      <c r="K21" s="704"/>
      <c r="L21" s="704"/>
      <c r="M21" s="704"/>
      <c r="N21" s="707"/>
    </row>
    <row r="22" spans="1:14" ht="14.4" thickBot="1">
      <c r="A22" s="94"/>
      <c r="B22" s="99" t="s">
        <v>67</v>
      </c>
      <c r="C22" s="177">
        <f>SUM(C8:C21)</f>
        <v>3039019265.0089316</v>
      </c>
      <c r="D22" s="177">
        <f>SUM(D8:D21)</f>
        <v>177811246.80000001</v>
      </c>
      <c r="E22" s="177">
        <f>SUM(E8:E21)</f>
        <v>56972845.149999999</v>
      </c>
      <c r="F22" s="177">
        <f>SUM(F8:F21)</f>
        <v>2057121139.6391449</v>
      </c>
      <c r="G22" s="177">
        <f>SUM(G8:G21)</f>
        <v>2050745125.6391449</v>
      </c>
      <c r="H22" s="201">
        <f>G22/(C22+E22)</f>
        <v>0.66238706452448637</v>
      </c>
    </row>
    <row r="24" spans="1:14">
      <c r="C24" s="702"/>
      <c r="D24" s="702"/>
      <c r="E24" s="702"/>
      <c r="F24" s="702"/>
      <c r="G24" s="702"/>
      <c r="H24" s="702"/>
    </row>
    <row r="25" spans="1:14">
      <c r="F25" s="780"/>
    </row>
    <row r="26" spans="1:14">
      <c r="C26" s="703"/>
      <c r="D26" s="703"/>
      <c r="E26" s="703"/>
      <c r="F26" s="703"/>
      <c r="G26" s="703"/>
      <c r="H26" s="703"/>
    </row>
    <row r="28" spans="1:14"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109</v>
      </c>
      <c r="B1" s="1" t="str">
        <f>Info!C2</f>
        <v>კრედო</v>
      </c>
    </row>
    <row r="2" spans="1:11">
      <c r="A2" s="1" t="s">
        <v>110</v>
      </c>
      <c r="B2" s="335">
        <f>'1. key ratios'!B2</f>
        <v>45657</v>
      </c>
    </row>
    <row r="4" spans="1:11" ht="14.4" thickBot="1">
      <c r="A4" s="1" t="s">
        <v>353</v>
      </c>
      <c r="B4" s="22" t="s">
        <v>352</v>
      </c>
    </row>
    <row r="5" spans="1:11" ht="30" customHeight="1">
      <c r="A5" s="849"/>
      <c r="B5" s="850"/>
      <c r="C5" s="847" t="s">
        <v>385</v>
      </c>
      <c r="D5" s="847"/>
      <c r="E5" s="847"/>
      <c r="F5" s="847" t="s">
        <v>386</v>
      </c>
      <c r="G5" s="847"/>
      <c r="H5" s="847"/>
      <c r="I5" s="847" t="s">
        <v>387</v>
      </c>
      <c r="J5" s="847"/>
      <c r="K5" s="848"/>
    </row>
    <row r="6" spans="1:11">
      <c r="A6" s="226"/>
      <c r="B6" s="227"/>
      <c r="C6" s="228" t="s">
        <v>27</v>
      </c>
      <c r="D6" s="228" t="s">
        <v>91</v>
      </c>
      <c r="E6" s="228" t="s">
        <v>67</v>
      </c>
      <c r="F6" s="228" t="s">
        <v>27</v>
      </c>
      <c r="G6" s="228" t="s">
        <v>91</v>
      </c>
      <c r="H6" s="228" t="s">
        <v>67</v>
      </c>
      <c r="I6" s="228" t="s">
        <v>27</v>
      </c>
      <c r="J6" s="228" t="s">
        <v>91</v>
      </c>
      <c r="K6" s="230" t="s">
        <v>67</v>
      </c>
    </row>
    <row r="7" spans="1:11">
      <c r="A7" s="231" t="s">
        <v>323</v>
      </c>
      <c r="B7" s="225"/>
      <c r="C7" s="225"/>
      <c r="D7" s="225"/>
      <c r="E7" s="225"/>
      <c r="F7" s="225"/>
      <c r="G7" s="225"/>
      <c r="H7" s="225"/>
      <c r="I7" s="225"/>
      <c r="J7" s="225"/>
      <c r="K7" s="232"/>
    </row>
    <row r="8" spans="1:11">
      <c r="A8" s="224">
        <v>1</v>
      </c>
      <c r="B8" s="208" t="s">
        <v>323</v>
      </c>
      <c r="C8" s="206"/>
      <c r="D8" s="206"/>
      <c r="E8" s="206"/>
      <c r="F8" s="712">
        <v>206595975.68793395</v>
      </c>
      <c r="G8" s="712">
        <v>177636353.93517607</v>
      </c>
      <c r="H8" s="711">
        <f t="shared" ref="H8:H15" si="0">F8+G8</f>
        <v>384232329.62311006</v>
      </c>
      <c r="I8" s="712">
        <v>115012786.73326005</v>
      </c>
      <c r="J8" s="712">
        <v>84811737.103980497</v>
      </c>
      <c r="K8" s="711">
        <f t="shared" ref="K8:K15" si="1">I8+J8</f>
        <v>199824523.83724055</v>
      </c>
    </row>
    <row r="9" spans="1:11">
      <c r="A9" s="231" t="s">
        <v>324</v>
      </c>
      <c r="B9" s="225"/>
      <c r="C9" s="225"/>
      <c r="D9" s="225"/>
      <c r="E9" s="225"/>
      <c r="F9" s="713"/>
      <c r="G9" s="713"/>
      <c r="H9" s="225"/>
      <c r="I9" s="713"/>
      <c r="J9" s="713"/>
      <c r="K9" s="232"/>
    </row>
    <row r="10" spans="1:11">
      <c r="A10" s="233">
        <v>2</v>
      </c>
      <c r="B10" s="209" t="s">
        <v>325</v>
      </c>
      <c r="C10" s="351">
        <v>408297790.15489131</v>
      </c>
      <c r="D10" s="708">
        <v>336801729.0005303</v>
      </c>
      <c r="E10" s="711">
        <f>C10+D10</f>
        <v>745099519.15542161</v>
      </c>
      <c r="F10" s="708">
        <v>74481687.868331015</v>
      </c>
      <c r="G10" s="708">
        <v>99854038.090561345</v>
      </c>
      <c r="H10" s="711">
        <f t="shared" si="0"/>
        <v>174335725.95889235</v>
      </c>
      <c r="I10" s="708">
        <v>20918175.251011956</v>
      </c>
      <c r="J10" s="708">
        <v>28270430.259528294</v>
      </c>
      <c r="K10" s="711">
        <f t="shared" si="1"/>
        <v>49188605.510540247</v>
      </c>
    </row>
    <row r="11" spans="1:11">
      <c r="A11" s="233">
        <v>3</v>
      </c>
      <c r="B11" s="209" t="s">
        <v>326</v>
      </c>
      <c r="C11" s="351">
        <v>1558929086.6674562</v>
      </c>
      <c r="D11" s="708">
        <v>506642603.10025454</v>
      </c>
      <c r="E11" s="711">
        <f t="shared" ref="E11:E15" si="2">C11+D11</f>
        <v>2065571689.7677107</v>
      </c>
      <c r="F11" s="708">
        <v>70989628.273445711</v>
      </c>
      <c r="G11" s="708">
        <v>12683330.909488287</v>
      </c>
      <c r="H11" s="711">
        <f t="shared" si="0"/>
        <v>83672959.182934001</v>
      </c>
      <c r="I11" s="708">
        <v>60617757.309418499</v>
      </c>
      <c r="J11" s="708">
        <v>12182350.66733785</v>
      </c>
      <c r="K11" s="711">
        <f t="shared" si="1"/>
        <v>72800107.976756349</v>
      </c>
    </row>
    <row r="12" spans="1:11">
      <c r="A12" s="233">
        <v>4</v>
      </c>
      <c r="B12" s="209" t="s">
        <v>327</v>
      </c>
      <c r="C12" s="351">
        <v>23103260.869565219</v>
      </c>
      <c r="D12" s="708">
        <v>0</v>
      </c>
      <c r="E12" s="711">
        <f t="shared" si="2"/>
        <v>23103260.869565219</v>
      </c>
      <c r="F12" s="708"/>
      <c r="G12" s="708"/>
      <c r="H12" s="711">
        <f t="shared" si="0"/>
        <v>0</v>
      </c>
      <c r="I12" s="708"/>
      <c r="J12" s="708"/>
      <c r="K12" s="711">
        <f t="shared" si="1"/>
        <v>0</v>
      </c>
    </row>
    <row r="13" spans="1:11">
      <c r="A13" s="233">
        <v>5</v>
      </c>
      <c r="B13" s="209" t="s">
        <v>328</v>
      </c>
      <c r="C13" s="351">
        <v>121082578.82576089</v>
      </c>
      <c r="D13" s="708">
        <v>30636464.688029133</v>
      </c>
      <c r="E13" s="711">
        <f t="shared" si="2"/>
        <v>151719043.51379001</v>
      </c>
      <c r="F13" s="708">
        <v>23664447.718415223</v>
      </c>
      <c r="G13" s="708">
        <v>7162071.4592052214</v>
      </c>
      <c r="H13" s="711">
        <f t="shared" si="0"/>
        <v>30826519.177620444</v>
      </c>
      <c r="I13" s="708">
        <v>5976339.8736684779</v>
      </c>
      <c r="J13" s="708">
        <v>2825565.0493878266</v>
      </c>
      <c r="K13" s="711">
        <f t="shared" si="1"/>
        <v>8801904.9230563045</v>
      </c>
    </row>
    <row r="14" spans="1:11">
      <c r="A14" s="233">
        <v>6</v>
      </c>
      <c r="B14" s="209" t="s">
        <v>343</v>
      </c>
      <c r="C14" s="351"/>
      <c r="D14" s="708"/>
      <c r="E14" s="711">
        <f t="shared" si="2"/>
        <v>0</v>
      </c>
      <c r="F14" s="708"/>
      <c r="G14" s="708"/>
      <c r="H14" s="711">
        <f t="shared" si="0"/>
        <v>0</v>
      </c>
      <c r="I14" s="708"/>
      <c r="J14" s="708"/>
      <c r="K14" s="711">
        <f t="shared" si="1"/>
        <v>0</v>
      </c>
    </row>
    <row r="15" spans="1:11">
      <c r="A15" s="233">
        <v>7</v>
      </c>
      <c r="B15" s="209" t="s">
        <v>330</v>
      </c>
      <c r="C15" s="351">
        <v>9307248.8780434784</v>
      </c>
      <c r="D15" s="708">
        <v>3156679.4617391294</v>
      </c>
      <c r="E15" s="711">
        <f t="shared" si="2"/>
        <v>12463928.339782607</v>
      </c>
      <c r="F15" s="708">
        <v>9307248.8780434784</v>
      </c>
      <c r="G15" s="708">
        <v>3156679.4617391294</v>
      </c>
      <c r="H15" s="711">
        <f t="shared" si="0"/>
        <v>12463928.339782607</v>
      </c>
      <c r="I15" s="708">
        <v>9188758.1823913045</v>
      </c>
      <c r="J15" s="708">
        <v>3127576.7752173902</v>
      </c>
      <c r="K15" s="711">
        <f t="shared" si="1"/>
        <v>12316334.957608694</v>
      </c>
    </row>
    <row r="16" spans="1:11">
      <c r="A16" s="233">
        <v>8</v>
      </c>
      <c r="B16" s="211" t="s">
        <v>331</v>
      </c>
      <c r="C16" s="710">
        <f>SUM(C10:C15)</f>
        <v>2120719965.3957169</v>
      </c>
      <c r="D16" s="710">
        <f t="shared" ref="D16:E16" si="3">SUM(D10:D15)</f>
        <v>877237476.25055313</v>
      </c>
      <c r="E16" s="710">
        <f t="shared" si="3"/>
        <v>2997957441.6462703</v>
      </c>
      <c r="F16" s="710">
        <f t="shared" ref="F16" si="4">SUM(F10:F15)</f>
        <v>178443012.73823544</v>
      </c>
      <c r="G16" s="710">
        <f t="shared" ref="G16" si="5">SUM(G10:G15)</f>
        <v>122856119.92099398</v>
      </c>
      <c r="H16" s="710">
        <f t="shared" ref="H16" si="6">SUM(H10:H15)</f>
        <v>301299132.6592294</v>
      </c>
      <c r="I16" s="710">
        <f t="shared" ref="I16" si="7">SUM(I10:I15)</f>
        <v>96701030.61649023</v>
      </c>
      <c r="J16" s="710">
        <f t="shared" ref="J16" si="8">SUM(J10:J15)</f>
        <v>46405922.751471363</v>
      </c>
      <c r="K16" s="710">
        <f t="shared" ref="K16" si="9">SUM(K10:K15)</f>
        <v>143106953.36796159</v>
      </c>
    </row>
    <row r="17" spans="1:11">
      <c r="A17" s="231" t="s">
        <v>332</v>
      </c>
      <c r="B17" s="225"/>
      <c r="C17" s="225"/>
      <c r="D17" s="225"/>
      <c r="E17" s="225"/>
      <c r="F17" s="225"/>
      <c r="G17" s="225"/>
      <c r="H17" s="225"/>
      <c r="I17" s="225"/>
      <c r="J17" s="225"/>
      <c r="K17" s="232"/>
    </row>
    <row r="18" spans="1:11">
      <c r="A18" s="233">
        <v>9</v>
      </c>
      <c r="B18" s="209" t="s">
        <v>333</v>
      </c>
      <c r="C18" s="351">
        <v>0</v>
      </c>
      <c r="D18" s="708">
        <v>0</v>
      </c>
      <c r="E18" s="709">
        <f>C18+D18</f>
        <v>0</v>
      </c>
      <c r="F18" s="210"/>
      <c r="G18" s="210"/>
      <c r="H18" s="711">
        <f>F18+G18</f>
        <v>0</v>
      </c>
      <c r="I18" s="210"/>
      <c r="J18" s="210"/>
      <c r="K18" s="711">
        <f>I18+J18</f>
        <v>0</v>
      </c>
    </row>
    <row r="19" spans="1:11">
      <c r="A19" s="233">
        <v>10</v>
      </c>
      <c r="B19" s="209" t="s">
        <v>334</v>
      </c>
      <c r="C19" s="351">
        <v>2056824870.1586065</v>
      </c>
      <c r="D19" s="708">
        <v>237685916.74722201</v>
      </c>
      <c r="E19" s="711">
        <f t="shared" ref="E19:E20" si="10">C19+D19</f>
        <v>2294510786.9058285</v>
      </c>
      <c r="F19" s="708">
        <v>53268032.112979166</v>
      </c>
      <c r="G19" s="708">
        <v>1526419.6128646682</v>
      </c>
      <c r="H19" s="711">
        <f t="shared" ref="H19:H20" si="11">F19+G19</f>
        <v>54794451.725843832</v>
      </c>
      <c r="I19" s="708">
        <v>145210620.10016164</v>
      </c>
      <c r="J19" s="708">
        <v>93568011.415382922</v>
      </c>
      <c r="K19" s="711">
        <f t="shared" ref="K19:K20" si="12">I19+J19</f>
        <v>238778631.51554456</v>
      </c>
    </row>
    <row r="20" spans="1:11">
      <c r="A20" s="233">
        <v>11</v>
      </c>
      <c r="B20" s="209" t="s">
        <v>335</v>
      </c>
      <c r="C20" s="351">
        <v>1095630.9130434783</v>
      </c>
      <c r="D20" s="708">
        <v>393.02043260870317</v>
      </c>
      <c r="E20" s="711">
        <f t="shared" si="10"/>
        <v>1096023.9334760869</v>
      </c>
      <c r="F20" s="708">
        <v>1095630.9130434783</v>
      </c>
      <c r="G20" s="708">
        <v>393.02043260870317</v>
      </c>
      <c r="H20" s="711">
        <f t="shared" si="11"/>
        <v>1096023.9334760869</v>
      </c>
      <c r="I20" s="708">
        <v>1095354.6521739131</v>
      </c>
      <c r="J20" s="708">
        <v>393.02043260870317</v>
      </c>
      <c r="K20" s="711">
        <f t="shared" si="12"/>
        <v>1095747.6726065218</v>
      </c>
    </row>
    <row r="21" spans="1:11" ht="14.4" thickBot="1">
      <c r="A21" s="146">
        <v>12</v>
      </c>
      <c r="B21" s="234" t="s">
        <v>336</v>
      </c>
      <c r="C21" s="714">
        <f>SUM(C18:C20)</f>
        <v>2057920501.07165</v>
      </c>
      <c r="D21" s="714">
        <f t="shared" ref="D21:K21" si="13">SUM(D18:D20)</f>
        <v>237686309.76765463</v>
      </c>
      <c r="E21" s="715">
        <f t="shared" si="13"/>
        <v>2295606810.8393044</v>
      </c>
      <c r="F21" s="714">
        <f t="shared" si="13"/>
        <v>54363663.026022643</v>
      </c>
      <c r="G21" s="714">
        <f t="shared" si="13"/>
        <v>1526812.6332972769</v>
      </c>
      <c r="H21" s="715">
        <f t="shared" si="13"/>
        <v>55890475.659319922</v>
      </c>
      <c r="I21" s="714">
        <f t="shared" si="13"/>
        <v>146305974.75233555</v>
      </c>
      <c r="J21" s="714">
        <f t="shared" si="13"/>
        <v>93568404.435815528</v>
      </c>
      <c r="K21" s="715">
        <f t="shared" si="13"/>
        <v>239874379.18815109</v>
      </c>
    </row>
    <row r="22" spans="1:11" ht="38.25" customHeight="1" thickBot="1">
      <c r="A22" s="222"/>
      <c r="B22" s="223"/>
      <c r="C22" s="223"/>
      <c r="D22" s="223"/>
      <c r="E22" s="223"/>
      <c r="F22" s="846" t="s">
        <v>337</v>
      </c>
      <c r="G22" s="847"/>
      <c r="H22" s="847"/>
      <c r="I22" s="846" t="s">
        <v>338</v>
      </c>
      <c r="J22" s="847"/>
      <c r="K22" s="848"/>
    </row>
    <row r="23" spans="1:11">
      <c r="A23" s="215">
        <v>13</v>
      </c>
      <c r="B23" s="212" t="s">
        <v>323</v>
      </c>
      <c r="C23" s="221"/>
      <c r="D23" s="221"/>
      <c r="E23" s="221"/>
      <c r="F23" s="716">
        <f>F8</f>
        <v>206595975.68793395</v>
      </c>
      <c r="G23" s="716">
        <f>G8</f>
        <v>177636353.93517607</v>
      </c>
      <c r="H23" s="717">
        <f>F23+G23</f>
        <v>384232329.62311006</v>
      </c>
      <c r="I23" s="716">
        <f>I8</f>
        <v>115012786.73326005</v>
      </c>
      <c r="J23" s="716">
        <f>J8</f>
        <v>84811737.103980497</v>
      </c>
      <c r="K23" s="724">
        <f>I23+J23</f>
        <v>199824523.83724055</v>
      </c>
    </row>
    <row r="24" spans="1:11" ht="14.4" thickBot="1">
      <c r="A24" s="216">
        <v>14</v>
      </c>
      <c r="B24" s="213" t="s">
        <v>339</v>
      </c>
      <c r="C24" s="235"/>
      <c r="D24" s="219"/>
      <c r="E24" s="220"/>
      <c r="F24" s="718">
        <f>MAX(F16-F21,F16*0.25)</f>
        <v>124079349.7122128</v>
      </c>
      <c r="G24" s="718">
        <f t="shared" ref="G24:H24" si="14">MAX(G16-G21,G16*0.25)</f>
        <v>121329307.2876967</v>
      </c>
      <c r="H24" s="720">
        <f t="shared" si="14"/>
        <v>245408656.99990946</v>
      </c>
      <c r="I24" s="718">
        <f>MAX(I16-I21,I16*0.25)</f>
        <v>24175257.654122557</v>
      </c>
      <c r="J24" s="718">
        <f t="shared" ref="J24:K24" si="15">MAX(J16-J21,J16*0.25)</f>
        <v>11601480.687867841</v>
      </c>
      <c r="K24" s="722">
        <f t="shared" si="15"/>
        <v>35776738.341990396</v>
      </c>
    </row>
    <row r="25" spans="1:11" ht="14.4" thickBot="1">
      <c r="A25" s="217">
        <v>15</v>
      </c>
      <c r="B25" s="214" t="s">
        <v>340</v>
      </c>
      <c r="C25" s="218"/>
      <c r="D25" s="218"/>
      <c r="E25" s="218"/>
      <c r="F25" s="719">
        <f t="shared" ref="F25:K25" si="16">F23/F24</f>
        <v>1.6650310963678372</v>
      </c>
      <c r="G25" s="719">
        <f t="shared" si="16"/>
        <v>1.4640844648850075</v>
      </c>
      <c r="H25" s="721">
        <f t="shared" si="16"/>
        <v>1.5656836817425386</v>
      </c>
      <c r="I25" s="719">
        <f t="shared" si="16"/>
        <v>4.7574585710215649</v>
      </c>
      <c r="J25" s="719">
        <f t="shared" si="16"/>
        <v>7.3104235041887122</v>
      </c>
      <c r="K25" s="723">
        <f t="shared" si="16"/>
        <v>5.5853197663553011</v>
      </c>
    </row>
    <row r="28" spans="1:11" ht="41.4">
      <c r="B28" s="16" t="s">
        <v>384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N22"/>
  <sheetViews>
    <sheetView zoomScale="80" zoomScaleNormal="80" workbookViewId="0">
      <pane xSplit="1" ySplit="5" topLeftCell="C6" activePane="bottomRight" state="frozen"/>
      <selection pane="topRight" activeCell="B1" sqref="B1"/>
      <selection pane="bottomLeft" activeCell="A5" sqref="A5"/>
      <selection pane="bottomRight" activeCell="C8" sqref="C8"/>
    </sheetView>
  </sheetViews>
  <sheetFormatPr defaultColWidth="9.21875" defaultRowHeight="13.8"/>
  <cols>
    <col min="1" max="1" width="10.5546875" style="31" bestFit="1" customWidth="1"/>
    <col min="2" max="2" width="95" style="31" customWidth="1"/>
    <col min="3" max="3" width="12.5546875" style="31" bestFit="1" customWidth="1"/>
    <col min="4" max="4" width="10" style="31" bestFit="1" customWidth="1"/>
    <col min="5" max="5" width="18.21875" style="31" bestFit="1" customWidth="1"/>
    <col min="6" max="13" width="10.77734375" style="31" customWidth="1"/>
    <col min="14" max="14" width="31" style="31" bestFit="1" customWidth="1"/>
    <col min="15" max="16384" width="9.21875" style="8"/>
  </cols>
  <sheetData>
    <row r="1" spans="1:14">
      <c r="A1" s="1" t="s">
        <v>109</v>
      </c>
      <c r="B1" s="31" t="str">
        <f>Info!C2</f>
        <v>კრედო</v>
      </c>
    </row>
    <row r="2" spans="1:14" ht="14.25" customHeight="1">
      <c r="A2" s="31" t="s">
        <v>110</v>
      </c>
      <c r="B2" s="335">
        <f>'1. key ratios'!B2</f>
        <v>45657</v>
      </c>
    </row>
    <row r="3" spans="1:14" ht="14.25" customHeight="1"/>
    <row r="4" spans="1:14" ht="14.4" thickBot="1">
      <c r="A4" s="1" t="s">
        <v>263</v>
      </c>
      <c r="B4" s="47" t="s">
        <v>75</v>
      </c>
    </row>
    <row r="5" spans="1:14" s="18" customFormat="1">
      <c r="A5" s="108"/>
      <c r="B5" s="109"/>
      <c r="C5" s="110" t="s">
        <v>0</v>
      </c>
      <c r="D5" s="110" t="s">
        <v>1</v>
      </c>
      <c r="E5" s="110" t="s">
        <v>2</v>
      </c>
      <c r="F5" s="110" t="s">
        <v>3</v>
      </c>
      <c r="G5" s="110" t="s">
        <v>4</v>
      </c>
      <c r="H5" s="110" t="s">
        <v>6</v>
      </c>
      <c r="I5" s="110" t="s">
        <v>146</v>
      </c>
      <c r="J5" s="110" t="s">
        <v>147</v>
      </c>
      <c r="K5" s="110" t="s">
        <v>148</v>
      </c>
      <c r="L5" s="110" t="s">
        <v>149</v>
      </c>
      <c r="M5" s="110" t="s">
        <v>150</v>
      </c>
      <c r="N5" s="111" t="s">
        <v>151</v>
      </c>
    </row>
    <row r="6" spans="1:14" ht="41.4">
      <c r="A6" s="100"/>
      <c r="B6" s="57"/>
      <c r="C6" s="58" t="s">
        <v>85</v>
      </c>
      <c r="D6" s="59" t="s">
        <v>74</v>
      </c>
      <c r="E6" s="60" t="s">
        <v>84</v>
      </c>
      <c r="F6" s="61">
        <v>0</v>
      </c>
      <c r="G6" s="61">
        <v>0.2</v>
      </c>
      <c r="H6" s="61">
        <v>0.35</v>
      </c>
      <c r="I6" s="61">
        <v>0.5</v>
      </c>
      <c r="J6" s="61">
        <v>0.75</v>
      </c>
      <c r="K6" s="61">
        <v>1</v>
      </c>
      <c r="L6" s="61">
        <v>1.5</v>
      </c>
      <c r="M6" s="61">
        <v>2.5</v>
      </c>
      <c r="N6" s="101" t="s">
        <v>75</v>
      </c>
    </row>
    <row r="7" spans="1:14">
      <c r="A7" s="102">
        <v>1</v>
      </c>
      <c r="B7" s="62" t="s">
        <v>76</v>
      </c>
      <c r="C7" s="184">
        <f>SUM(C8:C13)</f>
        <v>269556228</v>
      </c>
      <c r="D7" s="57"/>
      <c r="E7" s="187">
        <f t="shared" ref="E7:M7" si="0">SUM(E8:E13)</f>
        <v>5391124.5600000005</v>
      </c>
      <c r="F7" s="184">
        <f>SUM(F8:F13)</f>
        <v>0</v>
      </c>
      <c r="G7" s="184">
        <f t="shared" si="0"/>
        <v>0</v>
      </c>
      <c r="H7" s="184">
        <f t="shared" si="0"/>
        <v>0</v>
      </c>
      <c r="I7" s="184">
        <f t="shared" si="0"/>
        <v>0</v>
      </c>
      <c r="J7" s="184">
        <f t="shared" si="0"/>
        <v>0</v>
      </c>
      <c r="K7" s="184">
        <f t="shared" si="0"/>
        <v>5391124.5600000005</v>
      </c>
      <c r="L7" s="184">
        <f t="shared" si="0"/>
        <v>0</v>
      </c>
      <c r="M7" s="184">
        <f t="shared" si="0"/>
        <v>0</v>
      </c>
      <c r="N7" s="103">
        <f>SUM(N8:N13)</f>
        <v>5391124.5600000005</v>
      </c>
    </row>
    <row r="8" spans="1:14">
      <c r="A8" s="102">
        <v>1.1000000000000001</v>
      </c>
      <c r="B8" s="63" t="s">
        <v>77</v>
      </c>
      <c r="C8" s="185">
        <v>269556228</v>
      </c>
      <c r="D8" s="64">
        <v>0.02</v>
      </c>
      <c r="E8" s="187">
        <f>C8*D8</f>
        <v>5391124.5600000005</v>
      </c>
      <c r="F8" s="185"/>
      <c r="G8" s="185"/>
      <c r="H8" s="185"/>
      <c r="I8" s="185"/>
      <c r="J8" s="185"/>
      <c r="K8" s="185">
        <v>5391124.5600000005</v>
      </c>
      <c r="L8" s="185"/>
      <c r="M8" s="185"/>
      <c r="N8" s="103">
        <f>SUMPRODUCT($F$6:$M$6,F8:M8)</f>
        <v>5391124.5600000005</v>
      </c>
    </row>
    <row r="9" spans="1:14">
      <c r="A9" s="102">
        <v>1.2</v>
      </c>
      <c r="B9" s="63" t="s">
        <v>78</v>
      </c>
      <c r="C9" s="185">
        <v>0</v>
      </c>
      <c r="D9" s="64">
        <v>0.05</v>
      </c>
      <c r="E9" s="187">
        <f>C9*D9</f>
        <v>0</v>
      </c>
      <c r="F9" s="185"/>
      <c r="G9" s="185"/>
      <c r="H9" s="185"/>
      <c r="I9" s="185"/>
      <c r="J9" s="185"/>
      <c r="K9" s="185"/>
      <c r="L9" s="185"/>
      <c r="M9" s="185"/>
      <c r="N9" s="103">
        <f t="shared" ref="N9:N12" si="1">SUMPRODUCT($F$6:$M$6,F9:M9)</f>
        <v>0</v>
      </c>
    </row>
    <row r="10" spans="1:14">
      <c r="A10" s="102">
        <v>1.3</v>
      </c>
      <c r="B10" s="63" t="s">
        <v>79</v>
      </c>
      <c r="C10" s="185">
        <v>0</v>
      </c>
      <c r="D10" s="64">
        <v>0.08</v>
      </c>
      <c r="E10" s="187">
        <f>C10*D10</f>
        <v>0</v>
      </c>
      <c r="F10" s="185"/>
      <c r="G10" s="185"/>
      <c r="H10" s="185"/>
      <c r="I10" s="185"/>
      <c r="J10" s="185"/>
      <c r="K10" s="185"/>
      <c r="L10" s="185"/>
      <c r="M10" s="185"/>
      <c r="N10" s="103">
        <f>SUMPRODUCT($F$6:$M$6,F10:M10)</f>
        <v>0</v>
      </c>
    </row>
    <row r="11" spans="1:14">
      <c r="A11" s="102">
        <v>1.4</v>
      </c>
      <c r="B11" s="63" t="s">
        <v>80</v>
      </c>
      <c r="C11" s="185">
        <v>0</v>
      </c>
      <c r="D11" s="64">
        <v>0.11</v>
      </c>
      <c r="E11" s="187">
        <f>C11*D11</f>
        <v>0</v>
      </c>
      <c r="F11" s="185"/>
      <c r="G11" s="185"/>
      <c r="H11" s="185"/>
      <c r="I11" s="185"/>
      <c r="J11" s="185"/>
      <c r="K11" s="185"/>
      <c r="L11" s="185"/>
      <c r="M11" s="185"/>
      <c r="N11" s="103">
        <f t="shared" si="1"/>
        <v>0</v>
      </c>
    </row>
    <row r="12" spans="1:14">
      <c r="A12" s="102">
        <v>1.5</v>
      </c>
      <c r="B12" s="63" t="s">
        <v>81</v>
      </c>
      <c r="C12" s="185">
        <v>0</v>
      </c>
      <c r="D12" s="64">
        <v>0.14000000000000001</v>
      </c>
      <c r="E12" s="187">
        <f>C12*D12</f>
        <v>0</v>
      </c>
      <c r="F12" s="185"/>
      <c r="G12" s="185"/>
      <c r="H12" s="185"/>
      <c r="I12" s="185"/>
      <c r="J12" s="185"/>
      <c r="K12" s="185"/>
      <c r="L12" s="185"/>
      <c r="M12" s="185"/>
      <c r="N12" s="103">
        <f t="shared" si="1"/>
        <v>0</v>
      </c>
    </row>
    <row r="13" spans="1:14">
      <c r="A13" s="102">
        <v>1.6</v>
      </c>
      <c r="B13" s="65" t="s">
        <v>82</v>
      </c>
      <c r="C13" s="185">
        <v>0</v>
      </c>
      <c r="D13" s="66"/>
      <c r="E13" s="185"/>
      <c r="F13" s="185"/>
      <c r="G13" s="185"/>
      <c r="H13" s="185"/>
      <c r="I13" s="185"/>
      <c r="J13" s="185"/>
      <c r="K13" s="185"/>
      <c r="L13" s="185"/>
      <c r="M13" s="185"/>
      <c r="N13" s="103">
        <f>SUMPRODUCT($F$6:$M$6,F13:M13)</f>
        <v>0</v>
      </c>
    </row>
    <row r="14" spans="1:14">
      <c r="A14" s="102">
        <v>2</v>
      </c>
      <c r="B14" s="67" t="s">
        <v>83</v>
      </c>
      <c r="C14" s="184">
        <f>SUM(C15:C20)</f>
        <v>0</v>
      </c>
      <c r="D14" s="57"/>
      <c r="E14" s="187">
        <f t="shared" ref="E14:M14" si="2">SUM(E15:E20)</f>
        <v>0</v>
      </c>
      <c r="F14" s="185">
        <f t="shared" si="2"/>
        <v>0</v>
      </c>
      <c r="G14" s="185">
        <f t="shared" si="2"/>
        <v>0</v>
      </c>
      <c r="H14" s="185">
        <f t="shared" si="2"/>
        <v>0</v>
      </c>
      <c r="I14" s="185">
        <f t="shared" si="2"/>
        <v>0</v>
      </c>
      <c r="J14" s="185">
        <f t="shared" si="2"/>
        <v>0</v>
      </c>
      <c r="K14" s="185">
        <f t="shared" si="2"/>
        <v>0</v>
      </c>
      <c r="L14" s="185">
        <f t="shared" si="2"/>
        <v>0</v>
      </c>
      <c r="M14" s="185">
        <f t="shared" si="2"/>
        <v>0</v>
      </c>
      <c r="N14" s="103">
        <f>SUM(N15:N20)</f>
        <v>0</v>
      </c>
    </row>
    <row r="15" spans="1:14">
      <c r="A15" s="102">
        <v>2.1</v>
      </c>
      <c r="B15" s="65" t="s">
        <v>77</v>
      </c>
      <c r="C15" s="185"/>
      <c r="D15" s="64">
        <v>5.0000000000000001E-3</v>
      </c>
      <c r="E15" s="187">
        <f>C15*D15</f>
        <v>0</v>
      </c>
      <c r="F15" s="185"/>
      <c r="G15" s="185"/>
      <c r="H15" s="185"/>
      <c r="I15" s="185"/>
      <c r="J15" s="185"/>
      <c r="K15" s="185"/>
      <c r="L15" s="185"/>
      <c r="M15" s="185"/>
      <c r="N15" s="103">
        <f>SUMPRODUCT($F$6:$M$6,F15:M15)</f>
        <v>0</v>
      </c>
    </row>
    <row r="16" spans="1:14">
      <c r="A16" s="102">
        <v>2.2000000000000002</v>
      </c>
      <c r="B16" s="65" t="s">
        <v>78</v>
      </c>
      <c r="C16" s="185"/>
      <c r="D16" s="64">
        <v>0.01</v>
      </c>
      <c r="E16" s="187">
        <f>C16*D16</f>
        <v>0</v>
      </c>
      <c r="F16" s="185"/>
      <c r="G16" s="185"/>
      <c r="H16" s="185"/>
      <c r="I16" s="185"/>
      <c r="J16" s="185"/>
      <c r="K16" s="185"/>
      <c r="L16" s="185"/>
      <c r="M16" s="185"/>
      <c r="N16" s="103">
        <f t="shared" ref="N16:N20" si="3">SUMPRODUCT($F$6:$M$6,F16:M16)</f>
        <v>0</v>
      </c>
    </row>
    <row r="17" spans="1:14">
      <c r="A17" s="102">
        <v>2.2999999999999998</v>
      </c>
      <c r="B17" s="65" t="s">
        <v>79</v>
      </c>
      <c r="C17" s="185"/>
      <c r="D17" s="64">
        <v>0.02</v>
      </c>
      <c r="E17" s="187">
        <f>C17*D17</f>
        <v>0</v>
      </c>
      <c r="F17" s="185"/>
      <c r="G17" s="185"/>
      <c r="H17" s="185"/>
      <c r="I17" s="185"/>
      <c r="J17" s="185"/>
      <c r="K17" s="185"/>
      <c r="L17" s="185"/>
      <c r="M17" s="185"/>
      <c r="N17" s="103">
        <f t="shared" si="3"/>
        <v>0</v>
      </c>
    </row>
    <row r="18" spans="1:14">
      <c r="A18" s="102">
        <v>2.4</v>
      </c>
      <c r="B18" s="65" t="s">
        <v>80</v>
      </c>
      <c r="C18" s="185"/>
      <c r="D18" s="64">
        <v>0.03</v>
      </c>
      <c r="E18" s="187">
        <f>C18*D18</f>
        <v>0</v>
      </c>
      <c r="F18" s="185"/>
      <c r="G18" s="185"/>
      <c r="H18" s="185"/>
      <c r="I18" s="185"/>
      <c r="J18" s="185"/>
      <c r="K18" s="185"/>
      <c r="L18" s="185"/>
      <c r="M18" s="185"/>
      <c r="N18" s="103">
        <f t="shared" si="3"/>
        <v>0</v>
      </c>
    </row>
    <row r="19" spans="1:14">
      <c r="A19" s="102">
        <v>2.5</v>
      </c>
      <c r="B19" s="65" t="s">
        <v>81</v>
      </c>
      <c r="C19" s="185"/>
      <c r="D19" s="64">
        <v>0.04</v>
      </c>
      <c r="E19" s="187">
        <f>C19*D19</f>
        <v>0</v>
      </c>
      <c r="F19" s="185"/>
      <c r="G19" s="185"/>
      <c r="H19" s="185"/>
      <c r="I19" s="185"/>
      <c r="J19" s="185"/>
      <c r="K19" s="185"/>
      <c r="L19" s="185"/>
      <c r="M19" s="185"/>
      <c r="N19" s="103">
        <f t="shared" si="3"/>
        <v>0</v>
      </c>
    </row>
    <row r="20" spans="1:14">
      <c r="A20" s="102">
        <v>2.6</v>
      </c>
      <c r="B20" s="65" t="s">
        <v>82</v>
      </c>
      <c r="C20" s="185"/>
      <c r="D20" s="66"/>
      <c r="E20" s="188"/>
      <c r="F20" s="185"/>
      <c r="G20" s="185"/>
      <c r="H20" s="185"/>
      <c r="I20" s="185"/>
      <c r="J20" s="185"/>
      <c r="K20" s="185"/>
      <c r="L20" s="185"/>
      <c r="M20" s="185"/>
      <c r="N20" s="103">
        <f t="shared" si="3"/>
        <v>0</v>
      </c>
    </row>
    <row r="21" spans="1:14" ht="14.4" thickBot="1">
      <c r="A21" s="104">
        <v>3</v>
      </c>
      <c r="B21" s="105" t="s">
        <v>67</v>
      </c>
      <c r="C21" s="186">
        <f>C14+C7</f>
        <v>269556228</v>
      </c>
      <c r="D21" s="106"/>
      <c r="E21" s="189">
        <f>E14+E7</f>
        <v>5391124.5600000005</v>
      </c>
      <c r="F21" s="190">
        <f>F7+F14</f>
        <v>0</v>
      </c>
      <c r="G21" s="190">
        <f t="shared" ref="G21:L21" si="4">G7+G14</f>
        <v>0</v>
      </c>
      <c r="H21" s="190">
        <f t="shared" si="4"/>
        <v>0</v>
      </c>
      <c r="I21" s="190">
        <f t="shared" si="4"/>
        <v>0</v>
      </c>
      <c r="J21" s="190">
        <f t="shared" si="4"/>
        <v>0</v>
      </c>
      <c r="K21" s="190">
        <f t="shared" si="4"/>
        <v>5391124.5600000005</v>
      </c>
      <c r="L21" s="190">
        <f t="shared" si="4"/>
        <v>0</v>
      </c>
      <c r="M21" s="190">
        <f>M7+M14</f>
        <v>0</v>
      </c>
      <c r="N21" s="107">
        <f>N14+N7</f>
        <v>5391124.5600000005</v>
      </c>
    </row>
    <row r="22" spans="1:14">
      <c r="E22" s="191"/>
      <c r="F22" s="191"/>
      <c r="G22" s="191"/>
      <c r="H22" s="191"/>
      <c r="I22" s="191"/>
      <c r="J22" s="191"/>
      <c r="K22" s="191"/>
      <c r="L22" s="191"/>
      <c r="M22" s="191"/>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zoomScale="80" zoomScaleNormal="80" workbookViewId="0">
      <pane xSplit="1" ySplit="5" topLeftCell="B40" activePane="bottomRight" state="frozen"/>
      <selection pane="topRight" activeCell="B1" sqref="B1"/>
      <selection pane="bottomLeft" activeCell="A6" sqref="A6"/>
      <selection pane="bottomRight" activeCell="B52" sqref="B52"/>
    </sheetView>
  </sheetViews>
  <sheetFormatPr defaultRowHeight="14.4"/>
  <cols>
    <col min="1" max="1" width="9.5546875" style="13" bestFit="1" customWidth="1"/>
    <col min="2" max="2" width="88.33203125" style="11" customWidth="1"/>
    <col min="3" max="3" width="12.77734375" style="11" customWidth="1"/>
    <col min="4" max="7" width="12.77734375" style="1" customWidth="1"/>
    <col min="8" max="9" width="6.77734375" customWidth="1"/>
  </cols>
  <sheetData>
    <row r="1" spans="1:7">
      <c r="A1" s="12" t="s">
        <v>109</v>
      </c>
      <c r="B1" s="306" t="str">
        <f>Info!C2</f>
        <v>კრედო</v>
      </c>
    </row>
    <row r="2" spans="1:7">
      <c r="A2" s="12" t="s">
        <v>110</v>
      </c>
      <c r="B2" s="785">
        <v>45657</v>
      </c>
    </row>
    <row r="3" spans="1:7" ht="15" thickBot="1">
      <c r="A3" s="12"/>
    </row>
    <row r="4" spans="1:7" ht="15" customHeight="1" thickBot="1">
      <c r="A4" s="32" t="s">
        <v>253</v>
      </c>
      <c r="B4" s="139" t="s">
        <v>140</v>
      </c>
      <c r="C4" s="140"/>
      <c r="D4" s="789" t="s">
        <v>931</v>
      </c>
      <c r="E4" s="790"/>
      <c r="F4" s="790"/>
      <c r="G4" s="791"/>
    </row>
    <row r="5" spans="1:7">
      <c r="A5" s="204" t="s">
        <v>26</v>
      </c>
      <c r="B5" s="205"/>
      <c r="C5" s="324" t="str">
        <f>INT((MONTH($B$2))/3)&amp;"Q"&amp;"-"&amp;YEAR($B$2)</f>
        <v>4Q-2024</v>
      </c>
      <c r="D5" s="324" t="str">
        <f>IF(INT(MONTH($B$2))=3, "4"&amp;"Q"&amp;"-"&amp;YEAR($B$2)-1, IF(INT(MONTH($B$2))=6, "1"&amp;"Q"&amp;"-"&amp;YEAR($B$2), IF(INT(MONTH($B$2))=9, "2"&amp;"Q"&amp;"-"&amp;YEAR($B$2),IF(INT(MONTH($B$2))=12, "3"&amp;"Q"&amp;"-"&amp;YEAR($B$2), 0))))</f>
        <v>3Q-2024</v>
      </c>
      <c r="E5" s="324" t="str">
        <f>IF(INT(MONTH($B$2))=3, "3"&amp;"Q"&amp;"-"&amp;YEAR($B$2)-1, IF(INT(MONTH($B$2))=6, "4"&amp;"Q"&amp;"-"&amp;YEAR($B$2)-1, IF(INT(MONTH($B$2))=9, "1"&amp;"Q"&amp;"-"&amp;YEAR($B$2),IF(INT(MONTH($B$2))=12, "2"&amp;"Q"&amp;"-"&amp;YEAR($B$2), 0))))</f>
        <v>2Q-2024</v>
      </c>
      <c r="F5" s="324" t="str">
        <f>IF(INT(MONTH($B$2))=3, "2"&amp;"Q"&amp;"-"&amp;YEAR($B$2)-1, IF(INT(MONTH($B$2))=6, "3"&amp;"Q"&amp;"-"&amp;YEAR($B$2)-1, IF(INT(MONTH($B$2))=9, "4"&amp;"Q"&amp;"-"&amp;YEAR($B$2)-1,IF(INT(MONTH($B$2))=12, "1"&amp;"Q"&amp;"-"&amp;YEAR($B$2), 0))))</f>
        <v>1Q-2024</v>
      </c>
      <c r="G5" s="325" t="str">
        <f>IF(INT(MONTH($B$2))=3, "1"&amp;"Q"&amp;"-"&amp;YEAR($B$2)-1, IF(INT(MONTH($B$2))=6, "2"&amp;"Q"&amp;"-"&amp;YEAR($B$2)-1, IF(INT(MONTH($B$2))=9, "3"&amp;"Q"&amp;"-"&amp;YEAR($B$2)-1,IF(INT(MONTH($B$2))=12, "4"&amp;"Q"&amp;"-"&amp;YEAR($B$2)-1, 0))))</f>
        <v>4Q-2023</v>
      </c>
    </row>
    <row r="6" spans="1:7">
      <c r="A6" s="326"/>
      <c r="B6" s="327" t="s">
        <v>107</v>
      </c>
      <c r="C6" s="206"/>
      <c r="D6" s="206"/>
      <c r="E6" s="206"/>
      <c r="F6" s="206"/>
      <c r="G6" s="207"/>
    </row>
    <row r="7" spans="1:7">
      <c r="A7" s="326"/>
      <c r="B7" s="328" t="s">
        <v>111</v>
      </c>
      <c r="C7" s="206"/>
      <c r="D7" s="206"/>
      <c r="E7" s="206"/>
      <c r="F7" s="206"/>
      <c r="G7" s="207"/>
    </row>
    <row r="8" spans="1:7">
      <c r="A8" s="310">
        <v>1</v>
      </c>
      <c r="B8" s="311" t="s">
        <v>23</v>
      </c>
      <c r="C8" s="329">
        <v>347648418</v>
      </c>
      <c r="D8" s="636">
        <v>327467119.3300088</v>
      </c>
      <c r="E8" s="637">
        <v>307510915.44</v>
      </c>
      <c r="F8" s="638">
        <v>294760030.40000677</v>
      </c>
      <c r="G8" s="638">
        <v>282252213.47002703</v>
      </c>
    </row>
    <row r="9" spans="1:7">
      <c r="A9" s="310">
        <v>2</v>
      </c>
      <c r="B9" s="311" t="s">
        <v>87</v>
      </c>
      <c r="C9" s="329">
        <v>347648418</v>
      </c>
      <c r="D9" s="636">
        <v>327467119.3300088</v>
      </c>
      <c r="E9" s="637">
        <v>307510915.44</v>
      </c>
      <c r="F9" s="638">
        <v>294760030.40000677</v>
      </c>
      <c r="G9" s="638">
        <v>282252213.47002703</v>
      </c>
    </row>
    <row r="10" spans="1:7">
      <c r="A10" s="310">
        <v>3</v>
      </c>
      <c r="B10" s="311" t="s">
        <v>86</v>
      </c>
      <c r="C10" s="329">
        <v>448625692.60000002</v>
      </c>
      <c r="D10" s="636">
        <v>406952529.3300088</v>
      </c>
      <c r="E10" s="637">
        <v>392259543.44</v>
      </c>
      <c r="F10" s="638">
        <v>386387595.40000677</v>
      </c>
      <c r="G10" s="638">
        <v>376832935.47002703</v>
      </c>
    </row>
    <row r="11" spans="1:7">
      <c r="A11" s="310">
        <v>4</v>
      </c>
      <c r="B11" s="311" t="s">
        <v>442</v>
      </c>
      <c r="C11" s="329">
        <v>280283119.22571325</v>
      </c>
      <c r="D11" s="636">
        <v>257793553.80787081</v>
      </c>
      <c r="E11" s="637">
        <v>249673088.00032899</v>
      </c>
      <c r="F11" s="638">
        <v>235221441.97906715</v>
      </c>
      <c r="G11" s="638">
        <v>223619344.16650155</v>
      </c>
    </row>
    <row r="12" spans="1:7">
      <c r="A12" s="310">
        <v>5</v>
      </c>
      <c r="B12" s="311" t="s">
        <v>443</v>
      </c>
      <c r="C12" s="329">
        <v>335073041.80542183</v>
      </c>
      <c r="D12" s="636">
        <v>308211457.7999177</v>
      </c>
      <c r="E12" s="637">
        <v>298383605.45777577</v>
      </c>
      <c r="F12" s="638">
        <v>280986650.92338198</v>
      </c>
      <c r="G12" s="638">
        <v>268498759.33575952</v>
      </c>
    </row>
    <row r="13" spans="1:7">
      <c r="A13" s="310">
        <v>6</v>
      </c>
      <c r="B13" s="311" t="s">
        <v>444</v>
      </c>
      <c r="C13" s="329">
        <v>407853681.9389714</v>
      </c>
      <c r="D13" s="636">
        <v>375184363.84519249</v>
      </c>
      <c r="E13" s="637">
        <v>363088883.30139267</v>
      </c>
      <c r="F13" s="638">
        <v>341780044.03136235</v>
      </c>
      <c r="G13" s="638">
        <v>328114982.32836872</v>
      </c>
    </row>
    <row r="14" spans="1:7">
      <c r="A14" s="326"/>
      <c r="B14" s="327" t="s">
        <v>446</v>
      </c>
      <c r="C14" s="206"/>
      <c r="D14" s="206"/>
      <c r="E14" s="206"/>
      <c r="F14" s="206"/>
      <c r="G14" s="207"/>
    </row>
    <row r="15" spans="1:7" ht="22.05" customHeight="1">
      <c r="A15" s="310">
        <v>7</v>
      </c>
      <c r="B15" s="311" t="s">
        <v>445</v>
      </c>
      <c r="C15" s="330">
        <v>2616819609.5615358</v>
      </c>
      <c r="D15" s="639">
        <v>2407523011.0630631</v>
      </c>
      <c r="E15" s="639">
        <v>2327468517.7289338</v>
      </c>
      <c r="F15" s="640">
        <v>2188849088.750977</v>
      </c>
      <c r="G15" s="640">
        <v>2144983701.6647725</v>
      </c>
    </row>
    <row r="16" spans="1:7">
      <c r="A16" s="326"/>
      <c r="B16" s="327" t="s">
        <v>449</v>
      </c>
      <c r="C16" s="206"/>
      <c r="D16" s="206"/>
      <c r="E16" s="206"/>
      <c r="F16" s="206"/>
      <c r="G16" s="207"/>
    </row>
    <row r="17" spans="1:7">
      <c r="A17" s="310"/>
      <c r="B17" s="328" t="s">
        <v>435</v>
      </c>
      <c r="C17" s="206"/>
      <c r="D17" s="206"/>
      <c r="E17" s="206"/>
      <c r="F17" s="206"/>
      <c r="G17" s="207"/>
    </row>
    <row r="18" spans="1:7">
      <c r="A18" s="310">
        <v>8</v>
      </c>
      <c r="B18" s="311" t="s">
        <v>440</v>
      </c>
      <c r="C18" s="781">
        <v>0.13285150291970282</v>
      </c>
      <c r="D18" s="641">
        <v>0.13601827177713682</v>
      </c>
      <c r="E18" s="642">
        <v>0.13212248118400283</v>
      </c>
      <c r="F18" s="643">
        <v>0.13466439139858916</v>
      </c>
      <c r="G18" s="643">
        <v>0.13158711334308248</v>
      </c>
    </row>
    <row r="19" spans="1:7" ht="15" customHeight="1">
      <c r="A19" s="310">
        <v>9</v>
      </c>
      <c r="B19" s="311" t="s">
        <v>439</v>
      </c>
      <c r="C19" s="781">
        <v>0.13285150291970282</v>
      </c>
      <c r="D19" s="641">
        <v>0.13601827177713682</v>
      </c>
      <c r="E19" s="642">
        <v>0.13212248118400283</v>
      </c>
      <c r="F19" s="643">
        <v>0.13466439139858916</v>
      </c>
      <c r="G19" s="643">
        <v>0.13158711334308248</v>
      </c>
    </row>
    <row r="20" spans="1:7">
      <c r="A20" s="310">
        <v>10</v>
      </c>
      <c r="B20" s="311" t="s">
        <v>441</v>
      </c>
      <c r="C20" s="781">
        <v>0.17143928873078493</v>
      </c>
      <c r="D20" s="641">
        <v>0.16903370282809912</v>
      </c>
      <c r="E20" s="642">
        <v>0.16853484395258492</v>
      </c>
      <c r="F20" s="643">
        <v>0.17652546143347467</v>
      </c>
      <c r="G20" s="643">
        <v>0.17568102507145303</v>
      </c>
    </row>
    <row r="21" spans="1:7">
      <c r="A21" s="310">
        <v>11</v>
      </c>
      <c r="B21" s="311" t="s">
        <v>442</v>
      </c>
      <c r="C21" s="781">
        <v>0.10710830745364849</v>
      </c>
      <c r="D21" s="641">
        <v>0.10707833426444298</v>
      </c>
      <c r="E21" s="641">
        <v>0.1072723802769953</v>
      </c>
      <c r="F21" s="643">
        <v>0.10746352646599842</v>
      </c>
      <c r="G21" s="643">
        <v>0.10427227140458992</v>
      </c>
    </row>
    <row r="22" spans="1:7">
      <c r="A22" s="310">
        <v>12</v>
      </c>
      <c r="B22" s="311" t="s">
        <v>443</v>
      </c>
      <c r="C22" s="781">
        <v>0.12804590758183576</v>
      </c>
      <c r="D22" s="641">
        <v>0.12802015029059749</v>
      </c>
      <c r="E22" s="641">
        <v>0.1282009200488812</v>
      </c>
      <c r="F22" s="643">
        <v>0.12837187011541368</v>
      </c>
      <c r="G22" s="643">
        <v>0.12519925594812636</v>
      </c>
    </row>
    <row r="23" spans="1:7">
      <c r="A23" s="310">
        <v>13</v>
      </c>
      <c r="B23" s="311" t="s">
        <v>444</v>
      </c>
      <c r="C23" s="781">
        <v>0.15585853932945057</v>
      </c>
      <c r="D23" s="641">
        <v>0.15583832927237976</v>
      </c>
      <c r="E23" s="641">
        <v>0.15600163027504688</v>
      </c>
      <c r="F23" s="643">
        <v>0.15614600649622323</v>
      </c>
      <c r="G23" s="643">
        <v>0.1529979198212007</v>
      </c>
    </row>
    <row r="24" spans="1:7">
      <c r="A24" s="326"/>
      <c r="B24" s="327" t="s">
        <v>981</v>
      </c>
      <c r="C24" s="206"/>
      <c r="D24" s="206"/>
      <c r="E24" s="206"/>
      <c r="F24" s="206"/>
      <c r="G24" s="207"/>
    </row>
    <row r="25" spans="1:7" ht="27.6">
      <c r="A25" s="310">
        <v>14</v>
      </c>
      <c r="B25" s="311" t="s">
        <v>982</v>
      </c>
      <c r="C25" s="644"/>
      <c r="D25" s="645"/>
      <c r="E25" s="645"/>
      <c r="F25" s="645"/>
      <c r="G25" s="646"/>
    </row>
    <row r="26" spans="1:7">
      <c r="A26" s="326"/>
      <c r="B26" s="327" t="s">
        <v>7</v>
      </c>
      <c r="C26" s="206"/>
      <c r="D26" s="206"/>
      <c r="E26" s="206"/>
      <c r="F26" s="206"/>
      <c r="G26" s="207"/>
    </row>
    <row r="27" spans="1:7" ht="15" customHeight="1">
      <c r="A27" s="331">
        <v>15</v>
      </c>
      <c r="B27" s="332" t="s">
        <v>8</v>
      </c>
      <c r="C27" s="676">
        <v>0.19204370446303029</v>
      </c>
      <c r="D27" s="647">
        <v>0.1930329747180978</v>
      </c>
      <c r="E27" s="648">
        <v>0.19253379781443603</v>
      </c>
      <c r="F27" s="648">
        <v>0.19471331239746859</v>
      </c>
      <c r="G27" s="648">
        <v>0.19844300818259863</v>
      </c>
    </row>
    <row r="28" spans="1:7">
      <c r="A28" s="331">
        <v>16</v>
      </c>
      <c r="B28" s="332" t="s">
        <v>9</v>
      </c>
      <c r="C28" s="676">
        <v>8.0465659644047338E-2</v>
      </c>
      <c r="D28" s="647">
        <v>8.1333762250953345E-2</v>
      </c>
      <c r="E28" s="648">
        <v>8.1955343895458471E-2</v>
      </c>
      <c r="F28" s="648">
        <v>8.4122770748092768E-2</v>
      </c>
      <c r="G28" s="648">
        <v>8.8097851768275032E-2</v>
      </c>
    </row>
    <row r="29" spans="1:7">
      <c r="A29" s="331">
        <v>17</v>
      </c>
      <c r="B29" s="332" t="s">
        <v>10</v>
      </c>
      <c r="C29" s="676">
        <v>5.8738835083216256E-2</v>
      </c>
      <c r="D29" s="647">
        <v>5.9449636198153785E-2</v>
      </c>
      <c r="E29" s="648">
        <v>5.6337157255993871E-2</v>
      </c>
      <c r="F29" s="648">
        <v>5.2486735611213073E-2</v>
      </c>
      <c r="G29" s="648">
        <v>5.3579218956215487E-2</v>
      </c>
    </row>
    <row r="30" spans="1:7">
      <c r="A30" s="331">
        <v>18</v>
      </c>
      <c r="B30" s="332" t="s">
        <v>141</v>
      </c>
      <c r="C30" s="676">
        <v>0.11157804481898295</v>
      </c>
      <c r="D30" s="647">
        <v>0.11169921246714447</v>
      </c>
      <c r="E30" s="648">
        <v>0.11057845391897754</v>
      </c>
      <c r="F30" s="648">
        <v>0.11059054164937582</v>
      </c>
      <c r="G30" s="648">
        <v>0.1103451564143236</v>
      </c>
    </row>
    <row r="31" spans="1:7">
      <c r="A31" s="331">
        <v>19</v>
      </c>
      <c r="B31" s="332" t="s">
        <v>11</v>
      </c>
      <c r="C31" s="676">
        <v>2.5309343339078742E-2</v>
      </c>
      <c r="D31" s="647">
        <v>2.3250235336591665E-2</v>
      </c>
      <c r="E31" s="648">
        <v>1.8909144248147748E-2</v>
      </c>
      <c r="F31" s="648">
        <v>1.7735109302061541E-2</v>
      </c>
      <c r="G31" s="648">
        <v>1.71543416866742E-2</v>
      </c>
    </row>
    <row r="32" spans="1:7">
      <c r="A32" s="331">
        <v>20</v>
      </c>
      <c r="B32" s="332" t="s">
        <v>12</v>
      </c>
      <c r="C32" s="676">
        <v>0.20421646619790493</v>
      </c>
      <c r="D32" s="647">
        <v>0.18762054875400358</v>
      </c>
      <c r="E32" s="648">
        <v>0.15192912114358181</v>
      </c>
      <c r="F32" s="648">
        <v>0.14134815594655317</v>
      </c>
      <c r="G32" s="648">
        <v>0.13904267442844001</v>
      </c>
    </row>
    <row r="33" spans="1:7">
      <c r="A33" s="326"/>
      <c r="B33" s="327" t="s">
        <v>13</v>
      </c>
      <c r="C33" s="206"/>
      <c r="D33" s="206"/>
      <c r="E33" s="206"/>
      <c r="F33" s="206"/>
      <c r="G33" s="207"/>
    </row>
    <row r="34" spans="1:7">
      <c r="A34" s="331">
        <v>21</v>
      </c>
      <c r="B34" s="332" t="s">
        <v>14</v>
      </c>
      <c r="C34" s="676">
        <v>8.0393354016192221E-3</v>
      </c>
      <c r="D34" s="647">
        <v>1.0061993743043906E-2</v>
      </c>
      <c r="E34" s="649">
        <v>8.7586572703909852E-3</v>
      </c>
      <c r="F34" s="650">
        <v>8.1219588336098412E-3</v>
      </c>
      <c r="G34" s="650">
        <v>9.7530832598432034E-3</v>
      </c>
    </row>
    <row r="35" spans="1:7" ht="15" customHeight="1">
      <c r="A35" s="331">
        <v>22</v>
      </c>
      <c r="B35" s="332" t="s">
        <v>946</v>
      </c>
      <c r="C35" s="676">
        <v>2.0721242376222759E-2</v>
      </c>
      <c r="D35" s="647">
        <v>2.135132794413996E-2</v>
      </c>
      <c r="E35" s="649">
        <v>2.1871875651814743E-2</v>
      </c>
      <c r="F35" s="648">
        <v>2.1194038964220549E-2</v>
      </c>
      <c r="G35" s="648">
        <v>2.1495102154491498E-2</v>
      </c>
    </row>
    <row r="36" spans="1:7">
      <c r="A36" s="331">
        <v>23</v>
      </c>
      <c r="B36" s="332" t="s">
        <v>15</v>
      </c>
      <c r="C36" s="676">
        <v>0.1037553386179081</v>
      </c>
      <c r="D36" s="647">
        <v>0.10225438376050315</v>
      </c>
      <c r="E36" s="649">
        <v>0.10276321098714909</v>
      </c>
      <c r="F36" s="648">
        <v>0.10045865201514509</v>
      </c>
      <c r="G36" s="648">
        <v>0.10338967450284264</v>
      </c>
    </row>
    <row r="37" spans="1:7" ht="15" customHeight="1">
      <c r="A37" s="331">
        <v>24</v>
      </c>
      <c r="B37" s="332" t="s">
        <v>16</v>
      </c>
      <c r="C37" s="676">
        <v>0.14983819609067697</v>
      </c>
      <c r="D37" s="647">
        <v>0.13439938473821492</v>
      </c>
      <c r="E37" s="649">
        <v>0.14991316449708772</v>
      </c>
      <c r="F37" s="648">
        <v>0.14234189175559583</v>
      </c>
      <c r="G37" s="648">
        <v>0.15449997552386294</v>
      </c>
    </row>
    <row r="38" spans="1:7">
      <c r="A38" s="331">
        <v>25</v>
      </c>
      <c r="B38" s="332" t="s">
        <v>17</v>
      </c>
      <c r="C38" s="676">
        <v>0.25552711778765769</v>
      </c>
      <c r="D38" s="647">
        <v>0.17226876043682338</v>
      </c>
      <c r="E38" s="649">
        <v>0.10679062780268311</v>
      </c>
      <c r="F38" s="648">
        <v>3.0171373791620715E-2</v>
      </c>
      <c r="G38" s="648">
        <v>0.12972628367582595</v>
      </c>
    </row>
    <row r="39" spans="1:7" ht="15" customHeight="1">
      <c r="A39" s="326"/>
      <c r="B39" s="327" t="s">
        <v>18</v>
      </c>
      <c r="C39" s="206"/>
      <c r="D39" s="206"/>
      <c r="E39" s="206"/>
      <c r="F39" s="206"/>
      <c r="G39" s="207"/>
    </row>
    <row r="40" spans="1:7" ht="15" customHeight="1">
      <c r="A40" s="331">
        <v>26</v>
      </c>
      <c r="B40" s="332" t="s">
        <v>19</v>
      </c>
      <c r="C40" s="676">
        <v>0.10456548349032237</v>
      </c>
      <c r="D40" s="647">
        <v>0.126057779482041</v>
      </c>
      <c r="E40" s="647">
        <v>9.74E-2</v>
      </c>
      <c r="F40" s="649">
        <v>0.11453361552620851</v>
      </c>
      <c r="G40" s="649">
        <v>0.1157894550541905</v>
      </c>
    </row>
    <row r="41" spans="1:7" ht="15" customHeight="1">
      <c r="A41" s="331">
        <v>27</v>
      </c>
      <c r="B41" s="332" t="s">
        <v>20</v>
      </c>
      <c r="C41" s="676">
        <v>0.27011406939338301</v>
      </c>
      <c r="D41" s="647">
        <v>0.25086117073876729</v>
      </c>
      <c r="E41" s="649">
        <v>0.26135797701365837</v>
      </c>
      <c r="F41" s="649">
        <v>0.27592078848908108</v>
      </c>
      <c r="G41" s="649">
        <v>0.28190597541225704</v>
      </c>
    </row>
    <row r="42" spans="1:7" ht="15" customHeight="1">
      <c r="A42" s="331">
        <v>28</v>
      </c>
      <c r="B42" s="333" t="s">
        <v>21</v>
      </c>
      <c r="C42" s="676">
        <v>0.12767708937365424</v>
      </c>
      <c r="D42" s="647">
        <v>0.12510128629511069</v>
      </c>
      <c r="E42" s="649">
        <v>0.12502131745250195</v>
      </c>
      <c r="F42" s="649">
        <v>0.12405639796147981</v>
      </c>
      <c r="G42" s="649">
        <v>0.13196480147465034</v>
      </c>
    </row>
    <row r="43" spans="1:7" ht="15" customHeight="1">
      <c r="A43" s="334"/>
      <c r="B43" s="327" t="s">
        <v>357</v>
      </c>
      <c r="C43" s="206"/>
      <c r="D43" s="206"/>
      <c r="E43" s="206"/>
      <c r="F43" s="206"/>
      <c r="G43" s="207"/>
    </row>
    <row r="44" spans="1:7" ht="15" customHeight="1">
      <c r="A44" s="331">
        <v>29</v>
      </c>
      <c r="B44" s="370" t="s">
        <v>341</v>
      </c>
      <c r="C44" s="782">
        <v>384232329.62311006</v>
      </c>
      <c r="D44" s="651">
        <v>380478455.02336955</v>
      </c>
      <c r="E44" s="652">
        <v>322932808.75098884</v>
      </c>
      <c r="F44" s="653">
        <v>286777207.70376343</v>
      </c>
      <c r="G44" s="653">
        <v>310366256.82059133</v>
      </c>
    </row>
    <row r="45" spans="1:7">
      <c r="A45" s="331">
        <v>30</v>
      </c>
      <c r="B45" s="332" t="s">
        <v>342</v>
      </c>
      <c r="C45" s="782">
        <v>245408656.99990946</v>
      </c>
      <c r="D45" s="651">
        <v>243065483.30475593</v>
      </c>
      <c r="E45" s="652">
        <v>251877305.676018</v>
      </c>
      <c r="F45" s="654">
        <v>205992124.83978236</v>
      </c>
      <c r="G45" s="654">
        <v>190296632.22046226</v>
      </c>
    </row>
    <row r="46" spans="1:7">
      <c r="A46" s="367">
        <v>31</v>
      </c>
      <c r="B46" s="368" t="s">
        <v>340</v>
      </c>
      <c r="C46" s="783">
        <v>1.5656836817425386</v>
      </c>
      <c r="D46" s="655">
        <v>1.5653331351301945</v>
      </c>
      <c r="E46" s="655">
        <v>1.2821036332918669</v>
      </c>
      <c r="F46" s="656">
        <v>1.3921755888814416</v>
      </c>
      <c r="G46" s="656">
        <v>1.6309603233599328</v>
      </c>
    </row>
    <row r="47" spans="1:7">
      <c r="A47" s="367"/>
      <c r="B47" s="327" t="s">
        <v>450</v>
      </c>
      <c r="C47" s="206"/>
      <c r="D47" s="206"/>
      <c r="E47" s="206"/>
      <c r="F47" s="206"/>
      <c r="G47" s="207"/>
    </row>
    <row r="48" spans="1:7">
      <c r="A48" s="367">
        <v>32</v>
      </c>
      <c r="B48" s="368" t="s">
        <v>457</v>
      </c>
      <c r="C48" s="369">
        <v>2314663069.089488</v>
      </c>
      <c r="D48" s="657">
        <v>2219767047.0275736</v>
      </c>
      <c r="E48" s="657">
        <v>1994145286.5617981</v>
      </c>
      <c r="F48" s="658">
        <v>1773147269.2837365</v>
      </c>
      <c r="G48" s="658">
        <v>1733165385.5043237</v>
      </c>
    </row>
    <row r="49" spans="1:7">
      <c r="A49" s="367">
        <v>33</v>
      </c>
      <c r="B49" s="368" t="s">
        <v>470</v>
      </c>
      <c r="C49" s="369">
        <v>1877689961.4497709</v>
      </c>
      <c r="D49" s="657">
        <v>1754681063.8609755</v>
      </c>
      <c r="E49" s="657">
        <v>1662737766.77197</v>
      </c>
      <c r="F49" s="658">
        <v>1520451279.7750127</v>
      </c>
      <c r="G49" s="658">
        <v>1479507030.2746589</v>
      </c>
    </row>
    <row r="50" spans="1:7" ht="15" thickBot="1">
      <c r="A50" s="73">
        <v>34</v>
      </c>
      <c r="B50" s="162" t="s">
        <v>484</v>
      </c>
      <c r="C50" s="677">
        <v>1.2327454159680078</v>
      </c>
      <c r="D50" s="659">
        <v>1.2650544265538659</v>
      </c>
      <c r="E50" s="659">
        <v>1.1993143634385415</v>
      </c>
      <c r="F50" s="660">
        <v>1.1661980182266125</v>
      </c>
      <c r="G50" s="660">
        <v>1.1714478877349945</v>
      </c>
    </row>
    <row r="51" spans="1:7">
      <c r="A51" s="14"/>
    </row>
    <row r="52" spans="1:7">
      <c r="B52" s="16"/>
    </row>
    <row r="53" spans="1:7" ht="69">
      <c r="B53" s="244" t="s">
        <v>356</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3"/>
  <sheetViews>
    <sheetView topLeftCell="A18" zoomScale="90" zoomScaleNormal="90" workbookViewId="0">
      <selection activeCell="B43" sqref="B43"/>
    </sheetView>
  </sheetViews>
  <sheetFormatPr defaultRowHeight="14.4"/>
  <cols>
    <col min="1" max="1" width="11.44140625" customWidth="1"/>
    <col min="2" max="2" width="76.77734375" style="2" customWidth="1"/>
    <col min="3" max="3" width="22.77734375" customWidth="1"/>
  </cols>
  <sheetData>
    <row r="1" spans="1:3">
      <c r="A1" s="1" t="s">
        <v>109</v>
      </c>
      <c r="B1" t="str">
        <f>Info!C2</f>
        <v>კრედო</v>
      </c>
    </row>
    <row r="2" spans="1:3">
      <c r="A2" s="1" t="s">
        <v>110</v>
      </c>
      <c r="B2" s="335">
        <f>'1. key ratios'!B2</f>
        <v>45657</v>
      </c>
    </row>
    <row r="3" spans="1:3">
      <c r="A3" s="1"/>
      <c r="B3"/>
    </row>
    <row r="4" spans="1:3">
      <c r="A4" s="1" t="s">
        <v>429</v>
      </c>
      <c r="B4" t="s">
        <v>388</v>
      </c>
    </row>
    <row r="5" spans="1:3">
      <c r="A5" s="274"/>
      <c r="B5" s="274" t="s">
        <v>389</v>
      </c>
      <c r="C5" s="286"/>
    </row>
    <row r="6" spans="1:3">
      <c r="A6" s="275">
        <v>1</v>
      </c>
      <c r="B6" s="287" t="s">
        <v>438</v>
      </c>
      <c r="C6" s="288">
        <f>'2. SOFP'!E69</f>
        <v>3068973761.868331</v>
      </c>
    </row>
    <row r="7" spans="1:3">
      <c r="A7" s="275">
        <v>2</v>
      </c>
      <c r="B7" s="287" t="s">
        <v>390</v>
      </c>
      <c r="C7" s="288">
        <f>'9. Capital'!C15</f>
        <v>29954496.670000006</v>
      </c>
    </row>
    <row r="8" spans="1:3">
      <c r="A8" s="276">
        <v>3</v>
      </c>
      <c r="B8" s="289" t="s">
        <v>391</v>
      </c>
      <c r="C8" s="290">
        <f>C6+C7</f>
        <v>3098928258.538331</v>
      </c>
    </row>
    <row r="9" spans="1:3">
      <c r="A9" s="277"/>
      <c r="B9" s="277" t="s">
        <v>392</v>
      </c>
      <c r="C9" s="291"/>
    </row>
    <row r="10" spans="1:3">
      <c r="A10" s="278">
        <v>4</v>
      </c>
      <c r="B10" s="292" t="s">
        <v>393</v>
      </c>
      <c r="C10" s="288"/>
    </row>
    <row r="11" spans="1:3">
      <c r="A11" s="278">
        <v>5</v>
      </c>
      <c r="B11" s="293" t="s">
        <v>394</v>
      </c>
      <c r="C11" s="288"/>
    </row>
    <row r="12" spans="1:3">
      <c r="A12" s="278" t="s">
        <v>395</v>
      </c>
      <c r="B12" s="287" t="s">
        <v>396</v>
      </c>
      <c r="C12" s="290">
        <f>'15. CCR'!E21</f>
        <v>5391124.5600000005</v>
      </c>
    </row>
    <row r="13" spans="1:3">
      <c r="A13" s="279">
        <v>6</v>
      </c>
      <c r="B13" s="294" t="s">
        <v>397</v>
      </c>
      <c r="C13" s="288"/>
    </row>
    <row r="14" spans="1:3">
      <c r="A14" s="279">
        <v>7</v>
      </c>
      <c r="B14" s="295" t="s">
        <v>398</v>
      </c>
      <c r="C14" s="288"/>
    </row>
    <row r="15" spans="1:3">
      <c r="A15" s="280">
        <v>8</v>
      </c>
      <c r="B15" s="287" t="s">
        <v>399</v>
      </c>
      <c r="C15" s="288"/>
    </row>
    <row r="16" spans="1:3" ht="22.8">
      <c r="A16" s="279">
        <v>9</v>
      </c>
      <c r="B16" s="295" t="s">
        <v>400</v>
      </c>
      <c r="C16" s="288"/>
    </row>
    <row r="17" spans="1:3">
      <c r="A17" s="279">
        <v>10</v>
      </c>
      <c r="B17" s="295" t="s">
        <v>401</v>
      </c>
      <c r="C17" s="288"/>
    </row>
    <row r="18" spans="1:3">
      <c r="A18" s="281">
        <v>11</v>
      </c>
      <c r="B18" s="296" t="s">
        <v>402</v>
      </c>
      <c r="C18" s="290">
        <f>SUM(C10:C17)</f>
        <v>5391124.5600000005</v>
      </c>
    </row>
    <row r="19" spans="1:3">
      <c r="A19" s="277"/>
      <c r="B19" s="277" t="s">
        <v>403</v>
      </c>
      <c r="C19" s="297"/>
    </row>
    <row r="20" spans="1:3">
      <c r="A20" s="279">
        <v>12</v>
      </c>
      <c r="B20" s="292" t="s">
        <v>404</v>
      </c>
      <c r="C20" s="288"/>
    </row>
    <row r="21" spans="1:3">
      <c r="A21" s="279">
        <v>13</v>
      </c>
      <c r="B21" s="292" t="s">
        <v>405</v>
      </c>
      <c r="C21" s="288"/>
    </row>
    <row r="22" spans="1:3">
      <c r="A22" s="279">
        <v>14</v>
      </c>
      <c r="B22" s="292" t="s">
        <v>406</v>
      </c>
      <c r="C22" s="288"/>
    </row>
    <row r="23" spans="1:3" ht="22.8">
      <c r="A23" s="279" t="s">
        <v>407</v>
      </c>
      <c r="B23" s="292" t="s">
        <v>408</v>
      </c>
      <c r="C23" s="288"/>
    </row>
    <row r="24" spans="1:3">
      <c r="A24" s="279">
        <v>15</v>
      </c>
      <c r="B24" s="292" t="s">
        <v>409</v>
      </c>
      <c r="C24" s="288"/>
    </row>
    <row r="25" spans="1:3">
      <c r="A25" s="279" t="s">
        <v>410</v>
      </c>
      <c r="B25" s="287" t="s">
        <v>411</v>
      </c>
      <c r="C25" s="288"/>
    </row>
    <row r="26" spans="1:3">
      <c r="A26" s="281">
        <v>16</v>
      </c>
      <c r="B26" s="296" t="s">
        <v>412</v>
      </c>
      <c r="C26" s="290">
        <f>SUM(C20:C25)</f>
        <v>0</v>
      </c>
    </row>
    <row r="27" spans="1:3">
      <c r="A27" s="277"/>
      <c r="B27" s="277" t="s">
        <v>413</v>
      </c>
      <c r="C27" s="291"/>
    </row>
    <row r="28" spans="1:3">
      <c r="A28" s="278">
        <v>17</v>
      </c>
      <c r="B28" s="287" t="s">
        <v>414</v>
      </c>
      <c r="C28" s="288">
        <v>177811246.80000001</v>
      </c>
    </row>
    <row r="29" spans="1:3">
      <c r="A29" s="278">
        <v>18</v>
      </c>
      <c r="B29" s="287" t="s">
        <v>415</v>
      </c>
      <c r="C29" s="288">
        <v>-120838402.00000001</v>
      </c>
    </row>
    <row r="30" spans="1:3">
      <c r="A30" s="281">
        <v>19</v>
      </c>
      <c r="B30" s="296" t="s">
        <v>416</v>
      </c>
      <c r="C30" s="290">
        <f>C28+C29</f>
        <v>56972844.799999997</v>
      </c>
    </row>
    <row r="31" spans="1:3">
      <c r="A31" s="282"/>
      <c r="B31" s="277" t="s">
        <v>417</v>
      </c>
      <c r="C31" s="291"/>
    </row>
    <row r="32" spans="1:3">
      <c r="A32" s="278" t="s">
        <v>418</v>
      </c>
      <c r="B32" s="292" t="s">
        <v>419</v>
      </c>
      <c r="C32" s="298"/>
    </row>
    <row r="33" spans="1:3">
      <c r="A33" s="278" t="s">
        <v>420</v>
      </c>
      <c r="B33" s="293" t="s">
        <v>421</v>
      </c>
      <c r="C33" s="298"/>
    </row>
    <row r="34" spans="1:3">
      <c r="A34" s="277"/>
      <c r="B34" s="277" t="s">
        <v>422</v>
      </c>
      <c r="C34" s="291"/>
    </row>
    <row r="35" spans="1:3">
      <c r="A35" s="281">
        <v>20</v>
      </c>
      <c r="B35" s="296" t="s">
        <v>87</v>
      </c>
      <c r="C35" s="290">
        <f>'1. key ratios'!C9</f>
        <v>347648418</v>
      </c>
    </row>
    <row r="36" spans="1:3">
      <c r="A36" s="281">
        <v>21</v>
      </c>
      <c r="B36" s="296" t="s">
        <v>423</v>
      </c>
      <c r="C36" s="290">
        <f>C8+C18+C26+C30</f>
        <v>3161292227.8983312</v>
      </c>
    </row>
    <row r="37" spans="1:3">
      <c r="A37" s="283"/>
      <c r="B37" s="283" t="s">
        <v>388</v>
      </c>
      <c r="C37" s="291"/>
    </row>
    <row r="38" spans="1:3">
      <c r="A38" s="281">
        <v>22</v>
      </c>
      <c r="B38" s="296" t="s">
        <v>388</v>
      </c>
      <c r="C38" s="725">
        <f>IFERROR(C35/C36,0)</f>
        <v>0.10997035165936597</v>
      </c>
    </row>
    <row r="39" spans="1:3">
      <c r="A39" s="283"/>
      <c r="B39" s="283" t="s">
        <v>424</v>
      </c>
      <c r="C39" s="291"/>
    </row>
    <row r="40" spans="1:3">
      <c r="A40" s="284" t="s">
        <v>425</v>
      </c>
      <c r="B40" s="292" t="s">
        <v>426</v>
      </c>
      <c r="C40" s="298"/>
    </row>
    <row r="41" spans="1:3">
      <c r="A41" s="285" t="s">
        <v>427</v>
      </c>
      <c r="B41" s="293" t="s">
        <v>428</v>
      </c>
      <c r="C41" s="298"/>
    </row>
    <row r="43" spans="1:3">
      <c r="B43" s="30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J42"/>
  <sheetViews>
    <sheetView zoomScale="80" zoomScaleNormal="80" workbookViewId="0">
      <pane xSplit="2" ySplit="6" topLeftCell="C23" activePane="bottomRight" state="frozen"/>
      <selection pane="topRight" activeCell="C1" sqref="C1"/>
      <selection pane="bottomLeft" activeCell="A7" sqref="A7"/>
      <selection pane="bottomRight" activeCell="G17" sqref="G17"/>
    </sheetView>
  </sheetViews>
  <sheetFormatPr defaultRowHeight="14.4"/>
  <cols>
    <col min="1" max="1" width="9.88671875" style="1" bestFit="1" customWidth="1"/>
    <col min="2" max="2" width="82.6640625" style="16" customWidth="1"/>
    <col min="3" max="7" width="17.5546875" style="1" customWidth="1"/>
    <col min="9" max="10" width="16.33203125" bestFit="1" customWidth="1"/>
  </cols>
  <sheetData>
    <row r="1" spans="1:10">
      <c r="A1" s="1" t="s">
        <v>109</v>
      </c>
      <c r="B1" s="1" t="str">
        <f>Info!C2</f>
        <v>კრედო</v>
      </c>
    </row>
    <row r="2" spans="1:10">
      <c r="A2" s="1" t="s">
        <v>110</v>
      </c>
      <c r="B2" s="335">
        <f>'1. key ratios'!B2</f>
        <v>45657</v>
      </c>
    </row>
    <row r="3" spans="1:10">
      <c r="B3" s="335"/>
    </row>
    <row r="4" spans="1:10" ht="15" thickBot="1">
      <c r="A4" s="1" t="s">
        <v>485</v>
      </c>
      <c r="B4" s="199" t="s">
        <v>450</v>
      </c>
    </row>
    <row r="5" spans="1:10">
      <c r="A5" s="336"/>
      <c r="B5" s="337"/>
      <c r="C5" s="851" t="s">
        <v>451</v>
      </c>
      <c r="D5" s="851"/>
      <c r="E5" s="851"/>
      <c r="F5" s="851"/>
      <c r="G5" s="852" t="s">
        <v>452</v>
      </c>
    </row>
    <row r="6" spans="1:10">
      <c r="A6" s="338"/>
      <c r="B6" s="339"/>
      <c r="C6" s="340" t="s">
        <v>453</v>
      </c>
      <c r="D6" s="340" t="s">
        <v>454</v>
      </c>
      <c r="E6" s="340" t="s">
        <v>455</v>
      </c>
      <c r="F6" s="340" t="s">
        <v>456</v>
      </c>
      <c r="G6" s="853"/>
    </row>
    <row r="7" spans="1:10">
      <c r="A7" s="341"/>
      <c r="B7" s="342" t="s">
        <v>457</v>
      </c>
      <c r="C7" s="343"/>
      <c r="D7" s="343"/>
      <c r="E7" s="343"/>
      <c r="F7" s="343"/>
      <c r="G7" s="344"/>
    </row>
    <row r="8" spans="1:10">
      <c r="A8" s="345">
        <v>1</v>
      </c>
      <c r="B8" s="346" t="s">
        <v>458</v>
      </c>
      <c r="C8" s="777">
        <v>347648418</v>
      </c>
      <c r="D8" s="777">
        <f>SUM(D9:D10)</f>
        <v>0</v>
      </c>
      <c r="E8" s="777">
        <f>SUM(E9:E10)</f>
        <v>0</v>
      </c>
      <c r="F8" s="777">
        <f>SUM(F9:F10)</f>
        <v>1093776647.74</v>
      </c>
      <c r="G8" s="354">
        <f>SUM(G9:G10)</f>
        <v>1441425065.74</v>
      </c>
      <c r="I8" s="773"/>
      <c r="J8" s="774"/>
    </row>
    <row r="9" spans="1:10">
      <c r="A9" s="345">
        <v>2</v>
      </c>
      <c r="B9" s="349" t="s">
        <v>86</v>
      </c>
      <c r="C9" s="777">
        <v>347648418</v>
      </c>
      <c r="D9" s="347">
        <v>0</v>
      </c>
      <c r="E9" s="347">
        <v>0</v>
      </c>
      <c r="F9" s="347">
        <v>100977274.88</v>
      </c>
      <c r="G9" s="354">
        <f>C9+F9</f>
        <v>448625692.88</v>
      </c>
      <c r="I9" s="773"/>
      <c r="J9" s="774"/>
    </row>
    <row r="10" spans="1:10">
      <c r="A10" s="345">
        <v>3</v>
      </c>
      <c r="B10" s="349" t="s">
        <v>459</v>
      </c>
      <c r="C10" s="350"/>
      <c r="D10" s="350"/>
      <c r="E10" s="350"/>
      <c r="F10" s="347">
        <v>992799372.86000001</v>
      </c>
      <c r="G10" s="348">
        <v>992799372.86000001</v>
      </c>
      <c r="I10" s="773"/>
      <c r="J10" s="774"/>
    </row>
    <row r="11" spans="1:10" ht="27.6">
      <c r="A11" s="345">
        <v>4</v>
      </c>
      <c r="B11" s="346" t="s">
        <v>460</v>
      </c>
      <c r="C11" s="777">
        <f t="shared" ref="C11:F11" si="0">SUM(C12:C13)</f>
        <v>305880756.39999998</v>
      </c>
      <c r="D11" s="777">
        <f t="shared" si="0"/>
        <v>357108328.13999999</v>
      </c>
      <c r="E11" s="777">
        <f t="shared" si="0"/>
        <v>145264411.26895499</v>
      </c>
      <c r="F11" s="777">
        <f t="shared" si="0"/>
        <v>17603222.719999999</v>
      </c>
      <c r="G11" s="354">
        <f>SUM(G12:G13)</f>
        <v>623151671.82000005</v>
      </c>
      <c r="I11" s="773"/>
      <c r="J11" s="774"/>
    </row>
    <row r="12" spans="1:10">
      <c r="A12" s="345">
        <v>5</v>
      </c>
      <c r="B12" s="349" t="s">
        <v>461</v>
      </c>
      <c r="C12" s="347">
        <v>102148141.39</v>
      </c>
      <c r="D12" s="351">
        <v>245645501.94</v>
      </c>
      <c r="E12" s="347">
        <v>109911627.277936</v>
      </c>
      <c r="F12" s="347">
        <v>9457645.5</v>
      </c>
      <c r="G12" s="348">
        <v>443804770.41000003</v>
      </c>
      <c r="I12" s="773"/>
      <c r="J12" s="774"/>
    </row>
    <row r="13" spans="1:10">
      <c r="A13" s="345">
        <v>6</v>
      </c>
      <c r="B13" s="349" t="s">
        <v>462</v>
      </c>
      <c r="C13" s="347">
        <v>203732615.00999999</v>
      </c>
      <c r="D13" s="351">
        <v>111462826.2</v>
      </c>
      <c r="E13" s="347">
        <v>35352783.991019003</v>
      </c>
      <c r="F13" s="347">
        <v>8145577.2199999997</v>
      </c>
      <c r="G13" s="348">
        <v>179346901.41</v>
      </c>
      <c r="I13" s="773"/>
      <c r="J13" s="774"/>
    </row>
    <row r="14" spans="1:10">
      <c r="A14" s="345">
        <v>7</v>
      </c>
      <c r="B14" s="346" t="s">
        <v>463</v>
      </c>
      <c r="C14" s="777">
        <f t="shared" ref="C14:F14" si="1">SUM(C15:C16)</f>
        <v>85956881.319999993</v>
      </c>
      <c r="D14" s="777">
        <f t="shared" si="1"/>
        <v>331827185.35000002</v>
      </c>
      <c r="E14" s="777">
        <f t="shared" si="1"/>
        <v>251896523.98745501</v>
      </c>
      <c r="F14" s="777">
        <f t="shared" si="1"/>
        <v>17447233.23</v>
      </c>
      <c r="G14" s="354">
        <f>SUM(G15:G16)</f>
        <v>250086330.41</v>
      </c>
      <c r="I14" s="773"/>
      <c r="J14" s="774"/>
    </row>
    <row r="15" spans="1:10" ht="55.2">
      <c r="A15" s="345">
        <v>8</v>
      </c>
      <c r="B15" s="349" t="s">
        <v>464</v>
      </c>
      <c r="C15" s="347">
        <v>85956881.319999993</v>
      </c>
      <c r="D15" s="772">
        <v>144872021.68000001</v>
      </c>
      <c r="E15" s="347">
        <v>86802096.302212998</v>
      </c>
      <c r="F15" s="347">
        <v>17447233.23</v>
      </c>
      <c r="G15" s="348">
        <v>167539116.47</v>
      </c>
      <c r="I15" s="773"/>
      <c r="J15" s="774"/>
    </row>
    <row r="16" spans="1:10" ht="27.6">
      <c r="A16" s="345">
        <v>9</v>
      </c>
      <c r="B16" s="349" t="s">
        <v>465</v>
      </c>
      <c r="C16" s="347"/>
      <c r="D16" s="351">
        <v>186955163.66999999</v>
      </c>
      <c r="E16" s="347">
        <v>165094427.685242</v>
      </c>
      <c r="F16" s="347"/>
      <c r="G16" s="348">
        <v>82547213.939999998</v>
      </c>
      <c r="I16" s="773"/>
      <c r="J16" s="774"/>
    </row>
    <row r="17" spans="1:9">
      <c r="A17" s="345">
        <v>10</v>
      </c>
      <c r="B17" s="346" t="s">
        <v>466</v>
      </c>
      <c r="C17" s="347"/>
      <c r="D17" s="351"/>
      <c r="E17" s="347"/>
      <c r="F17" s="347"/>
      <c r="G17" s="348"/>
    </row>
    <row r="18" spans="1:9">
      <c r="A18" s="345">
        <v>11</v>
      </c>
      <c r="B18" s="346" t="s">
        <v>90</v>
      </c>
      <c r="C18" s="777">
        <f>SUM(C19:C20)</f>
        <v>61153447.351823732</v>
      </c>
      <c r="D18" s="778">
        <f t="shared" ref="D18:G18" si="2">SUM(D19:D20)</f>
        <v>4759228.1709490698</v>
      </c>
      <c r="E18" s="777">
        <f t="shared" si="2"/>
        <v>2457188.4670553105</v>
      </c>
      <c r="F18" s="777">
        <f t="shared" si="2"/>
        <v>16239794</v>
      </c>
      <c r="G18" s="348">
        <f t="shared" si="2"/>
        <v>0</v>
      </c>
    </row>
    <row r="19" spans="1:9">
      <c r="A19" s="345">
        <v>12</v>
      </c>
      <c r="B19" s="349" t="s">
        <v>467</v>
      </c>
      <c r="C19" s="350"/>
      <c r="D19" s="351">
        <v>1571658.95</v>
      </c>
      <c r="E19" s="347"/>
      <c r="F19" s="347"/>
      <c r="G19" s="348">
        <v>0</v>
      </c>
    </row>
    <row r="20" spans="1:9" ht="27.6">
      <c r="A20" s="345">
        <v>13</v>
      </c>
      <c r="B20" s="349" t="s">
        <v>468</v>
      </c>
      <c r="C20" s="347">
        <v>61153447.351823732</v>
      </c>
      <c r="D20" s="347">
        <f>3073161.22094907+114408</f>
        <v>3187569.2209490701</v>
      </c>
      <c r="E20" s="347">
        <v>2457188.4670553105</v>
      </c>
      <c r="F20" s="347">
        <v>16239794</v>
      </c>
      <c r="G20" s="348">
        <v>0</v>
      </c>
    </row>
    <row r="21" spans="1:9">
      <c r="A21" s="352">
        <v>14</v>
      </c>
      <c r="B21" s="353" t="s">
        <v>469</v>
      </c>
      <c r="C21" s="350"/>
      <c r="D21" s="350"/>
      <c r="E21" s="350"/>
      <c r="F21" s="350"/>
      <c r="G21" s="354">
        <f>SUM(G8,G11,G14,G17,G18)</f>
        <v>2314663067.9699998</v>
      </c>
    </row>
    <row r="22" spans="1:9">
      <c r="A22" s="355"/>
      <c r="B22" s="371" t="s">
        <v>470</v>
      </c>
      <c r="C22" s="356"/>
      <c r="D22" s="357"/>
      <c r="E22" s="356"/>
      <c r="F22" s="356"/>
      <c r="G22" s="358"/>
    </row>
    <row r="23" spans="1:9">
      <c r="A23" s="345">
        <v>15</v>
      </c>
      <c r="B23" s="346" t="s">
        <v>323</v>
      </c>
      <c r="C23" s="775">
        <v>352489065.19028699</v>
      </c>
      <c r="D23" s="776">
        <v>35645360.245981596</v>
      </c>
      <c r="E23" s="775">
        <v>38692666.576049402</v>
      </c>
      <c r="F23" s="775">
        <v>28406273.177969001</v>
      </c>
      <c r="G23" s="354">
        <v>8110042.7291402305</v>
      </c>
      <c r="I23" s="773"/>
    </row>
    <row r="24" spans="1:9">
      <c r="A24" s="345">
        <v>16</v>
      </c>
      <c r="B24" s="346" t="s">
        <v>471</v>
      </c>
      <c r="C24" s="777">
        <f>SUM(C25:C27,C29,C31)</f>
        <v>280709.05036310101</v>
      </c>
      <c r="D24" s="778">
        <f t="shared" ref="D24:G24" si="3">SUM(D25:D27,D29,D31)</f>
        <v>486834706.07721519</v>
      </c>
      <c r="E24" s="777">
        <f t="shared" si="3"/>
        <v>423409791.15147996</v>
      </c>
      <c r="F24" s="777">
        <f t="shared" si="3"/>
        <v>1494830944.6362245</v>
      </c>
      <c r="G24" s="354">
        <f t="shared" si="3"/>
        <v>1699794186.3950036</v>
      </c>
      <c r="I24" s="773"/>
    </row>
    <row r="25" spans="1:9" ht="27.6">
      <c r="A25" s="345">
        <v>17</v>
      </c>
      <c r="B25" s="349" t="s">
        <v>472</v>
      </c>
      <c r="C25" s="347"/>
      <c r="D25" s="351"/>
      <c r="E25" s="347"/>
      <c r="F25" s="347"/>
      <c r="G25" s="348"/>
      <c r="I25" s="773"/>
    </row>
    <row r="26" spans="1:9" ht="27.6">
      <c r="A26" s="345">
        <v>18</v>
      </c>
      <c r="B26" s="349" t="s">
        <v>473</v>
      </c>
      <c r="C26" s="347">
        <v>280709.05036310101</v>
      </c>
      <c r="D26" s="351"/>
      <c r="E26" s="347"/>
      <c r="F26" s="347"/>
      <c r="G26" s="348">
        <v>42106.357554465198</v>
      </c>
      <c r="I26" s="773"/>
    </row>
    <row r="27" spans="1:9">
      <c r="A27" s="345">
        <v>19</v>
      </c>
      <c r="B27" s="349" t="s">
        <v>474</v>
      </c>
      <c r="C27" s="347"/>
      <c r="D27" s="351">
        <v>477353513.75239575</v>
      </c>
      <c r="E27" s="347">
        <v>413145314.63152009</v>
      </c>
      <c r="F27" s="347">
        <v>1364001287.0477781</v>
      </c>
      <c r="G27" s="348">
        <v>1604650508.1825693</v>
      </c>
      <c r="I27" s="773"/>
    </row>
    <row r="28" spans="1:9">
      <c r="A28" s="345">
        <v>20</v>
      </c>
      <c r="B28" s="359" t="s">
        <v>475</v>
      </c>
      <c r="C28" s="347"/>
      <c r="D28" s="351"/>
      <c r="E28" s="347"/>
      <c r="F28" s="347"/>
      <c r="G28" s="348"/>
      <c r="I28" s="773"/>
    </row>
    <row r="29" spans="1:9">
      <c r="A29" s="345">
        <v>21</v>
      </c>
      <c r="B29" s="349" t="s">
        <v>476</v>
      </c>
      <c r="C29" s="347"/>
      <c r="D29" s="351">
        <v>9481192.324819427</v>
      </c>
      <c r="E29" s="347">
        <v>10264476.519959886</v>
      </c>
      <c r="F29" s="347">
        <v>129882357.5884463</v>
      </c>
      <c r="G29" s="348">
        <v>94296366.854879752</v>
      </c>
      <c r="I29" s="773"/>
    </row>
    <row r="30" spans="1:9">
      <c r="A30" s="345">
        <v>22</v>
      </c>
      <c r="B30" s="359" t="s">
        <v>475</v>
      </c>
      <c r="C30" s="347"/>
      <c r="D30" s="351">
        <v>9481192.324819427</v>
      </c>
      <c r="E30" s="347">
        <v>10264476.519959886</v>
      </c>
      <c r="F30" s="347">
        <v>129882357.5884463</v>
      </c>
      <c r="G30" s="348">
        <v>94296366.854879752</v>
      </c>
      <c r="I30" s="773"/>
    </row>
    <row r="31" spans="1:9" ht="27.6">
      <c r="A31" s="345">
        <v>23</v>
      </c>
      <c r="B31" s="349" t="s">
        <v>477</v>
      </c>
      <c r="C31" s="347"/>
      <c r="D31" s="351"/>
      <c r="E31" s="347"/>
      <c r="F31" s="347">
        <v>947300</v>
      </c>
      <c r="G31" s="348">
        <v>805205</v>
      </c>
      <c r="I31" s="773"/>
    </row>
    <row r="32" spans="1:9">
      <c r="A32" s="345">
        <v>24</v>
      </c>
      <c r="B32" s="346" t="s">
        <v>478</v>
      </c>
      <c r="C32" s="347"/>
      <c r="D32" s="351"/>
      <c r="E32" s="347"/>
      <c r="F32" s="347"/>
      <c r="G32" s="348"/>
      <c r="I32" s="773"/>
    </row>
    <row r="33" spans="1:10">
      <c r="A33" s="345">
        <v>25</v>
      </c>
      <c r="B33" s="346" t="s">
        <v>100</v>
      </c>
      <c r="C33" s="777">
        <f>SUM(C34:C35)</f>
        <v>50821188.330000006</v>
      </c>
      <c r="D33" s="777">
        <f>SUM(D34:D35)</f>
        <v>53233288.886153102</v>
      </c>
      <c r="E33" s="777">
        <f>SUM(E34:E35)</f>
        <v>21315292.439997539</v>
      </c>
      <c r="F33" s="777">
        <f>SUM(F34:F35)</f>
        <v>53059980.735806808</v>
      </c>
      <c r="G33" s="354">
        <f>SUM(G34:G35)</f>
        <v>161012764.52562702</v>
      </c>
      <c r="I33" s="773"/>
    </row>
    <row r="34" spans="1:10">
      <c r="A34" s="345">
        <v>26</v>
      </c>
      <c r="B34" s="349" t="s">
        <v>479</v>
      </c>
      <c r="C34" s="350"/>
      <c r="D34" s="351">
        <v>566676.57999999996</v>
      </c>
      <c r="E34" s="347"/>
      <c r="F34" s="347"/>
      <c r="G34" s="348">
        <v>566676.57999999996</v>
      </c>
      <c r="I34" s="773"/>
    </row>
    <row r="35" spans="1:10">
      <c r="A35" s="345">
        <v>27</v>
      </c>
      <c r="B35" s="349" t="s">
        <v>480</v>
      </c>
      <c r="C35" s="347">
        <v>50821188.330000006</v>
      </c>
      <c r="D35" s="351">
        <f>52809653.3061531-143041</f>
        <v>52666612.306153104</v>
      </c>
      <c r="E35" s="347">
        <v>21315292.439997539</v>
      </c>
      <c r="F35" s="347">
        <v>53059980.735806808</v>
      </c>
      <c r="G35" s="348">
        <f>160589130.945627-143043</f>
        <v>160446087.945627</v>
      </c>
      <c r="I35" s="773"/>
    </row>
    <row r="36" spans="1:10">
      <c r="A36" s="345">
        <v>28</v>
      </c>
      <c r="B36" s="346" t="s">
        <v>481</v>
      </c>
      <c r="C36" s="347">
        <f>150687379.94-494655</f>
        <v>150192724.94</v>
      </c>
      <c r="D36" s="351"/>
      <c r="E36" s="347"/>
      <c r="F36" s="347">
        <v>25266631.059999999</v>
      </c>
      <c r="G36" s="348">
        <v>8772967.8000000007</v>
      </c>
      <c r="I36" s="773"/>
      <c r="J36" s="679"/>
    </row>
    <row r="37" spans="1:10">
      <c r="A37" s="352">
        <v>29</v>
      </c>
      <c r="B37" s="353" t="s">
        <v>482</v>
      </c>
      <c r="C37" s="350"/>
      <c r="D37" s="350"/>
      <c r="E37" s="350"/>
      <c r="F37" s="350"/>
      <c r="G37" s="354">
        <f>SUM(G23:G24,G32:G33,G36)</f>
        <v>1877689961.4497707</v>
      </c>
      <c r="I37" s="773"/>
      <c r="J37" s="773"/>
    </row>
    <row r="38" spans="1:10">
      <c r="A38" s="341"/>
      <c r="B38" s="360"/>
      <c r="C38" s="361"/>
      <c r="D38" s="361"/>
      <c r="E38" s="361"/>
      <c r="F38" s="361"/>
      <c r="G38" s="362"/>
      <c r="I38" s="773"/>
      <c r="J38" s="774"/>
    </row>
    <row r="39" spans="1:10" ht="15" thickBot="1">
      <c r="A39" s="363">
        <v>30</v>
      </c>
      <c r="B39" s="364" t="s">
        <v>450</v>
      </c>
      <c r="C39" s="235"/>
      <c r="D39" s="219"/>
      <c r="E39" s="219"/>
      <c r="F39" s="365"/>
      <c r="G39" s="366">
        <f>IFERROR(G21/G37,0)</f>
        <v>1.2327184548522807</v>
      </c>
      <c r="I39" s="773"/>
    </row>
    <row r="42" spans="1:10" ht="41.4">
      <c r="B42" s="16" t="s">
        <v>483</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H26"/>
  <sheetViews>
    <sheetView showGridLines="0" zoomScale="80" zoomScaleNormal="80" workbookViewId="0">
      <selection activeCell="C21" sqref="C21:G21"/>
    </sheetView>
  </sheetViews>
  <sheetFormatPr defaultColWidth="9.21875" defaultRowHeight="12"/>
  <cols>
    <col min="1" max="1" width="11.77734375" style="376" bestFit="1" customWidth="1"/>
    <col min="2" max="2" width="88" style="376" customWidth="1"/>
    <col min="3" max="8" width="18.77734375" style="376" customWidth="1"/>
    <col min="9" max="16384" width="9.21875" style="376"/>
  </cols>
  <sheetData>
    <row r="1" spans="1:8" ht="13.8">
      <c r="A1" s="375" t="s">
        <v>109</v>
      </c>
      <c r="B1" s="306" t="str">
        <f>Info!C2</f>
        <v>კრედო</v>
      </c>
    </row>
    <row r="2" spans="1:8">
      <c r="A2" s="375" t="s">
        <v>110</v>
      </c>
      <c r="B2" s="378">
        <f>'1. key ratios'!B2</f>
        <v>45657</v>
      </c>
    </row>
    <row r="3" spans="1:8">
      <c r="A3" s="377" t="s">
        <v>490</v>
      </c>
    </row>
    <row r="5" spans="1:8">
      <c r="A5" s="854" t="s">
        <v>491</v>
      </c>
      <c r="B5" s="855"/>
      <c r="C5" s="860" t="s">
        <v>492</v>
      </c>
      <c r="D5" s="861"/>
      <c r="E5" s="861"/>
      <c r="F5" s="861"/>
      <c r="G5" s="861"/>
      <c r="H5" s="862"/>
    </row>
    <row r="6" spans="1:8">
      <c r="A6" s="856"/>
      <c r="B6" s="857"/>
      <c r="C6" s="863"/>
      <c r="D6" s="864"/>
      <c r="E6" s="864"/>
      <c r="F6" s="864"/>
      <c r="G6" s="864"/>
      <c r="H6" s="865"/>
    </row>
    <row r="7" spans="1:8" ht="24">
      <c r="A7" s="858"/>
      <c r="B7" s="859"/>
      <c r="C7" s="471" t="s">
        <v>493</v>
      </c>
      <c r="D7" s="471" t="s">
        <v>494</v>
      </c>
      <c r="E7" s="471" t="s">
        <v>495</v>
      </c>
      <c r="F7" s="471" t="s">
        <v>496</v>
      </c>
      <c r="G7" s="471" t="s">
        <v>676</v>
      </c>
      <c r="H7" s="471" t="s">
        <v>67</v>
      </c>
    </row>
    <row r="8" spans="1:8">
      <c r="A8" s="467">
        <v>1</v>
      </c>
      <c r="B8" s="466" t="s">
        <v>135</v>
      </c>
      <c r="C8" s="726">
        <v>149109050.92297801</v>
      </c>
      <c r="D8" s="726">
        <v>72776145.419552907</v>
      </c>
      <c r="E8" s="726">
        <v>19745284.2733333</v>
      </c>
      <c r="F8" s="726">
        <v>0</v>
      </c>
      <c r="G8" s="726">
        <v>0</v>
      </c>
      <c r="H8" s="726">
        <f t="shared" ref="H8:H20" si="0">SUM(C8:G8)</f>
        <v>241630480.61586422</v>
      </c>
    </row>
    <row r="9" spans="1:8" ht="24">
      <c r="A9" s="467">
        <v>2</v>
      </c>
      <c r="B9" s="466" t="s">
        <v>136</v>
      </c>
      <c r="C9" s="726"/>
      <c r="D9" s="726"/>
      <c r="E9" s="726"/>
      <c r="F9" s="726"/>
      <c r="G9" s="726"/>
      <c r="H9" s="726">
        <f t="shared" si="0"/>
        <v>0</v>
      </c>
    </row>
    <row r="10" spans="1:8">
      <c r="A10" s="467">
        <v>3</v>
      </c>
      <c r="B10" s="466" t="s">
        <v>137</v>
      </c>
      <c r="C10" s="726"/>
      <c r="D10" s="726"/>
      <c r="E10" s="726"/>
      <c r="F10" s="726"/>
      <c r="G10" s="726"/>
      <c r="H10" s="726">
        <f t="shared" si="0"/>
        <v>0</v>
      </c>
    </row>
    <row r="11" spans="1:8">
      <c r="A11" s="467">
        <v>4</v>
      </c>
      <c r="B11" s="466" t="s">
        <v>138</v>
      </c>
      <c r="C11" s="726"/>
      <c r="D11" s="726"/>
      <c r="E11" s="726"/>
      <c r="F11" s="726"/>
      <c r="G11" s="726"/>
      <c r="H11" s="726">
        <f t="shared" si="0"/>
        <v>0</v>
      </c>
    </row>
    <row r="12" spans="1:8">
      <c r="A12" s="467">
        <v>5</v>
      </c>
      <c r="B12" s="466" t="s">
        <v>941</v>
      </c>
      <c r="C12" s="726"/>
      <c r="D12" s="726"/>
      <c r="E12" s="726"/>
      <c r="F12" s="726"/>
      <c r="G12" s="726"/>
      <c r="H12" s="726">
        <f t="shared" si="0"/>
        <v>0</v>
      </c>
    </row>
    <row r="13" spans="1:8">
      <c r="A13" s="467">
        <v>6</v>
      </c>
      <c r="B13" s="466" t="s">
        <v>139</v>
      </c>
      <c r="C13" s="726">
        <v>94737263.633167699</v>
      </c>
      <c r="D13" s="726"/>
      <c r="E13" s="726"/>
      <c r="F13" s="726"/>
      <c r="G13" s="726"/>
      <c r="H13" s="726">
        <f t="shared" si="0"/>
        <v>94737263.633167699</v>
      </c>
    </row>
    <row r="14" spans="1:8">
      <c r="A14" s="467">
        <v>7</v>
      </c>
      <c r="B14" s="466" t="s">
        <v>72</v>
      </c>
      <c r="C14" s="726">
        <v>0</v>
      </c>
      <c r="D14" s="726">
        <v>5883359.0194147481</v>
      </c>
      <c r="E14" s="726">
        <v>21946519.814754203</v>
      </c>
      <c r="F14" s="726">
        <v>43401354.06409388</v>
      </c>
      <c r="G14" s="726"/>
      <c r="H14" s="726">
        <f t="shared" si="0"/>
        <v>71231232.898262829</v>
      </c>
    </row>
    <row r="15" spans="1:8">
      <c r="A15" s="467">
        <v>8</v>
      </c>
      <c r="B15" s="468" t="s">
        <v>73</v>
      </c>
      <c r="C15" s="726">
        <v>832814.61053670244</v>
      </c>
      <c r="D15" s="726">
        <v>378841852.10188794</v>
      </c>
      <c r="E15" s="726">
        <v>1390275548.6199536</v>
      </c>
      <c r="F15" s="726">
        <v>494296237.29863477</v>
      </c>
      <c r="G15" s="726"/>
      <c r="H15" s="726">
        <f t="shared" si="0"/>
        <v>2264246452.6310129</v>
      </c>
    </row>
    <row r="16" spans="1:8">
      <c r="A16" s="467">
        <v>9</v>
      </c>
      <c r="B16" s="466" t="s">
        <v>942</v>
      </c>
      <c r="C16" s="726">
        <v>23.970017389527396</v>
      </c>
      <c r="D16" s="726">
        <v>1998420.5577184081</v>
      </c>
      <c r="E16" s="726">
        <v>40202135.637598976</v>
      </c>
      <c r="F16" s="726">
        <v>112205427.81440894</v>
      </c>
      <c r="G16" s="726"/>
      <c r="H16" s="726">
        <f t="shared" si="0"/>
        <v>154406007.97974372</v>
      </c>
    </row>
    <row r="17" spans="1:8">
      <c r="A17" s="467">
        <v>10</v>
      </c>
      <c r="B17" s="470" t="s">
        <v>511</v>
      </c>
      <c r="C17" s="726">
        <v>241478.08089622343</v>
      </c>
      <c r="D17" s="726">
        <v>1081439.3183664866</v>
      </c>
      <c r="E17" s="726">
        <v>2148884.8594694841</v>
      </c>
      <c r="F17" s="726">
        <v>1039482.5113797266</v>
      </c>
      <c r="G17" s="726"/>
      <c r="H17" s="726">
        <f t="shared" si="0"/>
        <v>4511284.7701119203</v>
      </c>
    </row>
    <row r="18" spans="1:8">
      <c r="A18" s="467">
        <v>11</v>
      </c>
      <c r="B18" s="466" t="s">
        <v>69</v>
      </c>
      <c r="C18" s="726"/>
      <c r="D18" s="726"/>
      <c r="E18" s="726"/>
      <c r="F18" s="726"/>
      <c r="G18" s="726"/>
      <c r="H18" s="726">
        <f t="shared" si="0"/>
        <v>0</v>
      </c>
    </row>
    <row r="19" spans="1:8">
      <c r="A19" s="467">
        <v>12</v>
      </c>
      <c r="B19" s="466" t="s">
        <v>70</v>
      </c>
      <c r="C19" s="726"/>
      <c r="D19" s="726"/>
      <c r="E19" s="726"/>
      <c r="F19" s="726"/>
      <c r="G19" s="726"/>
      <c r="H19" s="726">
        <f t="shared" si="0"/>
        <v>0</v>
      </c>
    </row>
    <row r="20" spans="1:8">
      <c r="A20" s="469">
        <v>13</v>
      </c>
      <c r="B20" s="468" t="s">
        <v>71</v>
      </c>
      <c r="C20" s="726"/>
      <c r="D20" s="726"/>
      <c r="E20" s="726"/>
      <c r="F20" s="726"/>
      <c r="G20" s="726"/>
      <c r="H20" s="726">
        <f t="shared" si="0"/>
        <v>0</v>
      </c>
    </row>
    <row r="21" spans="1:8">
      <c r="A21" s="467">
        <v>14</v>
      </c>
      <c r="B21" s="466" t="s">
        <v>497</v>
      </c>
      <c r="C21" s="726">
        <v>108924484.53</v>
      </c>
      <c r="D21" s="726">
        <f>29543090-143043</f>
        <v>29400047</v>
      </c>
      <c r="E21" s="726">
        <v>21158434.850000009</v>
      </c>
      <c r="F21" s="726">
        <v>0</v>
      </c>
      <c r="G21" s="726">
        <v>53284862.180000007</v>
      </c>
      <c r="H21" s="726">
        <f>SUM(C21:G21)</f>
        <v>212767828.56</v>
      </c>
    </row>
    <row r="22" spans="1:8">
      <c r="A22" s="465">
        <v>15</v>
      </c>
      <c r="B22" s="464" t="s">
        <v>67</v>
      </c>
      <c r="C22" s="726">
        <f>SUM(C18:C21)+SUM(C8:C16)</f>
        <v>353603637.66669983</v>
      </c>
      <c r="D22" s="726">
        <f t="shared" ref="D22:H22" si="1">SUM(D18:D21)+SUM(D8:D16)</f>
        <v>488899824.09857398</v>
      </c>
      <c r="E22" s="726">
        <f t="shared" si="1"/>
        <v>1493327923.1956401</v>
      </c>
      <c r="F22" s="726">
        <f t="shared" si="1"/>
        <v>649903019.17713749</v>
      </c>
      <c r="G22" s="726">
        <f t="shared" si="1"/>
        <v>53284862.180000007</v>
      </c>
      <c r="H22" s="726">
        <f t="shared" si="1"/>
        <v>3039019266.3180518</v>
      </c>
    </row>
    <row r="26" spans="1:8" ht="36">
      <c r="B26" s="393" t="s">
        <v>675</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D20" sqref="D20"/>
    </sheetView>
  </sheetViews>
  <sheetFormatPr defaultColWidth="9.21875" defaultRowHeight="12"/>
  <cols>
    <col min="1" max="1" width="11.77734375" style="379" bestFit="1" customWidth="1"/>
    <col min="2" max="2" width="86.77734375" style="376" customWidth="1"/>
    <col min="3" max="4" width="31.5546875" style="376" customWidth="1"/>
    <col min="5" max="5" width="16.44140625" style="376" bestFit="1" customWidth="1"/>
    <col min="6" max="6" width="14.21875" style="376" bestFit="1" customWidth="1"/>
    <col min="7" max="7" width="20" style="376" bestFit="1" customWidth="1"/>
    <col min="8" max="8" width="25.21875" style="376" bestFit="1" customWidth="1"/>
    <col min="9" max="16384" width="9.21875" style="376"/>
  </cols>
  <sheetData>
    <row r="1" spans="1:8" ht="13.8">
      <c r="A1" s="375" t="s">
        <v>109</v>
      </c>
      <c r="B1" s="306" t="str">
        <f>Info!C2</f>
        <v>კრედო</v>
      </c>
      <c r="C1" s="483"/>
      <c r="D1" s="483"/>
      <c r="E1" s="483"/>
      <c r="F1" s="483"/>
      <c r="G1" s="483"/>
      <c r="H1" s="483"/>
    </row>
    <row r="2" spans="1:8">
      <c r="A2" s="375" t="s">
        <v>110</v>
      </c>
      <c r="B2" s="378">
        <f>'1. key ratios'!B2</f>
        <v>45657</v>
      </c>
      <c r="C2" s="483"/>
      <c r="D2" s="483"/>
      <c r="E2" s="483"/>
      <c r="F2" s="483"/>
      <c r="G2" s="483"/>
      <c r="H2" s="483"/>
    </row>
    <row r="3" spans="1:8">
      <c r="A3" s="377" t="s">
        <v>498</v>
      </c>
      <c r="B3" s="483"/>
      <c r="C3" s="483"/>
      <c r="D3" s="483"/>
      <c r="E3" s="483"/>
      <c r="F3" s="483"/>
      <c r="G3" s="483"/>
      <c r="H3" s="483"/>
    </row>
    <row r="4" spans="1:8">
      <c r="A4" s="484"/>
      <c r="B4" s="483"/>
      <c r="C4" s="482" t="s">
        <v>499</v>
      </c>
      <c r="D4" s="482" t="s">
        <v>500</v>
      </c>
      <c r="E4" s="482" t="s">
        <v>501</v>
      </c>
      <c r="F4" s="482" t="s">
        <v>502</v>
      </c>
      <c r="G4" s="482" t="s">
        <v>503</v>
      </c>
      <c r="H4" s="482" t="s">
        <v>504</v>
      </c>
    </row>
    <row r="5" spans="1:8" ht="34.049999999999997" customHeight="1">
      <c r="A5" s="854" t="s">
        <v>863</v>
      </c>
      <c r="B5" s="855"/>
      <c r="C5" s="868" t="s">
        <v>593</v>
      </c>
      <c r="D5" s="868"/>
      <c r="E5" s="868" t="s">
        <v>862</v>
      </c>
      <c r="F5" s="866" t="s">
        <v>861</v>
      </c>
      <c r="G5" s="866" t="s">
        <v>508</v>
      </c>
      <c r="H5" s="480" t="s">
        <v>860</v>
      </c>
    </row>
    <row r="6" spans="1:8" ht="24">
      <c r="A6" s="858"/>
      <c r="B6" s="859"/>
      <c r="C6" s="481" t="s">
        <v>509</v>
      </c>
      <c r="D6" s="481" t="s">
        <v>510</v>
      </c>
      <c r="E6" s="868"/>
      <c r="F6" s="867"/>
      <c r="G6" s="867"/>
      <c r="H6" s="480" t="s">
        <v>859</v>
      </c>
    </row>
    <row r="7" spans="1:8">
      <c r="A7" s="478">
        <v>1</v>
      </c>
      <c r="B7" s="466" t="s">
        <v>135</v>
      </c>
      <c r="C7" s="728"/>
      <c r="D7" s="728">
        <v>241775088.47000003</v>
      </c>
      <c r="E7" s="728">
        <v>144608.02251704797</v>
      </c>
      <c r="F7" s="728"/>
      <c r="G7" s="728"/>
      <c r="H7" s="472">
        <f t="shared" ref="H7:H20" si="0">C7+D7-E7-F7</f>
        <v>241630480.44748297</v>
      </c>
    </row>
    <row r="8" spans="1:8" ht="14.55" customHeight="1">
      <c r="A8" s="478">
        <v>2</v>
      </c>
      <c r="B8" s="466" t="s">
        <v>136</v>
      </c>
      <c r="C8" s="728"/>
      <c r="D8" s="728">
        <v>0</v>
      </c>
      <c r="E8" s="728"/>
      <c r="F8" s="728"/>
      <c r="G8" s="728"/>
      <c r="H8" s="472">
        <f t="shared" si="0"/>
        <v>0</v>
      </c>
    </row>
    <row r="9" spans="1:8">
      <c r="A9" s="478">
        <v>3</v>
      </c>
      <c r="B9" s="466" t="s">
        <v>137</v>
      </c>
      <c r="C9" s="728"/>
      <c r="D9" s="728">
        <v>0</v>
      </c>
      <c r="E9" s="728"/>
      <c r="F9" s="728"/>
      <c r="G9" s="728"/>
      <c r="H9" s="472">
        <f t="shared" si="0"/>
        <v>0</v>
      </c>
    </row>
    <row r="10" spans="1:8">
      <c r="A10" s="478">
        <v>4</v>
      </c>
      <c r="B10" s="466" t="s">
        <v>138</v>
      </c>
      <c r="C10" s="728"/>
      <c r="D10" s="728">
        <v>0</v>
      </c>
      <c r="E10" s="728"/>
      <c r="F10" s="728"/>
      <c r="G10" s="728"/>
      <c r="H10" s="472">
        <f t="shared" si="0"/>
        <v>0</v>
      </c>
    </row>
    <row r="11" spans="1:8">
      <c r="A11" s="478">
        <v>5</v>
      </c>
      <c r="B11" s="466" t="s">
        <v>941</v>
      </c>
      <c r="C11" s="728"/>
      <c r="D11" s="728">
        <v>0</v>
      </c>
      <c r="E11" s="728"/>
      <c r="F11" s="728"/>
      <c r="G11" s="728"/>
      <c r="H11" s="472">
        <f t="shared" si="0"/>
        <v>0</v>
      </c>
    </row>
    <row r="12" spans="1:8">
      <c r="A12" s="478">
        <v>6</v>
      </c>
      <c r="B12" s="466" t="s">
        <v>139</v>
      </c>
      <c r="C12" s="728"/>
      <c r="D12" s="728">
        <v>94750773.49000001</v>
      </c>
      <c r="E12" s="728">
        <v>13509.846298357426</v>
      </c>
      <c r="F12" s="728"/>
      <c r="G12" s="728"/>
      <c r="H12" s="472">
        <f t="shared" si="0"/>
        <v>94737263.643701658</v>
      </c>
    </row>
    <row r="13" spans="1:8">
      <c r="A13" s="478">
        <v>7</v>
      </c>
      <c r="B13" s="466" t="s">
        <v>72</v>
      </c>
      <c r="C13" s="728">
        <v>0</v>
      </c>
      <c r="D13" s="728">
        <v>71401460.606588647</v>
      </c>
      <c r="E13" s="728">
        <v>170227.70832579435</v>
      </c>
      <c r="F13" s="728"/>
      <c r="G13" s="728">
        <v>1306.4643659999999</v>
      </c>
      <c r="H13" s="472">
        <f t="shared" si="0"/>
        <v>71231232.898262858</v>
      </c>
    </row>
    <row r="14" spans="1:8">
      <c r="A14" s="478">
        <v>8</v>
      </c>
      <c r="B14" s="468" t="s">
        <v>73</v>
      </c>
      <c r="C14" s="728">
        <v>19725007.19946165</v>
      </c>
      <c r="D14" s="728">
        <v>2295965082.439394</v>
      </c>
      <c r="E14" s="728">
        <v>51443637.008017339</v>
      </c>
      <c r="F14" s="728"/>
      <c r="G14" s="728">
        <v>16691557.410406195</v>
      </c>
      <c r="H14" s="472">
        <f t="shared" si="0"/>
        <v>2264246452.6308379</v>
      </c>
    </row>
    <row r="15" spans="1:8">
      <c r="A15" s="478">
        <v>9</v>
      </c>
      <c r="B15" s="466" t="s">
        <v>942</v>
      </c>
      <c r="C15" s="728">
        <v>715556.81508147588</v>
      </c>
      <c r="D15" s="728">
        <v>154761772.0049125</v>
      </c>
      <c r="E15" s="728">
        <v>1071320.8402504008</v>
      </c>
      <c r="F15" s="728"/>
      <c r="G15" s="728">
        <v>17743.355597999991</v>
      </c>
      <c r="H15" s="472">
        <f t="shared" si="0"/>
        <v>154406007.97974357</v>
      </c>
    </row>
    <row r="16" spans="1:8">
      <c r="A16" s="478">
        <v>10</v>
      </c>
      <c r="B16" s="470" t="s">
        <v>511</v>
      </c>
      <c r="C16" s="728">
        <v>20377418.963070463</v>
      </c>
      <c r="D16" s="728">
        <v>0</v>
      </c>
      <c r="E16" s="728">
        <v>15866134.192958558</v>
      </c>
      <c r="F16" s="728"/>
      <c r="G16" s="728">
        <v>16710607.230370196</v>
      </c>
      <c r="H16" s="472">
        <f t="shared" si="0"/>
        <v>4511284.7701119054</v>
      </c>
    </row>
    <row r="17" spans="1:8">
      <c r="A17" s="478">
        <v>11</v>
      </c>
      <c r="B17" s="466" t="s">
        <v>69</v>
      </c>
      <c r="C17" s="728"/>
      <c r="D17" s="728"/>
      <c r="E17" s="728"/>
      <c r="F17" s="728"/>
      <c r="G17" s="728"/>
      <c r="H17" s="472">
        <f t="shared" si="0"/>
        <v>0</v>
      </c>
    </row>
    <row r="18" spans="1:8">
      <c r="A18" s="478">
        <v>12</v>
      </c>
      <c r="B18" s="466" t="s">
        <v>70</v>
      </c>
      <c r="C18" s="728"/>
      <c r="D18" s="728"/>
      <c r="E18" s="728"/>
      <c r="F18" s="728"/>
      <c r="G18" s="728"/>
      <c r="H18" s="472">
        <f t="shared" si="0"/>
        <v>0</v>
      </c>
    </row>
    <row r="19" spans="1:8">
      <c r="A19" s="479">
        <v>13</v>
      </c>
      <c r="B19" s="468" t="s">
        <v>71</v>
      </c>
      <c r="C19" s="728"/>
      <c r="D19" s="728"/>
      <c r="E19" s="728"/>
      <c r="F19" s="728"/>
      <c r="G19" s="728"/>
      <c r="H19" s="472">
        <f t="shared" si="0"/>
        <v>0</v>
      </c>
    </row>
    <row r="20" spans="1:8">
      <c r="A20" s="478">
        <v>14</v>
      </c>
      <c r="B20" s="466" t="s">
        <v>497</v>
      </c>
      <c r="C20" s="728"/>
      <c r="D20" s="728">
        <f>250061286.830228-143044</f>
        <v>249918242.830228</v>
      </c>
      <c r="E20" s="728">
        <v>7195918.7211845936</v>
      </c>
      <c r="F20" s="728"/>
      <c r="G20" s="728"/>
      <c r="H20" s="472">
        <f t="shared" si="0"/>
        <v>242722324.10904342</v>
      </c>
    </row>
    <row r="21" spans="1:8" s="380" customFormat="1">
      <c r="A21" s="477">
        <v>15</v>
      </c>
      <c r="B21" s="476" t="s">
        <v>67</v>
      </c>
      <c r="C21" s="729">
        <f t="shared" ref="C21:H21" si="1">SUM(C7:C15)+SUM(C17:C20)</f>
        <v>20440564.014543127</v>
      </c>
      <c r="D21" s="729">
        <f t="shared" si="1"/>
        <v>3108572419.8411231</v>
      </c>
      <c r="E21" s="729">
        <f t="shared" si="1"/>
        <v>60039222.146593541</v>
      </c>
      <c r="F21" s="729">
        <f t="shared" si="1"/>
        <v>0</v>
      </c>
      <c r="G21" s="729">
        <f t="shared" si="1"/>
        <v>16710607.230370196</v>
      </c>
      <c r="H21" s="472">
        <f t="shared" si="1"/>
        <v>3068973761.7090726</v>
      </c>
    </row>
    <row r="22" spans="1:8">
      <c r="A22" s="475">
        <v>16</v>
      </c>
      <c r="B22" s="474" t="s">
        <v>512</v>
      </c>
      <c r="C22" s="728">
        <v>20440564.014543127</v>
      </c>
      <c r="D22" s="728">
        <v>2522128315.0508952</v>
      </c>
      <c r="E22" s="728">
        <v>52685185.556593537</v>
      </c>
      <c r="F22" s="728"/>
      <c r="G22" s="728">
        <v>16710607.230370196</v>
      </c>
      <c r="H22" s="472">
        <f>C22+D22-E22-F22</f>
        <v>2489883693.5088449</v>
      </c>
    </row>
    <row r="23" spans="1:8">
      <c r="A23" s="475">
        <v>17</v>
      </c>
      <c r="B23" s="474" t="s">
        <v>513</v>
      </c>
      <c r="C23" s="728"/>
      <c r="D23" s="728">
        <v>57620919.790000007</v>
      </c>
      <c r="E23" s="728">
        <v>98465.42</v>
      </c>
      <c r="F23" s="728"/>
      <c r="G23" s="728"/>
      <c r="H23" s="472">
        <f>C23+D23-E23-F23</f>
        <v>57522454.370000005</v>
      </c>
    </row>
    <row r="26" spans="1:8" ht="42.45" customHeight="1">
      <c r="B26" s="393" t="s">
        <v>675</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36"/>
  <sheetViews>
    <sheetView showGridLines="0" topLeftCell="C5" zoomScale="80" zoomScaleNormal="80" workbookViewId="0">
      <selection activeCell="D33" sqref="D33"/>
    </sheetView>
  </sheetViews>
  <sheetFormatPr defaultColWidth="9.21875" defaultRowHeight="12"/>
  <cols>
    <col min="1" max="1" width="11" style="376" bestFit="1" customWidth="1"/>
    <col min="2" max="2" width="93.44140625" style="376" customWidth="1"/>
    <col min="3" max="4" width="35" style="376" customWidth="1"/>
    <col min="5" max="7" width="22" style="376" customWidth="1"/>
    <col min="8" max="8" width="42.21875" style="376" bestFit="1" customWidth="1"/>
    <col min="9" max="16384" width="9.21875" style="376"/>
  </cols>
  <sheetData>
    <row r="1" spans="1:8" ht="13.8">
      <c r="A1" s="375" t="s">
        <v>109</v>
      </c>
      <c r="B1" s="306" t="str">
        <f>Info!C2</f>
        <v>კრედო</v>
      </c>
      <c r="C1" s="483"/>
      <c r="D1" s="483"/>
      <c r="E1" s="483"/>
      <c r="F1" s="483"/>
      <c r="G1" s="483"/>
      <c r="H1" s="483"/>
    </row>
    <row r="2" spans="1:8">
      <c r="A2" s="375" t="s">
        <v>110</v>
      </c>
      <c r="B2" s="378">
        <f>'1. key ratios'!B2</f>
        <v>45657</v>
      </c>
      <c r="C2" s="483"/>
      <c r="D2" s="483"/>
      <c r="E2" s="483"/>
      <c r="F2" s="483"/>
      <c r="G2" s="483"/>
      <c r="H2" s="483"/>
    </row>
    <row r="3" spans="1:8">
      <c r="A3" s="377" t="s">
        <v>514</v>
      </c>
      <c r="B3" s="483"/>
      <c r="C3" s="483"/>
      <c r="D3" s="483"/>
      <c r="E3" s="483"/>
      <c r="F3" s="483"/>
      <c r="G3" s="483"/>
      <c r="H3" s="483"/>
    </row>
    <row r="4" spans="1:8">
      <c r="A4" s="483"/>
      <c r="B4" s="483"/>
      <c r="C4" s="482" t="s">
        <v>499</v>
      </c>
      <c r="D4" s="482" t="s">
        <v>500</v>
      </c>
      <c r="E4" s="482" t="s">
        <v>501</v>
      </c>
      <c r="F4" s="482" t="s">
        <v>502</v>
      </c>
      <c r="G4" s="482" t="s">
        <v>503</v>
      </c>
      <c r="H4" s="482" t="s">
        <v>504</v>
      </c>
    </row>
    <row r="5" spans="1:8" ht="41.55" customHeight="1">
      <c r="A5" s="854" t="s">
        <v>865</v>
      </c>
      <c r="B5" s="855"/>
      <c r="C5" s="869" t="s">
        <v>593</v>
      </c>
      <c r="D5" s="870"/>
      <c r="E5" s="866" t="s">
        <v>862</v>
      </c>
      <c r="F5" s="866" t="s">
        <v>861</v>
      </c>
      <c r="G5" s="866" t="s">
        <v>508</v>
      </c>
      <c r="H5" s="480" t="s">
        <v>860</v>
      </c>
    </row>
    <row r="6" spans="1:8" ht="24">
      <c r="A6" s="858"/>
      <c r="B6" s="859"/>
      <c r="C6" s="481" t="s">
        <v>509</v>
      </c>
      <c r="D6" s="481" t="s">
        <v>510</v>
      </c>
      <c r="E6" s="867"/>
      <c r="F6" s="867"/>
      <c r="G6" s="867"/>
      <c r="H6" s="480" t="s">
        <v>859</v>
      </c>
    </row>
    <row r="7" spans="1:8">
      <c r="A7" s="473">
        <v>1</v>
      </c>
      <c r="B7" s="486" t="s">
        <v>515</v>
      </c>
      <c r="C7" s="728">
        <v>126586.09</v>
      </c>
      <c r="D7" s="728">
        <v>264961691.66000003</v>
      </c>
      <c r="E7" s="728">
        <v>524941.68251704797</v>
      </c>
      <c r="F7" s="473"/>
      <c r="G7" s="728">
        <v>119206.46507599996</v>
      </c>
      <c r="H7" s="730">
        <f t="shared" ref="H7:H34" si="0">C7+D7-E7-F7</f>
        <v>264563336.06748298</v>
      </c>
    </row>
    <row r="8" spans="1:8">
      <c r="A8" s="473">
        <v>2</v>
      </c>
      <c r="B8" s="486" t="s">
        <v>516</v>
      </c>
      <c r="C8" s="728">
        <v>59947.87</v>
      </c>
      <c r="D8" s="728">
        <v>109780954.65881543</v>
      </c>
      <c r="E8" s="728">
        <v>240987.24629835741</v>
      </c>
      <c r="F8" s="473"/>
      <c r="G8" s="728">
        <v>20022.53</v>
      </c>
      <c r="H8" s="730">
        <f t="shared" si="0"/>
        <v>109599915.28251708</v>
      </c>
    </row>
    <row r="9" spans="1:8">
      <c r="A9" s="473">
        <v>3</v>
      </c>
      <c r="B9" s="486" t="s">
        <v>864</v>
      </c>
      <c r="C9" s="728">
        <v>76869.820000000007</v>
      </c>
      <c r="D9" s="728">
        <v>7257967.54</v>
      </c>
      <c r="E9" s="728">
        <v>168316.63</v>
      </c>
      <c r="F9" s="473"/>
      <c r="G9" s="728">
        <v>45338.020000000004</v>
      </c>
      <c r="H9" s="730">
        <f t="shared" si="0"/>
        <v>7166520.7300000004</v>
      </c>
    </row>
    <row r="10" spans="1:8">
      <c r="A10" s="473">
        <v>4</v>
      </c>
      <c r="B10" s="486" t="s">
        <v>517</v>
      </c>
      <c r="C10" s="728">
        <v>0</v>
      </c>
      <c r="D10" s="728">
        <v>26465151.430000003</v>
      </c>
      <c r="E10" s="728">
        <v>65765.759999999995</v>
      </c>
      <c r="F10" s="473"/>
      <c r="G10" s="728">
        <v>6977.4817800000001</v>
      </c>
      <c r="H10" s="730">
        <f t="shared" si="0"/>
        <v>26399385.670000002</v>
      </c>
    </row>
    <row r="11" spans="1:8">
      <c r="A11" s="473">
        <v>5</v>
      </c>
      <c r="B11" s="486" t="s">
        <v>518</v>
      </c>
      <c r="C11" s="728">
        <v>30950.11</v>
      </c>
      <c r="D11" s="728">
        <v>41180341.43</v>
      </c>
      <c r="E11" s="728">
        <v>220346.44</v>
      </c>
      <c r="F11" s="473"/>
      <c r="G11" s="728">
        <v>1309.1426069999998</v>
      </c>
      <c r="H11" s="730">
        <f t="shared" si="0"/>
        <v>40990945.100000001</v>
      </c>
    </row>
    <row r="12" spans="1:8">
      <c r="A12" s="473">
        <v>6</v>
      </c>
      <c r="B12" s="486" t="s">
        <v>519</v>
      </c>
      <c r="C12" s="728">
        <v>81425.55</v>
      </c>
      <c r="D12" s="728">
        <v>12279765.82</v>
      </c>
      <c r="E12" s="728">
        <v>247674.62</v>
      </c>
      <c r="F12" s="473"/>
      <c r="G12" s="728">
        <v>82148.549999999974</v>
      </c>
      <c r="H12" s="730">
        <f t="shared" si="0"/>
        <v>12113516.750000002</v>
      </c>
    </row>
    <row r="13" spans="1:8">
      <c r="A13" s="473">
        <v>7</v>
      </c>
      <c r="B13" s="486" t="s">
        <v>520</v>
      </c>
      <c r="C13" s="728">
        <v>58510.74</v>
      </c>
      <c r="D13" s="728">
        <v>4089610.5</v>
      </c>
      <c r="E13" s="728">
        <v>122458.62</v>
      </c>
      <c r="F13" s="473"/>
      <c r="G13" s="728">
        <v>52646.32</v>
      </c>
      <c r="H13" s="730">
        <f t="shared" si="0"/>
        <v>4025662.62</v>
      </c>
    </row>
    <row r="14" spans="1:8">
      <c r="A14" s="473">
        <v>8</v>
      </c>
      <c r="B14" s="486" t="s">
        <v>521</v>
      </c>
      <c r="C14" s="728">
        <v>1628304.72</v>
      </c>
      <c r="D14" s="728">
        <v>185880471.91</v>
      </c>
      <c r="E14" s="728">
        <v>3574022.28</v>
      </c>
      <c r="F14" s="473"/>
      <c r="G14" s="728">
        <v>1071708.5702940021</v>
      </c>
      <c r="H14" s="730">
        <f t="shared" si="0"/>
        <v>183934754.34999999</v>
      </c>
    </row>
    <row r="15" spans="1:8">
      <c r="A15" s="473">
        <v>9</v>
      </c>
      <c r="B15" s="486" t="s">
        <v>522</v>
      </c>
      <c r="C15" s="728">
        <v>166407.71</v>
      </c>
      <c r="D15" s="728">
        <v>35823660.520000003</v>
      </c>
      <c r="E15" s="728">
        <v>600361.37</v>
      </c>
      <c r="F15" s="473"/>
      <c r="G15" s="728">
        <v>231174.4057319999</v>
      </c>
      <c r="H15" s="730">
        <f t="shared" si="0"/>
        <v>35389706.860000007</v>
      </c>
    </row>
    <row r="16" spans="1:8">
      <c r="A16" s="473">
        <v>10</v>
      </c>
      <c r="B16" s="486" t="s">
        <v>523</v>
      </c>
      <c r="C16" s="728">
        <v>53991.61</v>
      </c>
      <c r="D16" s="728">
        <v>16660607.050000001</v>
      </c>
      <c r="E16" s="728">
        <v>253122.6</v>
      </c>
      <c r="F16" s="473"/>
      <c r="G16" s="728">
        <v>104739.29999999994</v>
      </c>
      <c r="H16" s="730">
        <f t="shared" si="0"/>
        <v>16461476.060000001</v>
      </c>
    </row>
    <row r="17" spans="1:8">
      <c r="A17" s="473">
        <v>11</v>
      </c>
      <c r="B17" s="486" t="s">
        <v>524</v>
      </c>
      <c r="C17" s="728">
        <v>56679.840000000004</v>
      </c>
      <c r="D17" s="728">
        <v>8253708.4699999997</v>
      </c>
      <c r="E17" s="728">
        <v>155266.84</v>
      </c>
      <c r="F17" s="473"/>
      <c r="G17" s="728">
        <v>11993.78</v>
      </c>
      <c r="H17" s="730">
        <f t="shared" si="0"/>
        <v>8155121.4699999997</v>
      </c>
    </row>
    <row r="18" spans="1:8">
      <c r="A18" s="473">
        <v>12</v>
      </c>
      <c r="B18" s="486" t="s">
        <v>525</v>
      </c>
      <c r="C18" s="728">
        <v>824412.9</v>
      </c>
      <c r="D18" s="728">
        <v>136109430.46000001</v>
      </c>
      <c r="E18" s="728">
        <v>2340815.1799999997</v>
      </c>
      <c r="F18" s="473"/>
      <c r="G18" s="728">
        <v>522798.44520599989</v>
      </c>
      <c r="H18" s="730">
        <f t="shared" si="0"/>
        <v>134593028.18000001</v>
      </c>
    </row>
    <row r="19" spans="1:8">
      <c r="A19" s="473">
        <v>13</v>
      </c>
      <c r="B19" s="486" t="s">
        <v>526</v>
      </c>
      <c r="C19" s="728">
        <v>121817.65</v>
      </c>
      <c r="D19" s="728">
        <v>21793672</v>
      </c>
      <c r="E19" s="728">
        <v>457660.26</v>
      </c>
      <c r="F19" s="473"/>
      <c r="G19" s="728">
        <v>116050.47258600009</v>
      </c>
      <c r="H19" s="730">
        <f t="shared" si="0"/>
        <v>21457829.389999997</v>
      </c>
    </row>
    <row r="20" spans="1:8">
      <c r="A20" s="473">
        <v>14</v>
      </c>
      <c r="B20" s="486" t="s">
        <v>527</v>
      </c>
      <c r="C20" s="728">
        <v>150642.48000000001</v>
      </c>
      <c r="D20" s="728">
        <v>70051707.780000001</v>
      </c>
      <c r="E20" s="728">
        <v>603778.25</v>
      </c>
      <c r="F20" s="473"/>
      <c r="G20" s="728">
        <v>206265.62000000008</v>
      </c>
      <c r="H20" s="730">
        <f t="shared" si="0"/>
        <v>69598572.010000005</v>
      </c>
    </row>
    <row r="21" spans="1:8">
      <c r="A21" s="473">
        <v>15</v>
      </c>
      <c r="B21" s="486" t="s">
        <v>528</v>
      </c>
      <c r="C21" s="728">
        <v>628301.93000000005</v>
      </c>
      <c r="D21" s="728">
        <v>48370759.410000004</v>
      </c>
      <c r="E21" s="728">
        <v>1145686.92</v>
      </c>
      <c r="F21" s="473"/>
      <c r="G21" s="728">
        <v>271690.95887500001</v>
      </c>
      <c r="H21" s="730">
        <f t="shared" si="0"/>
        <v>47853374.420000002</v>
      </c>
    </row>
    <row r="22" spans="1:8">
      <c r="A22" s="473">
        <v>16</v>
      </c>
      <c r="B22" s="486" t="s">
        <v>529</v>
      </c>
      <c r="C22" s="728">
        <v>84703.33</v>
      </c>
      <c r="D22" s="728">
        <v>13364939.76</v>
      </c>
      <c r="E22" s="728">
        <v>221316.15</v>
      </c>
      <c r="F22" s="473"/>
      <c r="G22" s="728">
        <v>42048.130000000019</v>
      </c>
      <c r="H22" s="730">
        <f t="shared" si="0"/>
        <v>13228326.939999999</v>
      </c>
    </row>
    <row r="23" spans="1:8">
      <c r="A23" s="473">
        <v>17</v>
      </c>
      <c r="B23" s="486" t="s">
        <v>530</v>
      </c>
      <c r="C23" s="728">
        <v>5838.81</v>
      </c>
      <c r="D23" s="728">
        <v>1003554.49</v>
      </c>
      <c r="E23" s="728">
        <v>24074.9</v>
      </c>
      <c r="F23" s="473"/>
      <c r="G23" s="728">
        <v>2400.21</v>
      </c>
      <c r="H23" s="730">
        <f t="shared" si="0"/>
        <v>985318.40000000002</v>
      </c>
    </row>
    <row r="24" spans="1:8">
      <c r="A24" s="473">
        <v>18</v>
      </c>
      <c r="B24" s="486" t="s">
        <v>531</v>
      </c>
      <c r="C24" s="728">
        <v>2960.19</v>
      </c>
      <c r="D24" s="728">
        <v>3794801.5</v>
      </c>
      <c r="E24" s="728">
        <v>63586.93</v>
      </c>
      <c r="F24" s="473"/>
      <c r="G24" s="728">
        <v>5632.62</v>
      </c>
      <c r="H24" s="730">
        <f t="shared" si="0"/>
        <v>3734174.76</v>
      </c>
    </row>
    <row r="25" spans="1:8">
      <c r="A25" s="473">
        <v>19</v>
      </c>
      <c r="B25" s="486" t="s">
        <v>532</v>
      </c>
      <c r="C25" s="728">
        <v>9889.11</v>
      </c>
      <c r="D25" s="728">
        <v>7234162.2999999998</v>
      </c>
      <c r="E25" s="728">
        <v>98390.8</v>
      </c>
      <c r="F25" s="473"/>
      <c r="G25" s="728">
        <v>15211.709999999997</v>
      </c>
      <c r="H25" s="730">
        <f t="shared" si="0"/>
        <v>7145660.6100000003</v>
      </c>
    </row>
    <row r="26" spans="1:8">
      <c r="A26" s="473">
        <v>20</v>
      </c>
      <c r="B26" s="486" t="s">
        <v>533</v>
      </c>
      <c r="C26" s="728">
        <v>34559.39</v>
      </c>
      <c r="D26" s="728">
        <v>19924562.75</v>
      </c>
      <c r="E26" s="728">
        <v>208987.55000000002</v>
      </c>
      <c r="F26" s="473"/>
      <c r="G26" s="728">
        <v>25779.359999999997</v>
      </c>
      <c r="H26" s="730">
        <f t="shared" si="0"/>
        <v>19750134.59</v>
      </c>
    </row>
    <row r="27" spans="1:8">
      <c r="A27" s="473">
        <v>21</v>
      </c>
      <c r="B27" s="486" t="s">
        <v>534</v>
      </c>
      <c r="C27" s="728">
        <v>219.48</v>
      </c>
      <c r="D27" s="728">
        <v>2286874.5100000002</v>
      </c>
      <c r="E27" s="728">
        <v>19849.84</v>
      </c>
      <c r="F27" s="473"/>
      <c r="G27" s="728">
        <v>7862.1</v>
      </c>
      <c r="H27" s="730">
        <f t="shared" si="0"/>
        <v>2267244.1500000004</v>
      </c>
    </row>
    <row r="28" spans="1:8">
      <c r="A28" s="473">
        <v>22</v>
      </c>
      <c r="B28" s="486" t="s">
        <v>535</v>
      </c>
      <c r="C28" s="728">
        <v>19926.689999999999</v>
      </c>
      <c r="D28" s="728">
        <v>1304854.6099999999</v>
      </c>
      <c r="E28" s="728">
        <v>31410.12</v>
      </c>
      <c r="F28" s="473"/>
      <c r="G28" s="728">
        <v>11484.129999999997</v>
      </c>
      <c r="H28" s="730">
        <f t="shared" si="0"/>
        <v>1293371.1799999997</v>
      </c>
    </row>
    <row r="29" spans="1:8">
      <c r="A29" s="473">
        <v>23</v>
      </c>
      <c r="B29" s="486" t="s">
        <v>536</v>
      </c>
      <c r="C29" s="728">
        <v>5253563.38</v>
      </c>
      <c r="D29" s="728">
        <v>604418599.36000001</v>
      </c>
      <c r="E29" s="728">
        <v>13915659.059999999</v>
      </c>
      <c r="F29" s="473"/>
      <c r="G29" s="728">
        <v>4336451.8571510203</v>
      </c>
      <c r="H29" s="730">
        <f t="shared" si="0"/>
        <v>595756503.68000007</v>
      </c>
    </row>
    <row r="30" spans="1:8">
      <c r="A30" s="473">
        <v>24</v>
      </c>
      <c r="B30" s="486" t="s">
        <v>537</v>
      </c>
      <c r="C30" s="728">
        <v>8249412.1100000003</v>
      </c>
      <c r="D30" s="728">
        <v>904332952.21000004</v>
      </c>
      <c r="E30" s="728">
        <v>20982641.270000003</v>
      </c>
      <c r="F30" s="473"/>
      <c r="G30" s="728">
        <v>7097372.6764289746</v>
      </c>
      <c r="H30" s="730">
        <f t="shared" si="0"/>
        <v>891599723.05000007</v>
      </c>
    </row>
    <row r="31" spans="1:8">
      <c r="A31" s="473">
        <v>25</v>
      </c>
      <c r="B31" s="486" t="s">
        <v>538</v>
      </c>
      <c r="C31" s="728">
        <v>2082171.52</v>
      </c>
      <c r="D31" s="728">
        <v>240806804.15000001</v>
      </c>
      <c r="E31" s="728">
        <v>4820394.2300000004</v>
      </c>
      <c r="F31" s="473"/>
      <c r="G31" s="728">
        <v>1887238.9600151973</v>
      </c>
      <c r="H31" s="730">
        <f t="shared" si="0"/>
        <v>238068581.44000003</v>
      </c>
    </row>
    <row r="32" spans="1:8">
      <c r="A32" s="473">
        <v>26</v>
      </c>
      <c r="B32" s="486" t="s">
        <v>539</v>
      </c>
      <c r="C32" s="728">
        <v>632470.99</v>
      </c>
      <c r="D32" s="728">
        <v>71222570.75</v>
      </c>
      <c r="E32" s="728">
        <v>1735787.86</v>
      </c>
      <c r="F32" s="473"/>
      <c r="G32" s="728">
        <v>415055.41461900022</v>
      </c>
      <c r="H32" s="730">
        <f t="shared" si="0"/>
        <v>70119253.879999995</v>
      </c>
    </row>
    <row r="33" spans="1:8">
      <c r="A33" s="473">
        <v>27</v>
      </c>
      <c r="B33" s="473" t="s">
        <v>100</v>
      </c>
      <c r="C33" s="728"/>
      <c r="D33" s="728">
        <v>249918242.830228</v>
      </c>
      <c r="E33" s="728">
        <v>7195918.7211845936</v>
      </c>
      <c r="F33" s="473"/>
      <c r="G33" s="728"/>
      <c r="H33" s="730">
        <f t="shared" si="0"/>
        <v>242722324.10904342</v>
      </c>
    </row>
    <row r="34" spans="1:8">
      <c r="A34" s="473">
        <v>28</v>
      </c>
      <c r="B34" s="476" t="s">
        <v>67</v>
      </c>
      <c r="C34" s="729">
        <f>SUM(C7:C33)</f>
        <v>20440564.02</v>
      </c>
      <c r="D34" s="729">
        <f>SUM(D7:D33)</f>
        <v>3108572419.8590436</v>
      </c>
      <c r="E34" s="729">
        <f>SUM(E7:E33)</f>
        <v>60039222.13000001</v>
      </c>
      <c r="F34" s="729">
        <f>SUM(F7:F33)</f>
        <v>0</v>
      </c>
      <c r="G34" s="729">
        <f>SUM(G7:G33)</f>
        <v>16710607.230370196</v>
      </c>
      <c r="H34" s="730">
        <f t="shared" si="0"/>
        <v>3068973761.7490435</v>
      </c>
    </row>
    <row r="36" spans="1:8">
      <c r="B36" s="381"/>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5"/>
  <sheetViews>
    <sheetView showGridLines="0" zoomScale="90" zoomScaleNormal="90" workbookViewId="0">
      <selection activeCell="C6" sqref="C6:C15"/>
    </sheetView>
  </sheetViews>
  <sheetFormatPr defaultColWidth="9.21875" defaultRowHeight="12"/>
  <cols>
    <col min="1" max="1" width="11.77734375" style="376" bestFit="1" customWidth="1"/>
    <col min="2" max="2" width="108" style="376" bestFit="1" customWidth="1"/>
    <col min="3" max="3" width="35.5546875" style="376" customWidth="1"/>
    <col min="4" max="4" width="38.44140625" style="376" customWidth="1"/>
    <col min="5" max="16384" width="9.21875" style="376"/>
  </cols>
  <sheetData>
    <row r="1" spans="1:4" ht="13.8">
      <c r="A1" s="375" t="s">
        <v>109</v>
      </c>
      <c r="B1" s="306" t="str">
        <f>Info!C2</f>
        <v>კრედო</v>
      </c>
    </row>
    <row r="2" spans="1:4">
      <c r="A2" s="375" t="s">
        <v>110</v>
      </c>
      <c r="B2" s="378">
        <f>'1. key ratios'!B2</f>
        <v>45657</v>
      </c>
    </row>
    <row r="3" spans="1:4">
      <c r="A3" s="377" t="s">
        <v>540</v>
      </c>
    </row>
    <row r="5" spans="1:4">
      <c r="A5" s="871" t="s">
        <v>876</v>
      </c>
      <c r="B5" s="871"/>
      <c r="C5" s="496" t="s">
        <v>559</v>
      </c>
      <c r="D5" s="496" t="s">
        <v>875</v>
      </c>
    </row>
    <row r="6" spans="1:4">
      <c r="A6" s="495">
        <v>1</v>
      </c>
      <c r="B6" s="488" t="s">
        <v>874</v>
      </c>
      <c r="C6" s="731">
        <v>50687248.560489103</v>
      </c>
      <c r="D6" s="490"/>
    </row>
    <row r="7" spans="1:4">
      <c r="A7" s="492">
        <v>2</v>
      </c>
      <c r="B7" s="488" t="s">
        <v>873</v>
      </c>
      <c r="C7" s="732">
        <f>SUM(C8:C9)</f>
        <v>41819159.814250045</v>
      </c>
      <c r="D7" s="490">
        <f>SUM(D8:D9)</f>
        <v>0</v>
      </c>
    </row>
    <row r="8" spans="1:4">
      <c r="A8" s="494">
        <v>2.1</v>
      </c>
      <c r="B8" s="493" t="s">
        <v>872</v>
      </c>
      <c r="C8" s="731">
        <v>6370785.2851262186</v>
      </c>
      <c r="D8" s="490"/>
    </row>
    <row r="9" spans="1:4">
      <c r="A9" s="494">
        <v>2.2000000000000002</v>
      </c>
      <c r="B9" s="493" t="s">
        <v>871</v>
      </c>
      <c r="C9" s="731">
        <v>35448374.529123828</v>
      </c>
      <c r="D9" s="490"/>
    </row>
    <row r="10" spans="1:4">
      <c r="A10" s="495">
        <v>3</v>
      </c>
      <c r="B10" s="488" t="s">
        <v>870</v>
      </c>
      <c r="C10" s="732">
        <f>SUM(C11:C13)</f>
        <v>39826969.317813389</v>
      </c>
      <c r="D10" s="490">
        <f>SUM(D11:D13)</f>
        <v>0</v>
      </c>
    </row>
    <row r="11" spans="1:4">
      <c r="A11" s="494">
        <v>3.1</v>
      </c>
      <c r="B11" s="493" t="s">
        <v>541</v>
      </c>
      <c r="C11" s="731">
        <v>16710607.230370127</v>
      </c>
      <c r="D11" s="490"/>
    </row>
    <row r="12" spans="1:4">
      <c r="A12" s="494">
        <v>3.2</v>
      </c>
      <c r="B12" s="493" t="s">
        <v>869</v>
      </c>
      <c r="C12" s="731">
        <v>8237642.2866787612</v>
      </c>
      <c r="D12" s="490"/>
    </row>
    <row r="13" spans="1:4">
      <c r="A13" s="494">
        <v>3.3</v>
      </c>
      <c r="B13" s="493" t="s">
        <v>868</v>
      </c>
      <c r="C13" s="731">
        <v>14878719.800764501</v>
      </c>
      <c r="D13" s="490"/>
    </row>
    <row r="14" spans="1:4">
      <c r="A14" s="492">
        <v>4</v>
      </c>
      <c r="B14" s="491" t="s">
        <v>867</v>
      </c>
      <c r="C14" s="731">
        <v>5746.4996692928544</v>
      </c>
      <c r="D14" s="490"/>
    </row>
    <row r="15" spans="1:4">
      <c r="A15" s="489">
        <v>5</v>
      </c>
      <c r="B15" s="488" t="s">
        <v>866</v>
      </c>
      <c r="C15" s="732">
        <f>C6+C7-C10+C14</f>
        <v>52685185.556595042</v>
      </c>
      <c r="D15" s="487">
        <f>D6+D7-D10+D14</f>
        <v>0</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23"/>
  <sheetViews>
    <sheetView showGridLines="0" zoomScale="80" zoomScaleNormal="80" workbookViewId="0">
      <selection activeCell="C7" sqref="C7:C18"/>
    </sheetView>
  </sheetViews>
  <sheetFormatPr defaultColWidth="9.21875" defaultRowHeight="12"/>
  <cols>
    <col min="1" max="1" width="11.77734375" style="483" bestFit="1" customWidth="1"/>
    <col min="2" max="2" width="128.88671875" style="483" bestFit="1" customWidth="1"/>
    <col min="3" max="3" width="37" style="483" customWidth="1"/>
    <col min="4" max="4" width="50.5546875" style="483" customWidth="1"/>
    <col min="5" max="16384" width="9.21875" style="483"/>
  </cols>
  <sheetData>
    <row r="1" spans="1:4" ht="13.8">
      <c r="A1" s="375" t="s">
        <v>109</v>
      </c>
      <c r="B1" s="306" t="str">
        <f>Info!C2</f>
        <v>კრედო</v>
      </c>
    </row>
    <row r="2" spans="1:4">
      <c r="A2" s="375" t="s">
        <v>110</v>
      </c>
      <c r="B2" s="378">
        <f>'1. key ratios'!B2</f>
        <v>45657</v>
      </c>
    </row>
    <row r="3" spans="1:4">
      <c r="A3" s="377" t="s">
        <v>542</v>
      </c>
    </row>
    <row r="4" spans="1:4">
      <c r="A4" s="377"/>
    </row>
    <row r="5" spans="1:4" ht="15" customHeight="1">
      <c r="A5" s="872" t="s">
        <v>543</v>
      </c>
      <c r="B5" s="873"/>
      <c r="C5" s="876" t="s">
        <v>544</v>
      </c>
      <c r="D5" s="876" t="s">
        <v>545</v>
      </c>
    </row>
    <row r="6" spans="1:4">
      <c r="A6" s="874"/>
      <c r="B6" s="875"/>
      <c r="C6" s="876"/>
      <c r="D6" s="876"/>
    </row>
    <row r="7" spans="1:4">
      <c r="A7" s="476">
        <v>1</v>
      </c>
      <c r="B7" s="476" t="s">
        <v>546</v>
      </c>
      <c r="C7" s="729">
        <v>23886793.46790608</v>
      </c>
      <c r="D7" s="497"/>
    </row>
    <row r="8" spans="1:4">
      <c r="A8" s="473">
        <v>2</v>
      </c>
      <c r="B8" s="473" t="s">
        <v>547</v>
      </c>
      <c r="C8" s="728">
        <v>21217103.405778863</v>
      </c>
      <c r="D8" s="497"/>
    </row>
    <row r="9" spans="1:4">
      <c r="A9" s="473">
        <v>3</v>
      </c>
      <c r="B9" s="500" t="s">
        <v>548</v>
      </c>
      <c r="C9" s="728">
        <v>11257.235987243141</v>
      </c>
      <c r="D9" s="497"/>
    </row>
    <row r="10" spans="1:4">
      <c r="A10" s="473">
        <v>4</v>
      </c>
      <c r="B10" s="473" t="s">
        <v>549</v>
      </c>
      <c r="C10" s="729">
        <f>SUM(C11:C17)</f>
        <v>24674590.095108598</v>
      </c>
      <c r="D10" s="497"/>
    </row>
    <row r="11" spans="1:4">
      <c r="A11" s="473">
        <v>5</v>
      </c>
      <c r="B11" s="499" t="s">
        <v>877</v>
      </c>
      <c r="C11" s="728"/>
      <c r="D11" s="497"/>
    </row>
    <row r="12" spans="1:4">
      <c r="A12" s="473">
        <v>6</v>
      </c>
      <c r="B12" s="499" t="s">
        <v>550</v>
      </c>
      <c r="C12" s="728">
        <v>1861361.9900000002</v>
      </c>
      <c r="D12" s="497"/>
    </row>
    <row r="13" spans="1:4">
      <c r="A13" s="473">
        <v>7</v>
      </c>
      <c r="B13" s="499" t="s">
        <v>553</v>
      </c>
      <c r="C13" s="728">
        <v>16710607.230370127</v>
      </c>
      <c r="D13" s="497"/>
    </row>
    <row r="14" spans="1:4">
      <c r="A14" s="473">
        <v>8</v>
      </c>
      <c r="B14" s="499" t="s">
        <v>551</v>
      </c>
      <c r="C14" s="728"/>
      <c r="D14" s="473"/>
    </row>
    <row r="15" spans="1:4">
      <c r="A15" s="473">
        <v>9</v>
      </c>
      <c r="B15" s="499" t="s">
        <v>552</v>
      </c>
      <c r="C15" s="728"/>
      <c r="D15" s="473"/>
    </row>
    <row r="16" spans="1:4">
      <c r="A16" s="473">
        <v>10</v>
      </c>
      <c r="B16" s="499" t="s">
        <v>554</v>
      </c>
      <c r="C16" s="728">
        <v>6102620.8747384688</v>
      </c>
      <c r="D16" s="473"/>
    </row>
    <row r="17" spans="1:4">
      <c r="A17" s="473">
        <v>11</v>
      </c>
      <c r="B17" s="499" t="s">
        <v>555</v>
      </c>
      <c r="C17" s="728"/>
      <c r="D17" s="497"/>
    </row>
    <row r="18" spans="1:4">
      <c r="A18" s="476">
        <v>12</v>
      </c>
      <c r="B18" s="498" t="s">
        <v>556</v>
      </c>
      <c r="C18" s="729">
        <f>C7+C8+C9-C10</f>
        <v>20440564.01456359</v>
      </c>
      <c r="D18" s="497"/>
    </row>
    <row r="21" spans="1:4">
      <c r="B21" s="375"/>
    </row>
    <row r="22" spans="1:4">
      <c r="B22" s="375"/>
    </row>
    <row r="23" spans="1:4">
      <c r="B23" s="377"/>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AB32"/>
  <sheetViews>
    <sheetView showGridLines="0" topLeftCell="A6" zoomScale="90" zoomScaleNormal="90" workbookViewId="0">
      <selection activeCell="C34" sqref="C34"/>
    </sheetView>
  </sheetViews>
  <sheetFormatPr defaultColWidth="9.21875" defaultRowHeight="12"/>
  <cols>
    <col min="1" max="1" width="11.77734375" style="483" bestFit="1" customWidth="1"/>
    <col min="2" max="2" width="63.88671875" style="483" customWidth="1"/>
    <col min="3" max="3" width="15.5546875" style="483" customWidth="1"/>
    <col min="4" max="18" width="22.21875" style="483" customWidth="1"/>
    <col min="19" max="19" width="23.21875" style="483" bestFit="1" customWidth="1"/>
    <col min="20" max="26" width="22.21875" style="483" customWidth="1"/>
    <col min="27" max="27" width="23.21875" style="483" bestFit="1" customWidth="1"/>
    <col min="28" max="28" width="20" style="483" customWidth="1"/>
    <col min="29" max="16384" width="9.21875" style="483"/>
  </cols>
  <sheetData>
    <row r="1" spans="1:28" ht="13.8">
      <c r="A1" s="375" t="s">
        <v>109</v>
      </c>
      <c r="B1" s="306" t="str">
        <f>Info!C2</f>
        <v>კრედო</v>
      </c>
    </row>
    <row r="2" spans="1:28">
      <c r="A2" s="375" t="s">
        <v>110</v>
      </c>
      <c r="B2" s="378">
        <f>'1. key ratios'!B2</f>
        <v>45657</v>
      </c>
      <c r="C2" s="484"/>
    </row>
    <row r="3" spans="1:28">
      <c r="A3" s="377" t="s">
        <v>557</v>
      </c>
    </row>
    <row r="5" spans="1:28" ht="15" customHeight="1">
      <c r="A5" s="877" t="s">
        <v>890</v>
      </c>
      <c r="B5" s="878"/>
      <c r="C5" s="869" t="s">
        <v>889</v>
      </c>
      <c r="D5" s="883"/>
      <c r="E5" s="883"/>
      <c r="F5" s="883"/>
      <c r="G5" s="883"/>
      <c r="H5" s="883"/>
      <c r="I5" s="883"/>
      <c r="J5" s="883"/>
      <c r="K5" s="883"/>
      <c r="L5" s="883"/>
      <c r="M5" s="883"/>
      <c r="N5" s="883"/>
      <c r="O5" s="883"/>
      <c r="P5" s="883"/>
      <c r="Q5" s="883"/>
      <c r="R5" s="883"/>
      <c r="S5" s="883"/>
      <c r="T5" s="511"/>
      <c r="U5" s="511"/>
      <c r="V5" s="511"/>
      <c r="W5" s="511"/>
      <c r="X5" s="511"/>
      <c r="Y5" s="511"/>
      <c r="Z5" s="511"/>
      <c r="AA5" s="510"/>
      <c r="AB5" s="503"/>
    </row>
    <row r="6" spans="1:28">
      <c r="A6" s="879"/>
      <c r="B6" s="880"/>
      <c r="C6" s="884" t="s">
        <v>67</v>
      </c>
      <c r="D6" s="886" t="s">
        <v>888</v>
      </c>
      <c r="E6" s="886"/>
      <c r="F6" s="886"/>
      <c r="G6" s="886"/>
      <c r="H6" s="887" t="s">
        <v>887</v>
      </c>
      <c r="I6" s="888"/>
      <c r="J6" s="888"/>
      <c r="K6" s="889"/>
      <c r="L6" s="508"/>
      <c r="M6" s="890" t="s">
        <v>886</v>
      </c>
      <c r="N6" s="890"/>
      <c r="O6" s="890"/>
      <c r="P6" s="890"/>
      <c r="Q6" s="890"/>
      <c r="R6" s="890"/>
      <c r="S6" s="867"/>
      <c r="T6" s="509"/>
      <c r="U6" s="870" t="s">
        <v>885</v>
      </c>
      <c r="V6" s="870"/>
      <c r="W6" s="870"/>
      <c r="X6" s="870"/>
      <c r="Y6" s="870"/>
      <c r="Z6" s="870"/>
      <c r="AA6" s="868"/>
      <c r="AB6" s="508"/>
    </row>
    <row r="7" spans="1:28" ht="24">
      <c r="A7" s="881"/>
      <c r="B7" s="882"/>
      <c r="C7" s="885"/>
      <c r="D7" s="507"/>
      <c r="E7" s="480" t="s">
        <v>558</v>
      </c>
      <c r="F7" s="480" t="s">
        <v>883</v>
      </c>
      <c r="G7" s="480" t="s">
        <v>884</v>
      </c>
      <c r="H7" s="506"/>
      <c r="I7" s="480" t="s">
        <v>558</v>
      </c>
      <c r="J7" s="480" t="s">
        <v>883</v>
      </c>
      <c r="K7" s="480" t="s">
        <v>884</v>
      </c>
      <c r="L7" s="505"/>
      <c r="M7" s="480" t="s">
        <v>558</v>
      </c>
      <c r="N7" s="480" t="s">
        <v>883</v>
      </c>
      <c r="O7" s="480" t="s">
        <v>882</v>
      </c>
      <c r="P7" s="480" t="s">
        <v>881</v>
      </c>
      <c r="Q7" s="480" t="s">
        <v>880</v>
      </c>
      <c r="R7" s="480" t="s">
        <v>879</v>
      </c>
      <c r="S7" s="480" t="s">
        <v>878</v>
      </c>
      <c r="T7" s="504"/>
      <c r="U7" s="480" t="s">
        <v>558</v>
      </c>
      <c r="V7" s="480" t="s">
        <v>883</v>
      </c>
      <c r="W7" s="480" t="s">
        <v>882</v>
      </c>
      <c r="X7" s="480" t="s">
        <v>881</v>
      </c>
      <c r="Y7" s="480" t="s">
        <v>880</v>
      </c>
      <c r="Z7" s="480" t="s">
        <v>879</v>
      </c>
      <c r="AA7" s="480" t="s">
        <v>878</v>
      </c>
      <c r="AB7" s="503"/>
    </row>
    <row r="8" spans="1:28">
      <c r="A8" s="502">
        <v>1</v>
      </c>
      <c r="B8" s="476" t="s">
        <v>559</v>
      </c>
      <c r="C8" s="729">
        <f>SUM(C9:C14)</f>
        <v>2542568879.0653858</v>
      </c>
      <c r="D8" s="729">
        <f>SUM(D9:D14)</f>
        <v>2435735643.7311196</v>
      </c>
      <c r="E8" s="729">
        <f t="shared" ref="E8:G8" si="0">SUM(E9:E14)</f>
        <v>10965787.696779447</v>
      </c>
      <c r="F8" s="729">
        <f t="shared" si="0"/>
        <v>0</v>
      </c>
      <c r="G8" s="729">
        <f t="shared" si="0"/>
        <v>0</v>
      </c>
      <c r="H8" s="729">
        <f>SUM(H9:H14)</f>
        <v>86392671.319702491</v>
      </c>
      <c r="I8" s="729">
        <f t="shared" ref="I8:K8" si="1">SUM(I9:I14)</f>
        <v>2504498.1966408193</v>
      </c>
      <c r="J8" s="729">
        <f t="shared" si="1"/>
        <v>12614701.983444901</v>
      </c>
      <c r="K8" s="729">
        <f t="shared" si="1"/>
        <v>0</v>
      </c>
      <c r="L8" s="729">
        <f>SUM(L9:L14)</f>
        <v>20375440.053070597</v>
      </c>
      <c r="M8" s="729">
        <f t="shared" ref="M8:S8" si="2">SUM(M9:M14)</f>
        <v>139782.28528144991</v>
      </c>
      <c r="N8" s="729">
        <f t="shared" si="2"/>
        <v>1183815.2520091962</v>
      </c>
      <c r="O8" s="729">
        <f t="shared" si="2"/>
        <v>16178608.926860746</v>
      </c>
      <c r="P8" s="729">
        <f t="shared" si="2"/>
        <v>0</v>
      </c>
      <c r="Q8" s="729">
        <f t="shared" si="2"/>
        <v>0</v>
      </c>
      <c r="R8" s="729">
        <f t="shared" si="2"/>
        <v>0</v>
      </c>
      <c r="S8" s="729">
        <f t="shared" si="2"/>
        <v>0</v>
      </c>
      <c r="T8" s="729">
        <f>SUM(T9:T14)</f>
        <v>65123.961493122042</v>
      </c>
      <c r="U8" s="729">
        <f t="shared" ref="U8:AA8" si="3">SUM(U9:U14)</f>
        <v>0</v>
      </c>
      <c r="V8" s="729">
        <f t="shared" si="3"/>
        <v>0</v>
      </c>
      <c r="W8" s="729">
        <f t="shared" si="3"/>
        <v>1978.91</v>
      </c>
      <c r="X8" s="729">
        <f t="shared" si="3"/>
        <v>0</v>
      </c>
      <c r="Y8" s="729">
        <f t="shared" si="3"/>
        <v>0</v>
      </c>
      <c r="Z8" s="729">
        <f t="shared" si="3"/>
        <v>0</v>
      </c>
      <c r="AA8" s="729">
        <f t="shared" si="3"/>
        <v>0</v>
      </c>
    </row>
    <row r="9" spans="1:28">
      <c r="A9" s="473">
        <v>1.1000000000000001</v>
      </c>
      <c r="B9" s="492" t="s">
        <v>560</v>
      </c>
      <c r="C9" s="492"/>
      <c r="D9" s="473"/>
      <c r="E9" s="473"/>
      <c r="F9" s="473"/>
      <c r="G9" s="473"/>
      <c r="H9" s="473"/>
      <c r="I9" s="473"/>
      <c r="J9" s="473"/>
      <c r="K9" s="473"/>
      <c r="L9" s="473"/>
      <c r="M9" s="473"/>
      <c r="N9" s="473"/>
      <c r="O9" s="473"/>
      <c r="P9" s="473"/>
      <c r="Q9" s="473"/>
      <c r="R9" s="473"/>
      <c r="S9" s="473"/>
      <c r="T9" s="473"/>
      <c r="U9" s="473"/>
      <c r="V9" s="473"/>
      <c r="W9" s="473"/>
      <c r="X9" s="473"/>
      <c r="Y9" s="473"/>
      <c r="Z9" s="473"/>
      <c r="AA9" s="473"/>
    </row>
    <row r="10" spans="1:28">
      <c r="A10" s="473">
        <v>1.2</v>
      </c>
      <c r="B10" s="492" t="s">
        <v>561</v>
      </c>
      <c r="C10" s="492"/>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row>
    <row r="11" spans="1:28">
      <c r="A11" s="473">
        <v>1.3</v>
      </c>
      <c r="B11" s="492" t="s">
        <v>562</v>
      </c>
      <c r="C11" s="492"/>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row>
    <row r="12" spans="1:28">
      <c r="A12" s="473">
        <v>1.4</v>
      </c>
      <c r="B12" s="492" t="s">
        <v>563</v>
      </c>
      <c r="C12" s="492"/>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row>
    <row r="13" spans="1:28">
      <c r="A13" s="473">
        <v>1.5</v>
      </c>
      <c r="B13" s="492" t="s">
        <v>564</v>
      </c>
      <c r="C13" s="735">
        <f>D13+H13+L13+T13</f>
        <v>143056591.88874334</v>
      </c>
      <c r="D13" s="728">
        <v>137534838.23694935</v>
      </c>
      <c r="E13" s="728">
        <v>986657.84262153727</v>
      </c>
      <c r="F13" s="728">
        <v>0</v>
      </c>
      <c r="G13" s="728">
        <v>0</v>
      </c>
      <c r="H13" s="728">
        <v>5497159.4065087559</v>
      </c>
      <c r="I13" s="728">
        <v>0</v>
      </c>
      <c r="J13" s="728">
        <v>307566.34268806654</v>
      </c>
      <c r="K13" s="728">
        <v>0</v>
      </c>
      <c r="L13" s="728">
        <v>24594.245285237448</v>
      </c>
      <c r="M13" s="728">
        <v>0</v>
      </c>
      <c r="N13" s="728">
        <v>0</v>
      </c>
      <c r="O13" s="728">
        <v>24594.245285237448</v>
      </c>
      <c r="P13" s="728">
        <v>0</v>
      </c>
      <c r="Q13" s="728">
        <v>0</v>
      </c>
      <c r="R13" s="728">
        <v>0</v>
      </c>
      <c r="S13" s="728">
        <v>0</v>
      </c>
      <c r="T13" s="728">
        <v>0</v>
      </c>
      <c r="U13" s="728">
        <v>0</v>
      </c>
      <c r="V13" s="728">
        <v>0</v>
      </c>
      <c r="W13" s="728">
        <v>0</v>
      </c>
      <c r="X13" s="728">
        <v>0</v>
      </c>
      <c r="Y13" s="728">
        <v>0</v>
      </c>
      <c r="Z13" s="728">
        <v>0</v>
      </c>
      <c r="AA13" s="728">
        <v>0</v>
      </c>
    </row>
    <row r="14" spans="1:28">
      <c r="A14" s="473">
        <v>1.6</v>
      </c>
      <c r="B14" s="492" t="s">
        <v>565</v>
      </c>
      <c r="C14" s="735">
        <f>D14+H14+L14+T14</f>
        <v>2399512287.1766424</v>
      </c>
      <c r="D14" s="728">
        <v>2298200805.4941702</v>
      </c>
      <c r="E14" s="728">
        <v>9979129.8541579098</v>
      </c>
      <c r="F14" s="728">
        <v>0</v>
      </c>
      <c r="G14" s="728">
        <v>0</v>
      </c>
      <c r="H14" s="728">
        <v>80895511.913193733</v>
      </c>
      <c r="I14" s="728">
        <v>2504498.1966408193</v>
      </c>
      <c r="J14" s="728">
        <v>12307135.640756834</v>
      </c>
      <c r="K14" s="728">
        <v>0</v>
      </c>
      <c r="L14" s="728">
        <v>20350845.807785358</v>
      </c>
      <c r="M14" s="728">
        <v>139782.28528144991</v>
      </c>
      <c r="N14" s="728">
        <v>1183815.2520091962</v>
      </c>
      <c r="O14" s="728">
        <v>16154014.681575509</v>
      </c>
      <c r="P14" s="728">
        <v>0</v>
      </c>
      <c r="Q14" s="728">
        <v>0</v>
      </c>
      <c r="R14" s="728">
        <v>0</v>
      </c>
      <c r="S14" s="728">
        <v>0</v>
      </c>
      <c r="T14" s="728">
        <v>65123.961493122042</v>
      </c>
      <c r="U14" s="728">
        <v>0</v>
      </c>
      <c r="V14" s="728">
        <v>0</v>
      </c>
      <c r="W14" s="728">
        <v>1978.91</v>
      </c>
      <c r="X14" s="728">
        <v>0</v>
      </c>
      <c r="Y14" s="728">
        <v>0</v>
      </c>
      <c r="Z14" s="728">
        <v>0</v>
      </c>
      <c r="AA14" s="728">
        <v>0</v>
      </c>
    </row>
    <row r="15" spans="1:28">
      <c r="A15" s="502">
        <v>2</v>
      </c>
      <c r="B15" s="476" t="s">
        <v>566</v>
      </c>
      <c r="C15" s="733">
        <f t="shared" ref="C15:C17" si="4">D15+H15+L15+T15</f>
        <v>57522454.370000005</v>
      </c>
      <c r="D15" s="734">
        <f>SUM(D16:D21)</f>
        <v>57522454.370000005</v>
      </c>
      <c r="E15" s="473"/>
      <c r="F15" s="473"/>
      <c r="G15" s="473"/>
      <c r="H15" s="473"/>
      <c r="I15" s="473"/>
      <c r="J15" s="473"/>
      <c r="K15" s="473"/>
      <c r="L15" s="473"/>
      <c r="M15" s="473"/>
      <c r="N15" s="473"/>
      <c r="O15" s="473"/>
      <c r="P15" s="473"/>
      <c r="Q15" s="473"/>
      <c r="R15" s="473"/>
      <c r="S15" s="473"/>
      <c r="T15" s="473"/>
      <c r="U15" s="473"/>
      <c r="V15" s="473"/>
      <c r="W15" s="473"/>
      <c r="X15" s="473"/>
      <c r="Y15" s="473"/>
      <c r="Z15" s="473"/>
      <c r="AA15" s="473"/>
    </row>
    <row r="16" spans="1:28">
      <c r="A16" s="473">
        <v>2.1</v>
      </c>
      <c r="B16" s="492" t="s">
        <v>560</v>
      </c>
      <c r="C16" s="73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row>
    <row r="17" spans="1:27">
      <c r="A17" s="473">
        <v>2.2000000000000002</v>
      </c>
      <c r="B17" s="492" t="s">
        <v>561</v>
      </c>
      <c r="C17" s="733">
        <f t="shared" si="4"/>
        <v>57522454.370000005</v>
      </c>
      <c r="D17" s="728">
        <v>57522454.370000005</v>
      </c>
      <c r="E17" s="473"/>
      <c r="F17" s="473"/>
      <c r="G17" s="473"/>
      <c r="H17" s="473"/>
      <c r="I17" s="473"/>
      <c r="J17" s="473"/>
      <c r="K17" s="473"/>
      <c r="L17" s="473"/>
      <c r="M17" s="473"/>
      <c r="N17" s="473"/>
      <c r="O17" s="473"/>
      <c r="P17" s="473"/>
      <c r="Q17" s="473"/>
      <c r="R17" s="473"/>
      <c r="S17" s="473"/>
      <c r="T17" s="473"/>
      <c r="U17" s="473"/>
      <c r="V17" s="473"/>
      <c r="W17" s="473"/>
      <c r="X17" s="473"/>
      <c r="Y17" s="473"/>
      <c r="Z17" s="473"/>
      <c r="AA17" s="473"/>
    </row>
    <row r="18" spans="1:27">
      <c r="A18" s="473">
        <v>2.2999999999999998</v>
      </c>
      <c r="B18" s="492" t="s">
        <v>562</v>
      </c>
      <c r="C18" s="492"/>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row>
    <row r="19" spans="1:27">
      <c r="A19" s="473">
        <v>2.4</v>
      </c>
      <c r="B19" s="492" t="s">
        <v>563</v>
      </c>
      <c r="C19" s="492"/>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row>
    <row r="20" spans="1:27">
      <c r="A20" s="473">
        <v>2.5</v>
      </c>
      <c r="B20" s="492" t="s">
        <v>564</v>
      </c>
      <c r="C20" s="492"/>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row>
    <row r="21" spans="1:27">
      <c r="A21" s="473">
        <v>2.6</v>
      </c>
      <c r="B21" s="492" t="s">
        <v>565</v>
      </c>
      <c r="C21" s="492"/>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row>
    <row r="22" spans="1:27">
      <c r="A22" s="502">
        <v>3</v>
      </c>
      <c r="B22" s="476" t="s">
        <v>567</v>
      </c>
      <c r="C22" s="729">
        <f>C27+C28</f>
        <v>178588835.80000001</v>
      </c>
      <c r="D22" s="476"/>
      <c r="E22" s="501"/>
      <c r="F22" s="501"/>
      <c r="G22" s="501"/>
      <c r="H22" s="476"/>
      <c r="I22" s="501"/>
      <c r="J22" s="501"/>
      <c r="K22" s="501"/>
      <c r="L22" s="476"/>
      <c r="M22" s="501"/>
      <c r="N22" s="501"/>
      <c r="O22" s="501"/>
      <c r="P22" s="501"/>
      <c r="Q22" s="501"/>
      <c r="R22" s="501"/>
      <c r="S22" s="501"/>
      <c r="T22" s="476"/>
      <c r="U22" s="501"/>
      <c r="V22" s="501"/>
      <c r="W22" s="501"/>
      <c r="X22" s="501"/>
      <c r="Y22" s="501"/>
      <c r="Z22" s="501"/>
      <c r="AA22" s="501"/>
    </row>
    <row r="23" spans="1:27">
      <c r="A23" s="473">
        <v>3.1</v>
      </c>
      <c r="B23" s="492" t="s">
        <v>560</v>
      </c>
      <c r="C23" s="492"/>
      <c r="D23" s="476"/>
      <c r="E23" s="501"/>
      <c r="F23" s="501"/>
      <c r="G23" s="501"/>
      <c r="H23" s="476"/>
      <c r="I23" s="501"/>
      <c r="J23" s="501"/>
      <c r="K23" s="501"/>
      <c r="L23" s="476"/>
      <c r="M23" s="501"/>
      <c r="N23" s="501"/>
      <c r="O23" s="501"/>
      <c r="P23" s="501"/>
      <c r="Q23" s="501"/>
      <c r="R23" s="501"/>
      <c r="S23" s="501"/>
      <c r="T23" s="476"/>
      <c r="U23" s="501"/>
      <c r="V23" s="501"/>
      <c r="W23" s="501"/>
      <c r="X23" s="501"/>
      <c r="Y23" s="501"/>
      <c r="Z23" s="501"/>
      <c r="AA23" s="501"/>
    </row>
    <row r="24" spans="1:27">
      <c r="A24" s="473">
        <v>3.2</v>
      </c>
      <c r="B24" s="492" t="s">
        <v>561</v>
      </c>
      <c r="C24" s="492"/>
      <c r="D24" s="476"/>
      <c r="E24" s="501"/>
      <c r="F24" s="501"/>
      <c r="G24" s="501"/>
      <c r="H24" s="476"/>
      <c r="I24" s="501"/>
      <c r="J24" s="501"/>
      <c r="K24" s="501"/>
      <c r="L24" s="476"/>
      <c r="M24" s="501"/>
      <c r="N24" s="501"/>
      <c r="O24" s="501"/>
      <c r="P24" s="501"/>
      <c r="Q24" s="501"/>
      <c r="R24" s="501"/>
      <c r="S24" s="501"/>
      <c r="T24" s="476"/>
      <c r="U24" s="501"/>
      <c r="V24" s="501"/>
      <c r="W24" s="501"/>
      <c r="X24" s="501"/>
      <c r="Y24" s="501"/>
      <c r="Z24" s="501"/>
      <c r="AA24" s="501"/>
    </row>
    <row r="25" spans="1:27">
      <c r="A25" s="473">
        <v>3.3</v>
      </c>
      <c r="B25" s="492" t="s">
        <v>562</v>
      </c>
      <c r="C25" s="492"/>
      <c r="D25" s="476"/>
      <c r="E25" s="501"/>
      <c r="F25" s="501"/>
      <c r="G25" s="501"/>
      <c r="H25" s="476"/>
      <c r="I25" s="501"/>
      <c r="J25" s="501"/>
      <c r="K25" s="501"/>
      <c r="L25" s="476"/>
      <c r="M25" s="501"/>
      <c r="N25" s="501"/>
      <c r="O25" s="501"/>
      <c r="P25" s="501"/>
      <c r="Q25" s="501"/>
      <c r="R25" s="501"/>
      <c r="S25" s="501"/>
      <c r="T25" s="476"/>
      <c r="U25" s="501"/>
      <c r="V25" s="501"/>
      <c r="W25" s="501"/>
      <c r="X25" s="501"/>
      <c r="Y25" s="501"/>
      <c r="Z25" s="501"/>
      <c r="AA25" s="501"/>
    </row>
    <row r="26" spans="1:27">
      <c r="A26" s="473">
        <v>3.4</v>
      </c>
      <c r="B26" s="492" t="s">
        <v>563</v>
      </c>
      <c r="C26" s="492"/>
      <c r="D26" s="476"/>
      <c r="E26" s="501"/>
      <c r="F26" s="501"/>
      <c r="G26" s="501"/>
      <c r="H26" s="476"/>
      <c r="I26" s="501"/>
      <c r="J26" s="501"/>
      <c r="K26" s="501"/>
      <c r="L26" s="476"/>
      <c r="M26" s="501"/>
      <c r="N26" s="501"/>
      <c r="O26" s="501"/>
      <c r="P26" s="501"/>
      <c r="Q26" s="501"/>
      <c r="R26" s="501"/>
      <c r="S26" s="501"/>
      <c r="T26" s="476"/>
      <c r="U26" s="501"/>
      <c r="V26" s="501"/>
      <c r="W26" s="501"/>
      <c r="X26" s="501"/>
      <c r="Y26" s="501"/>
      <c r="Z26" s="501"/>
      <c r="AA26" s="501"/>
    </row>
    <row r="27" spans="1:27">
      <c r="A27" s="473">
        <v>3.5</v>
      </c>
      <c r="B27" s="492" t="s">
        <v>564</v>
      </c>
      <c r="C27" s="735">
        <v>25139751</v>
      </c>
      <c r="D27" s="729">
        <v>25139751</v>
      </c>
      <c r="E27" s="501"/>
      <c r="F27" s="501"/>
      <c r="G27" s="501"/>
      <c r="H27" s="476"/>
      <c r="I27" s="501"/>
      <c r="J27" s="501"/>
      <c r="K27" s="501"/>
      <c r="L27" s="476"/>
      <c r="M27" s="501"/>
      <c r="N27" s="501"/>
      <c r="O27" s="501"/>
      <c r="P27" s="501"/>
      <c r="Q27" s="501"/>
      <c r="R27" s="501"/>
      <c r="S27" s="501"/>
      <c r="T27" s="476"/>
      <c r="U27" s="501"/>
      <c r="V27" s="501"/>
      <c r="W27" s="501"/>
      <c r="X27" s="501"/>
      <c r="Y27" s="501"/>
      <c r="Z27" s="501"/>
      <c r="AA27" s="501"/>
    </row>
    <row r="28" spans="1:27">
      <c r="A28" s="473">
        <v>3.6</v>
      </c>
      <c r="B28" s="492" t="s">
        <v>565</v>
      </c>
      <c r="C28" s="735">
        <v>153449084.80000001</v>
      </c>
      <c r="D28" s="476"/>
      <c r="E28" s="501"/>
      <c r="F28" s="501"/>
      <c r="G28" s="501"/>
      <c r="H28" s="476"/>
      <c r="I28" s="501"/>
      <c r="J28" s="501"/>
      <c r="K28" s="501"/>
      <c r="L28" s="476"/>
      <c r="M28" s="501"/>
      <c r="N28" s="501"/>
      <c r="O28" s="501"/>
      <c r="P28" s="501"/>
      <c r="Q28" s="501"/>
      <c r="R28" s="501"/>
      <c r="S28" s="501"/>
      <c r="T28" s="476"/>
      <c r="U28" s="501"/>
      <c r="V28" s="501"/>
      <c r="W28" s="501"/>
      <c r="X28" s="501"/>
      <c r="Y28" s="501"/>
      <c r="Z28" s="501"/>
      <c r="AA28" s="501"/>
    </row>
    <row r="30" spans="1:27">
      <c r="C30" s="784"/>
    </row>
    <row r="32" spans="1:27">
      <c r="C32" s="78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A22"/>
  <sheetViews>
    <sheetView showGridLines="0" zoomScale="80" zoomScaleNormal="80" workbookViewId="0">
      <selection activeCell="C11" sqref="C11:C13"/>
    </sheetView>
  </sheetViews>
  <sheetFormatPr defaultColWidth="9.21875" defaultRowHeight="12"/>
  <cols>
    <col min="1" max="1" width="11.77734375" style="483" bestFit="1" customWidth="1"/>
    <col min="2" max="2" width="90.21875" style="483" bestFit="1" customWidth="1"/>
    <col min="3" max="3" width="20.21875" style="483" customWidth="1"/>
    <col min="4" max="4" width="22.21875" style="483" customWidth="1"/>
    <col min="5" max="7" width="17.109375" style="483" customWidth="1"/>
    <col min="8" max="8" width="22.21875" style="483" customWidth="1"/>
    <col min="9" max="10" width="17.109375" style="483" customWidth="1"/>
    <col min="11" max="27" width="22.21875" style="483" customWidth="1"/>
    <col min="28" max="16384" width="9.21875" style="483"/>
  </cols>
  <sheetData>
    <row r="1" spans="1:27" ht="13.8">
      <c r="A1" s="375" t="s">
        <v>109</v>
      </c>
      <c r="B1" s="306" t="str">
        <f>Info!C2</f>
        <v>კრედო</v>
      </c>
    </row>
    <row r="2" spans="1:27">
      <c r="A2" s="375" t="s">
        <v>110</v>
      </c>
      <c r="B2" s="378">
        <f>'1. key ratios'!B2</f>
        <v>45657</v>
      </c>
    </row>
    <row r="3" spans="1:27">
      <c r="A3" s="377" t="s">
        <v>568</v>
      </c>
      <c r="C3" s="485"/>
    </row>
    <row r="4" spans="1:27" ht="12.6" thickBot="1">
      <c r="A4" s="377"/>
      <c r="B4" s="485"/>
      <c r="C4" s="485"/>
    </row>
    <row r="5" spans="1:27" ht="13.5" customHeight="1">
      <c r="A5" s="895" t="s">
        <v>897</v>
      </c>
      <c r="B5" s="896"/>
      <c r="C5" s="892" t="s">
        <v>569</v>
      </c>
      <c r="D5" s="893"/>
      <c r="E5" s="893"/>
      <c r="F5" s="893"/>
      <c r="G5" s="893"/>
      <c r="H5" s="893"/>
      <c r="I5" s="893"/>
      <c r="J5" s="893"/>
      <c r="K5" s="893"/>
      <c r="L5" s="893"/>
      <c r="M5" s="893"/>
      <c r="N5" s="893"/>
      <c r="O5" s="893"/>
      <c r="P5" s="893"/>
      <c r="Q5" s="893"/>
      <c r="R5" s="893"/>
      <c r="S5" s="893"/>
      <c r="T5" s="893"/>
      <c r="U5" s="893"/>
      <c r="V5" s="893"/>
      <c r="W5" s="893"/>
      <c r="X5" s="893"/>
      <c r="Y5" s="893"/>
      <c r="Z5" s="893"/>
      <c r="AA5" s="894"/>
    </row>
    <row r="6" spans="1:27" ht="12" customHeight="1">
      <c r="A6" s="897"/>
      <c r="B6" s="898"/>
      <c r="C6" s="901" t="s">
        <v>67</v>
      </c>
      <c r="D6" s="866" t="s">
        <v>888</v>
      </c>
      <c r="E6" s="866"/>
      <c r="F6" s="866"/>
      <c r="G6" s="866"/>
      <c r="H6" s="887" t="s">
        <v>887</v>
      </c>
      <c r="I6" s="888"/>
      <c r="J6" s="888"/>
      <c r="K6" s="888"/>
      <c r="L6" s="509"/>
      <c r="M6" s="870" t="s">
        <v>886</v>
      </c>
      <c r="N6" s="870"/>
      <c r="O6" s="870"/>
      <c r="P6" s="870"/>
      <c r="Q6" s="870"/>
      <c r="R6" s="870"/>
      <c r="S6" s="868"/>
      <c r="T6" s="509"/>
      <c r="U6" s="870" t="s">
        <v>885</v>
      </c>
      <c r="V6" s="870"/>
      <c r="W6" s="870"/>
      <c r="X6" s="870"/>
      <c r="Y6" s="870"/>
      <c r="Z6" s="870"/>
      <c r="AA6" s="891"/>
    </row>
    <row r="7" spans="1:27" ht="36">
      <c r="A7" s="899"/>
      <c r="B7" s="900"/>
      <c r="C7" s="902"/>
      <c r="D7" s="507"/>
      <c r="E7" s="480" t="s">
        <v>558</v>
      </c>
      <c r="F7" s="480" t="s">
        <v>883</v>
      </c>
      <c r="G7" s="480" t="s">
        <v>884</v>
      </c>
      <c r="H7" s="484"/>
      <c r="I7" s="480" t="s">
        <v>558</v>
      </c>
      <c r="J7" s="480" t="s">
        <v>883</v>
      </c>
      <c r="K7" s="480" t="s">
        <v>884</v>
      </c>
      <c r="L7" s="504"/>
      <c r="M7" s="480" t="s">
        <v>558</v>
      </c>
      <c r="N7" s="480" t="s">
        <v>896</v>
      </c>
      <c r="O7" s="480" t="s">
        <v>895</v>
      </c>
      <c r="P7" s="480" t="s">
        <v>894</v>
      </c>
      <c r="Q7" s="480" t="s">
        <v>893</v>
      </c>
      <c r="R7" s="480" t="s">
        <v>892</v>
      </c>
      <c r="S7" s="480" t="s">
        <v>878</v>
      </c>
      <c r="T7" s="504"/>
      <c r="U7" s="480" t="s">
        <v>558</v>
      </c>
      <c r="V7" s="480" t="s">
        <v>896</v>
      </c>
      <c r="W7" s="480" t="s">
        <v>895</v>
      </c>
      <c r="X7" s="480" t="s">
        <v>894</v>
      </c>
      <c r="Y7" s="480" t="s">
        <v>893</v>
      </c>
      <c r="Z7" s="480" t="s">
        <v>892</v>
      </c>
      <c r="AA7" s="480" t="s">
        <v>878</v>
      </c>
    </row>
    <row r="8" spans="1:27">
      <c r="A8" s="533">
        <v>1</v>
      </c>
      <c r="B8" s="532" t="s">
        <v>559</v>
      </c>
      <c r="C8" s="740">
        <f>D8+H8+L8+T8</f>
        <v>2542568879.0654488</v>
      </c>
      <c r="D8" s="728">
        <v>2435735643.7311826</v>
      </c>
      <c r="E8" s="728">
        <v>10965787.696779422</v>
      </c>
      <c r="F8" s="728">
        <v>0</v>
      </c>
      <c r="G8" s="728">
        <v>0</v>
      </c>
      <c r="H8" s="728">
        <v>86392671.319702819</v>
      </c>
      <c r="I8" s="728">
        <v>2504498.1966408193</v>
      </c>
      <c r="J8" s="728">
        <v>12614701.983444933</v>
      </c>
      <c r="K8" s="728">
        <v>0</v>
      </c>
      <c r="L8" s="728">
        <v>20375440.053070463</v>
      </c>
      <c r="M8" s="728">
        <v>139782.28528144991</v>
      </c>
      <c r="N8" s="728">
        <v>1183815.2520091957</v>
      </c>
      <c r="O8" s="728">
        <v>16178608.926860718</v>
      </c>
      <c r="P8" s="728">
        <v>0</v>
      </c>
      <c r="Q8" s="728">
        <v>0</v>
      </c>
      <c r="R8" s="728">
        <v>0</v>
      </c>
      <c r="S8" s="728">
        <v>0</v>
      </c>
      <c r="T8" s="728">
        <v>65123.961493122042</v>
      </c>
      <c r="U8" s="728">
        <v>0</v>
      </c>
      <c r="V8" s="728">
        <v>0</v>
      </c>
      <c r="W8" s="728">
        <v>1978.91</v>
      </c>
      <c r="X8" s="728">
        <v>0</v>
      </c>
      <c r="Y8" s="728">
        <v>0</v>
      </c>
      <c r="Z8" s="728">
        <v>0</v>
      </c>
      <c r="AA8" s="728">
        <v>0</v>
      </c>
    </row>
    <row r="9" spans="1:27">
      <c r="A9" s="525">
        <v>1.1000000000000001</v>
      </c>
      <c r="B9" s="531" t="s">
        <v>570</v>
      </c>
      <c r="C9" s="741">
        <f>D9+H9+L9+T9</f>
        <v>970272778.73275447</v>
      </c>
      <c r="D9" s="728">
        <v>950040225.33531177</v>
      </c>
      <c r="E9" s="728">
        <v>3160546.8066214542</v>
      </c>
      <c r="F9" s="728">
        <v>0</v>
      </c>
      <c r="G9" s="728">
        <v>0</v>
      </c>
      <c r="H9" s="728">
        <v>16807117.81692823</v>
      </c>
      <c r="I9" s="728">
        <v>278547.13717736083</v>
      </c>
      <c r="J9" s="728">
        <v>2078455.3111403696</v>
      </c>
      <c r="K9" s="728">
        <v>0</v>
      </c>
      <c r="L9" s="728">
        <v>3424790.6577138873</v>
      </c>
      <c r="M9" s="728">
        <v>22310.927561914723</v>
      </c>
      <c r="N9" s="728">
        <v>339498.16054657125</v>
      </c>
      <c r="O9" s="728">
        <v>2662815.4689369565</v>
      </c>
      <c r="P9" s="728">
        <v>0</v>
      </c>
      <c r="Q9" s="728">
        <v>0</v>
      </c>
      <c r="R9" s="728">
        <v>0</v>
      </c>
      <c r="S9" s="728">
        <v>0</v>
      </c>
      <c r="T9" s="728">
        <v>644.92280049503199</v>
      </c>
      <c r="U9" s="728">
        <v>0</v>
      </c>
      <c r="V9" s="728">
        <v>0</v>
      </c>
      <c r="W9" s="728">
        <v>0</v>
      </c>
      <c r="X9" s="728">
        <v>0</v>
      </c>
      <c r="Y9" s="728">
        <v>0</v>
      </c>
      <c r="Z9" s="728">
        <v>0</v>
      </c>
      <c r="AA9" s="728">
        <v>0</v>
      </c>
    </row>
    <row r="10" spans="1:27">
      <c r="A10" s="529" t="s">
        <v>158</v>
      </c>
      <c r="B10" s="530" t="s">
        <v>571</v>
      </c>
      <c r="C10" s="742">
        <f>SUM(C11:C14)</f>
        <v>865321314.52285922</v>
      </c>
      <c r="D10" s="743">
        <f t="shared" ref="D10:AA10" si="0">SUM(D11:D14)</f>
        <v>848485572.9804908</v>
      </c>
      <c r="E10" s="743">
        <f t="shared" si="0"/>
        <v>2293997.465129042</v>
      </c>
      <c r="F10" s="743">
        <f t="shared" si="0"/>
        <v>0</v>
      </c>
      <c r="G10" s="743">
        <f t="shared" si="0"/>
        <v>0</v>
      </c>
      <c r="H10" s="743">
        <f t="shared" si="0"/>
        <v>14841475.420998093</v>
      </c>
      <c r="I10" s="743">
        <f t="shared" si="0"/>
        <v>72774.970463493606</v>
      </c>
      <c r="J10" s="743">
        <f t="shared" si="0"/>
        <v>1225977.6843635887</v>
      </c>
      <c r="K10" s="743">
        <f t="shared" si="0"/>
        <v>659377.42220967088</v>
      </c>
      <c r="L10" s="743">
        <f t="shared" si="0"/>
        <v>1993621.3785479837</v>
      </c>
      <c r="M10" s="743">
        <f t="shared" si="0"/>
        <v>9307.8735282289599</v>
      </c>
      <c r="N10" s="743">
        <f t="shared" si="0"/>
        <v>252452.02613984628</v>
      </c>
      <c r="O10" s="743">
        <f t="shared" si="0"/>
        <v>1499407.0235496857</v>
      </c>
      <c r="P10" s="743">
        <f t="shared" si="0"/>
        <v>0</v>
      </c>
      <c r="Q10" s="743">
        <f t="shared" si="0"/>
        <v>0</v>
      </c>
      <c r="R10" s="743">
        <f t="shared" si="0"/>
        <v>0</v>
      </c>
      <c r="S10" s="742">
        <f t="shared" si="0"/>
        <v>0</v>
      </c>
      <c r="T10" s="742">
        <f t="shared" si="0"/>
        <v>644.74282219553504</v>
      </c>
      <c r="U10" s="743">
        <f t="shared" si="0"/>
        <v>0</v>
      </c>
      <c r="V10" s="743">
        <f t="shared" si="0"/>
        <v>0</v>
      </c>
      <c r="W10" s="743">
        <f t="shared" si="0"/>
        <v>0</v>
      </c>
      <c r="X10" s="743">
        <f t="shared" si="0"/>
        <v>0</v>
      </c>
      <c r="Y10" s="743">
        <f t="shared" si="0"/>
        <v>0</v>
      </c>
      <c r="Z10" s="743">
        <f t="shared" si="0"/>
        <v>0</v>
      </c>
      <c r="AA10" s="743">
        <f t="shared" si="0"/>
        <v>0</v>
      </c>
    </row>
    <row r="11" spans="1:27">
      <c r="A11" s="527" t="s">
        <v>572</v>
      </c>
      <c r="B11" s="528" t="s">
        <v>573</v>
      </c>
      <c r="C11" s="741">
        <f>D11+H11+L11+T11</f>
        <v>544702136.35266912</v>
      </c>
      <c r="D11" s="728">
        <v>538778259.0902952</v>
      </c>
      <c r="E11" s="728">
        <v>628043.54526939243</v>
      </c>
      <c r="F11" s="728">
        <v>0</v>
      </c>
      <c r="G11" s="728">
        <v>0</v>
      </c>
      <c r="H11" s="728">
        <v>5406737.3079785928</v>
      </c>
      <c r="I11" s="728">
        <v>72774.970463493606</v>
      </c>
      <c r="J11" s="728">
        <v>339447.24474003841</v>
      </c>
      <c r="K11" s="728">
        <v>0</v>
      </c>
      <c r="L11" s="728">
        <v>516495.21157307603</v>
      </c>
      <c r="M11" s="728">
        <v>0</v>
      </c>
      <c r="N11" s="728">
        <v>91771.056454987294</v>
      </c>
      <c r="O11" s="728">
        <v>295492.41615966061</v>
      </c>
      <c r="P11" s="728">
        <v>0</v>
      </c>
      <c r="Q11" s="728">
        <v>0</v>
      </c>
      <c r="R11" s="728">
        <v>0</v>
      </c>
      <c r="S11" s="728">
        <v>0</v>
      </c>
      <c r="T11" s="728">
        <v>644.74282219553504</v>
      </c>
      <c r="U11" s="728">
        <v>0</v>
      </c>
      <c r="V11" s="728">
        <v>0</v>
      </c>
      <c r="W11" s="728">
        <v>0</v>
      </c>
      <c r="X11" s="728">
        <v>0</v>
      </c>
      <c r="Y11" s="728">
        <v>0</v>
      </c>
      <c r="Z11" s="728">
        <v>0</v>
      </c>
      <c r="AA11" s="728">
        <v>0</v>
      </c>
    </row>
    <row r="12" spans="1:27">
      <c r="A12" s="527" t="s">
        <v>574</v>
      </c>
      <c r="B12" s="528" t="s">
        <v>575</v>
      </c>
      <c r="C12" s="741">
        <f>D12+H12+L12+T12</f>
        <v>174870287.9123877</v>
      </c>
      <c r="D12" s="728">
        <v>172199007.94397849</v>
      </c>
      <c r="E12" s="728">
        <v>1181338.5700816568</v>
      </c>
      <c r="F12" s="728">
        <v>0</v>
      </c>
      <c r="G12" s="728">
        <v>0</v>
      </c>
      <c r="H12" s="728">
        <v>2488039.8426945112</v>
      </c>
      <c r="I12" s="728">
        <v>0</v>
      </c>
      <c r="J12" s="728">
        <v>20702.187101695501</v>
      </c>
      <c r="K12" s="728">
        <v>0</v>
      </c>
      <c r="L12" s="728">
        <v>183240.12571468676</v>
      </c>
      <c r="M12" s="728">
        <v>9307.8735282289599</v>
      </c>
      <c r="N12" s="728">
        <v>0</v>
      </c>
      <c r="O12" s="748">
        <v>173932.2521864578</v>
      </c>
      <c r="P12" s="728">
        <v>0</v>
      </c>
      <c r="Q12" s="728">
        <v>0</v>
      </c>
      <c r="R12" s="728">
        <v>0</v>
      </c>
      <c r="S12" s="728">
        <v>0</v>
      </c>
      <c r="T12" s="728">
        <v>0</v>
      </c>
      <c r="U12" s="728">
        <v>0</v>
      </c>
      <c r="V12" s="728">
        <v>0</v>
      </c>
      <c r="W12" s="728">
        <v>0</v>
      </c>
      <c r="X12" s="728">
        <v>0</v>
      </c>
      <c r="Y12" s="728">
        <v>0</v>
      </c>
      <c r="Z12" s="728">
        <v>0</v>
      </c>
      <c r="AA12" s="728">
        <v>0</v>
      </c>
    </row>
    <row r="13" spans="1:27">
      <c r="A13" s="527" t="s">
        <v>576</v>
      </c>
      <c r="B13" s="528" t="s">
        <v>577</v>
      </c>
      <c r="C13" s="741">
        <f>D13+H13+L13+T13</f>
        <v>68040648.646253005</v>
      </c>
      <c r="D13" s="728">
        <v>64456863.332599886</v>
      </c>
      <c r="E13" s="728">
        <v>484615.34977799293</v>
      </c>
      <c r="F13" s="728">
        <v>0</v>
      </c>
      <c r="G13" s="728">
        <v>0</v>
      </c>
      <c r="H13" s="728">
        <v>2752319.478773871</v>
      </c>
      <c r="I13" s="728">
        <v>0</v>
      </c>
      <c r="J13" s="728">
        <v>206450.83031218388</v>
      </c>
      <c r="K13" s="728">
        <v>0</v>
      </c>
      <c r="L13" s="728">
        <v>831465.83487924957</v>
      </c>
      <c r="M13" s="728">
        <v>0</v>
      </c>
      <c r="N13" s="728">
        <v>132476.79618434349</v>
      </c>
      <c r="O13" s="748">
        <v>698989.03869490605</v>
      </c>
      <c r="P13" s="728">
        <v>0</v>
      </c>
      <c r="Q13" s="728">
        <v>0</v>
      </c>
      <c r="R13" s="728">
        <v>0</v>
      </c>
      <c r="S13" s="728">
        <v>0</v>
      </c>
      <c r="T13" s="728">
        <v>0</v>
      </c>
      <c r="U13" s="728">
        <v>0</v>
      </c>
      <c r="V13" s="728">
        <v>0</v>
      </c>
      <c r="W13" s="728">
        <v>0</v>
      </c>
      <c r="X13" s="728">
        <v>0</v>
      </c>
      <c r="Y13" s="728">
        <v>0</v>
      </c>
      <c r="Z13" s="728">
        <v>0</v>
      </c>
      <c r="AA13" s="728">
        <v>0</v>
      </c>
    </row>
    <row r="14" spans="1:27">
      <c r="A14" s="527" t="s">
        <v>578</v>
      </c>
      <c r="B14" s="528" t="s">
        <v>579</v>
      </c>
      <c r="C14" s="741">
        <f>D14+H14+L14+T14</f>
        <v>77708241.611549377</v>
      </c>
      <c r="D14" s="728">
        <v>73051442.613617286</v>
      </c>
      <c r="E14" s="728">
        <v>0</v>
      </c>
      <c r="F14" s="728">
        <v>0</v>
      </c>
      <c r="G14" s="728">
        <v>0</v>
      </c>
      <c r="H14" s="728">
        <v>4194378.7915511178</v>
      </c>
      <c r="I14" s="728">
        <v>0</v>
      </c>
      <c r="J14" s="728">
        <v>659377.42220967088</v>
      </c>
      <c r="K14" s="728">
        <v>659377.42220967088</v>
      </c>
      <c r="L14" s="728">
        <v>462420.2063809713</v>
      </c>
      <c r="M14" s="728">
        <v>0</v>
      </c>
      <c r="N14" s="728">
        <v>28204.173500515499</v>
      </c>
      <c r="O14" s="748">
        <v>330993.31650866132</v>
      </c>
      <c r="P14" s="728">
        <v>0</v>
      </c>
      <c r="Q14" s="728">
        <v>0</v>
      </c>
      <c r="R14" s="728">
        <v>0</v>
      </c>
      <c r="S14" s="728">
        <v>0</v>
      </c>
      <c r="T14" s="728">
        <v>0</v>
      </c>
      <c r="U14" s="728">
        <v>0</v>
      </c>
      <c r="V14" s="728">
        <v>0</v>
      </c>
      <c r="W14" s="728">
        <v>0</v>
      </c>
      <c r="X14" s="728">
        <v>0</v>
      </c>
      <c r="Y14" s="728">
        <v>0</v>
      </c>
      <c r="Z14" s="728">
        <v>0</v>
      </c>
      <c r="AA14" s="728">
        <v>0</v>
      </c>
    </row>
    <row r="15" spans="1:27">
      <c r="A15" s="526">
        <v>1.2</v>
      </c>
      <c r="B15" s="524" t="s">
        <v>891</v>
      </c>
      <c r="C15" s="741">
        <f>D15+H15+L15+T15</f>
        <v>7920610.6299693612</v>
      </c>
      <c r="D15" s="728">
        <v>3763615.6005493938</v>
      </c>
      <c r="E15" s="728">
        <v>418081.13890400319</v>
      </c>
      <c r="F15" s="728">
        <v>0</v>
      </c>
      <c r="G15" s="728">
        <v>0</v>
      </c>
      <c r="H15" s="728">
        <v>2040140.2762877396</v>
      </c>
      <c r="I15" s="728">
        <v>77085.781384435759</v>
      </c>
      <c r="J15" s="728">
        <v>642356.68698278605</v>
      </c>
      <c r="K15" s="728">
        <v>0</v>
      </c>
      <c r="L15" s="728">
        <v>2116849.7414411004</v>
      </c>
      <c r="M15" s="728">
        <v>14993.4861122642</v>
      </c>
      <c r="N15" s="728">
        <v>223844.58878887052</v>
      </c>
      <c r="O15" s="728">
        <v>1635203.6331733526</v>
      </c>
      <c r="P15" s="728">
        <v>0</v>
      </c>
      <c r="Q15" s="728">
        <v>0</v>
      </c>
      <c r="R15" s="728">
        <v>0</v>
      </c>
      <c r="S15" s="728">
        <v>0</v>
      </c>
      <c r="T15" s="728">
        <v>5.0116911283480103</v>
      </c>
      <c r="U15" s="728">
        <v>0</v>
      </c>
      <c r="V15" s="728">
        <v>0</v>
      </c>
      <c r="W15" s="728">
        <v>0</v>
      </c>
      <c r="X15" s="728">
        <v>0</v>
      </c>
      <c r="Y15" s="728">
        <v>0</v>
      </c>
      <c r="Z15" s="728">
        <v>0</v>
      </c>
      <c r="AA15" s="728">
        <v>0</v>
      </c>
    </row>
    <row r="16" spans="1:27">
      <c r="A16" s="525">
        <v>1.3</v>
      </c>
      <c r="B16" s="524" t="s">
        <v>580</v>
      </c>
      <c r="C16" s="744"/>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6"/>
    </row>
    <row r="17" spans="1:27" ht="24">
      <c r="A17" s="521" t="s">
        <v>581</v>
      </c>
      <c r="B17" s="523" t="s">
        <v>582</v>
      </c>
      <c r="C17" s="747">
        <f t="shared" ref="C17:C21" si="1">D17+H17+L17+T17</f>
        <v>955151000.66518092</v>
      </c>
      <c r="D17" s="728">
        <v>935928429.20249534</v>
      </c>
      <c r="E17" s="728">
        <v>3114032.6338625294</v>
      </c>
      <c r="F17" s="728">
        <v>0</v>
      </c>
      <c r="G17" s="728">
        <v>0</v>
      </c>
      <c r="H17" s="728">
        <v>16156252.058445169</v>
      </c>
      <c r="I17" s="728">
        <v>277710.11569433846</v>
      </c>
      <c r="J17" s="728">
        <v>1917793.7952290892</v>
      </c>
      <c r="K17" s="728">
        <v>0</v>
      </c>
      <c r="L17" s="728">
        <v>3065674.6614181818</v>
      </c>
      <c r="M17" s="728">
        <v>22310.927561914723</v>
      </c>
      <c r="N17" s="728">
        <v>320819.36178963282</v>
      </c>
      <c r="O17" s="728">
        <v>2356993.0845911801</v>
      </c>
      <c r="P17" s="728">
        <v>0</v>
      </c>
      <c r="Q17" s="728">
        <v>0</v>
      </c>
      <c r="R17" s="728">
        <v>0</v>
      </c>
      <c r="S17" s="728">
        <v>0</v>
      </c>
      <c r="T17" s="728">
        <v>644.74282219553504</v>
      </c>
      <c r="U17" s="728">
        <v>0</v>
      </c>
      <c r="V17" s="728">
        <v>0</v>
      </c>
      <c r="W17" s="728">
        <v>0</v>
      </c>
      <c r="X17" s="728">
        <v>0</v>
      </c>
      <c r="Y17" s="728">
        <v>0</v>
      </c>
      <c r="Z17" s="728">
        <v>0</v>
      </c>
      <c r="AA17" s="728">
        <v>0</v>
      </c>
    </row>
    <row r="18" spans="1:27" ht="24">
      <c r="A18" s="519" t="s">
        <v>583</v>
      </c>
      <c r="B18" s="520" t="s">
        <v>584</v>
      </c>
      <c r="C18" s="747">
        <f t="shared" si="1"/>
        <v>844440279.0994103</v>
      </c>
      <c r="D18" s="728">
        <v>828726309.65397227</v>
      </c>
      <c r="E18" s="728">
        <v>2293997.4651290416</v>
      </c>
      <c r="F18" s="728">
        <v>0</v>
      </c>
      <c r="G18" s="728">
        <v>0</v>
      </c>
      <c r="H18" s="728">
        <v>13906642.546728913</v>
      </c>
      <c r="I18" s="728">
        <v>72774.970463493606</v>
      </c>
      <c r="J18" s="728">
        <v>945916.82775391778</v>
      </c>
      <c r="K18" s="728">
        <v>0</v>
      </c>
      <c r="L18" s="728">
        <v>1806682.1558868852</v>
      </c>
      <c r="M18" s="728">
        <v>9307.8735282289599</v>
      </c>
      <c r="N18" s="728">
        <v>248271.85263933078</v>
      </c>
      <c r="O18" s="728">
        <v>1353700.3807608974</v>
      </c>
      <c r="P18" s="728">
        <v>0</v>
      </c>
      <c r="Q18" s="728">
        <v>0</v>
      </c>
      <c r="R18" s="728">
        <v>0</v>
      </c>
      <c r="S18" s="728">
        <v>0</v>
      </c>
      <c r="T18" s="728">
        <v>644.74282219553504</v>
      </c>
      <c r="U18" s="728">
        <v>0</v>
      </c>
      <c r="V18" s="728">
        <v>0</v>
      </c>
      <c r="W18" s="728">
        <v>0</v>
      </c>
      <c r="X18" s="728">
        <v>0</v>
      </c>
      <c r="Y18" s="728">
        <v>0</v>
      </c>
      <c r="Z18" s="728">
        <v>0</v>
      </c>
      <c r="AA18" s="728">
        <v>0</v>
      </c>
    </row>
    <row r="19" spans="1:27">
      <c r="A19" s="521" t="s">
        <v>585</v>
      </c>
      <c r="B19" s="522" t="s">
        <v>586</v>
      </c>
      <c r="C19" s="747">
        <f t="shared" si="1"/>
        <v>1099843593.1024914</v>
      </c>
      <c r="D19" s="728">
        <v>1086061589.0517831</v>
      </c>
      <c r="E19" s="728">
        <v>2640628.7942056479</v>
      </c>
      <c r="F19" s="728">
        <v>0</v>
      </c>
      <c r="G19" s="728">
        <v>0</v>
      </c>
      <c r="H19" s="728">
        <v>12850583.969407717</v>
      </c>
      <c r="I19" s="728">
        <v>252287.08430566138</v>
      </c>
      <c r="J19" s="728">
        <v>1185625.2487656239</v>
      </c>
      <c r="K19" s="728">
        <v>0</v>
      </c>
      <c r="L19" s="728">
        <v>911471.72658181866</v>
      </c>
      <c r="M19" s="728">
        <v>14700.352438085278</v>
      </c>
      <c r="N19" s="728">
        <v>140784.04587509023</v>
      </c>
      <c r="O19" s="728">
        <v>574603.38774409716</v>
      </c>
      <c r="P19" s="728">
        <v>0</v>
      </c>
      <c r="Q19" s="728">
        <v>0</v>
      </c>
      <c r="R19" s="728">
        <v>0</v>
      </c>
      <c r="S19" s="728">
        <v>0</v>
      </c>
      <c r="T19" s="728">
        <v>19948.354718701899</v>
      </c>
      <c r="U19" s="728">
        <v>0</v>
      </c>
      <c r="V19" s="728">
        <v>0</v>
      </c>
      <c r="W19" s="728">
        <v>0</v>
      </c>
      <c r="X19" s="728">
        <v>0</v>
      </c>
      <c r="Y19" s="728">
        <v>0</v>
      </c>
      <c r="Z19" s="728">
        <v>0</v>
      </c>
      <c r="AA19" s="728">
        <v>0</v>
      </c>
    </row>
    <row r="20" spans="1:27">
      <c r="A20" s="519" t="s">
        <v>587</v>
      </c>
      <c r="B20" s="520" t="s">
        <v>588</v>
      </c>
      <c r="C20" s="747">
        <f t="shared" si="1"/>
        <v>1009768479.9285105</v>
      </c>
      <c r="D20" s="728">
        <v>998980135.94610679</v>
      </c>
      <c r="E20" s="728">
        <v>2213129.9629391343</v>
      </c>
      <c r="F20" s="728">
        <v>0</v>
      </c>
      <c r="G20" s="728">
        <v>0</v>
      </c>
      <c r="H20" s="728">
        <v>10030701.735171968</v>
      </c>
      <c r="I20" s="728">
        <v>148962.2295365062</v>
      </c>
      <c r="J20" s="728">
        <v>668314.21624079568</v>
      </c>
      <c r="K20" s="728">
        <v>0</v>
      </c>
      <c r="L20" s="728">
        <v>737693.89251311508</v>
      </c>
      <c r="M20" s="728">
        <v>3603.4064717710398</v>
      </c>
      <c r="N20" s="728">
        <v>107291.55502539221</v>
      </c>
      <c r="O20" s="728">
        <v>504996.09157438012</v>
      </c>
      <c r="P20" s="728">
        <v>0</v>
      </c>
      <c r="Q20" s="728">
        <v>0</v>
      </c>
      <c r="R20" s="728">
        <v>0</v>
      </c>
      <c r="S20" s="728">
        <v>0</v>
      </c>
      <c r="T20" s="728">
        <v>19948.354718701899</v>
      </c>
      <c r="U20" s="728">
        <v>0</v>
      </c>
      <c r="V20" s="728">
        <v>0</v>
      </c>
      <c r="W20" s="728">
        <v>0</v>
      </c>
      <c r="X20" s="728">
        <v>0</v>
      </c>
      <c r="Y20" s="728">
        <v>0</v>
      </c>
      <c r="Z20" s="728">
        <v>0</v>
      </c>
      <c r="AA20" s="728">
        <v>0</v>
      </c>
    </row>
    <row r="21" spans="1:27">
      <c r="A21" s="518">
        <v>1.4</v>
      </c>
      <c r="B21" s="517" t="s">
        <v>677</v>
      </c>
      <c r="C21" s="747">
        <f t="shared" si="1"/>
        <v>69558.92605641167</v>
      </c>
      <c r="D21" s="728">
        <v>69558.92605641167</v>
      </c>
      <c r="E21" s="728">
        <v>0</v>
      </c>
      <c r="F21" s="728">
        <v>0</v>
      </c>
      <c r="G21" s="728">
        <v>0</v>
      </c>
      <c r="H21" s="728">
        <v>0</v>
      </c>
      <c r="I21" s="728">
        <v>0</v>
      </c>
      <c r="J21" s="728">
        <v>0</v>
      </c>
      <c r="K21" s="728">
        <v>0</v>
      </c>
      <c r="L21" s="728">
        <v>0</v>
      </c>
      <c r="M21" s="728">
        <v>0</v>
      </c>
      <c r="N21" s="728">
        <v>0</v>
      </c>
      <c r="O21" s="728">
        <v>0</v>
      </c>
      <c r="P21" s="728">
        <v>0</v>
      </c>
      <c r="Q21" s="728">
        <v>0</v>
      </c>
      <c r="R21" s="728">
        <v>0</v>
      </c>
      <c r="S21" s="728">
        <v>0</v>
      </c>
      <c r="T21" s="728">
        <v>0</v>
      </c>
      <c r="U21" s="728">
        <v>0</v>
      </c>
      <c r="V21" s="728">
        <v>0</v>
      </c>
      <c r="W21" s="728">
        <v>0</v>
      </c>
      <c r="X21" s="728">
        <v>0</v>
      </c>
      <c r="Y21" s="728">
        <v>0</v>
      </c>
      <c r="Z21" s="728">
        <v>0</v>
      </c>
      <c r="AA21" s="728">
        <v>0</v>
      </c>
    </row>
    <row r="22" spans="1:27" ht="12.6" thickBot="1">
      <c r="A22" s="516">
        <v>1.5</v>
      </c>
      <c r="B22" s="515" t="s">
        <v>678</v>
      </c>
      <c r="C22" s="514"/>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ignoredErrors>
    <ignoredError sqref="C10" formula="1"/>
    <ignoredError sqref="D10:AA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L35"/>
  <sheetViews>
    <sheetView showGridLines="0" topLeftCell="A5" zoomScale="80" zoomScaleNormal="80" workbookViewId="0">
      <selection activeCell="P35" sqref="P35"/>
    </sheetView>
  </sheetViews>
  <sheetFormatPr defaultColWidth="9.21875" defaultRowHeight="12"/>
  <cols>
    <col min="1" max="1" width="11.77734375" style="483" bestFit="1" customWidth="1"/>
    <col min="2" max="2" width="93.44140625" style="483" customWidth="1"/>
    <col min="3" max="3" width="14.6640625" style="483" customWidth="1"/>
    <col min="4" max="5" width="16.109375" style="483" customWidth="1"/>
    <col min="6" max="6" width="16.109375" style="503" customWidth="1"/>
    <col min="7" max="7" width="25.21875" style="503" customWidth="1"/>
    <col min="8" max="8" width="16.109375" style="483" customWidth="1"/>
    <col min="9" max="11" width="16.109375" style="503" customWidth="1"/>
    <col min="12" max="12" width="26.21875" style="503" customWidth="1"/>
    <col min="13" max="16384" width="9.21875" style="483"/>
  </cols>
  <sheetData>
    <row r="1" spans="1:12" ht="13.8">
      <c r="A1" s="375" t="s">
        <v>109</v>
      </c>
      <c r="B1" s="306" t="str">
        <f>Info!C2</f>
        <v>კრედო</v>
      </c>
      <c r="F1" s="483"/>
      <c r="G1" s="483"/>
      <c r="I1" s="483"/>
      <c r="J1" s="483"/>
      <c r="K1" s="483"/>
      <c r="L1" s="483"/>
    </row>
    <row r="2" spans="1:12">
      <c r="A2" s="375" t="s">
        <v>110</v>
      </c>
      <c r="B2" s="378">
        <f>'1. key ratios'!B2</f>
        <v>45657</v>
      </c>
      <c r="F2" s="483"/>
      <c r="G2" s="483"/>
      <c r="I2" s="483"/>
      <c r="J2" s="483"/>
      <c r="K2" s="483"/>
      <c r="L2" s="483"/>
    </row>
    <row r="3" spans="1:12">
      <c r="A3" s="377" t="s">
        <v>591</v>
      </c>
      <c r="F3" s="483"/>
      <c r="G3" s="483"/>
      <c r="I3" s="483"/>
      <c r="J3" s="483"/>
      <c r="K3" s="483"/>
      <c r="L3" s="483"/>
    </row>
    <row r="4" spans="1:12">
      <c r="F4" s="483"/>
      <c r="G4" s="483"/>
      <c r="I4" s="483"/>
      <c r="J4" s="483"/>
      <c r="K4" s="483"/>
      <c r="L4" s="483"/>
    </row>
    <row r="5" spans="1:12" ht="37.5" customHeight="1">
      <c r="A5" s="854" t="s">
        <v>592</v>
      </c>
      <c r="B5" s="855"/>
      <c r="C5" s="903" t="s">
        <v>593</v>
      </c>
      <c r="D5" s="904"/>
      <c r="E5" s="904"/>
      <c r="F5" s="904"/>
      <c r="G5" s="904"/>
      <c r="H5" s="903" t="s">
        <v>903</v>
      </c>
      <c r="I5" s="905"/>
      <c r="J5" s="905"/>
      <c r="K5" s="905"/>
      <c r="L5" s="906"/>
    </row>
    <row r="6" spans="1:12" ht="39.450000000000003" customHeight="1">
      <c r="A6" s="858"/>
      <c r="B6" s="859"/>
      <c r="C6" s="382"/>
      <c r="D6" s="481" t="s">
        <v>888</v>
      </c>
      <c r="E6" s="481" t="s">
        <v>887</v>
      </c>
      <c r="F6" s="481" t="s">
        <v>886</v>
      </c>
      <c r="G6" s="481" t="s">
        <v>885</v>
      </c>
      <c r="H6" s="504"/>
      <c r="I6" s="481" t="s">
        <v>888</v>
      </c>
      <c r="J6" s="481" t="s">
        <v>887</v>
      </c>
      <c r="K6" s="481" t="s">
        <v>886</v>
      </c>
      <c r="L6" s="481" t="s">
        <v>885</v>
      </c>
    </row>
    <row r="7" spans="1:12">
      <c r="A7" s="473">
        <v>1</v>
      </c>
      <c r="B7" s="486" t="s">
        <v>515</v>
      </c>
      <c r="C7" s="739">
        <f>SUM(D7:G7)</f>
        <v>23313189.280000001</v>
      </c>
      <c r="D7" s="738">
        <v>22821254.620000001</v>
      </c>
      <c r="E7" s="738">
        <v>365348.57</v>
      </c>
      <c r="F7" s="738">
        <v>126586.09</v>
      </c>
      <c r="G7" s="738">
        <v>0</v>
      </c>
      <c r="H7" s="734">
        <f>SUM(I7:L7)</f>
        <v>380333.66000000003</v>
      </c>
      <c r="I7" s="728">
        <v>199965.92</v>
      </c>
      <c r="J7" s="728">
        <v>77124.23</v>
      </c>
      <c r="K7" s="728">
        <v>103243.51</v>
      </c>
      <c r="L7" s="728">
        <v>0</v>
      </c>
    </row>
    <row r="8" spans="1:12">
      <c r="A8" s="473">
        <v>2</v>
      </c>
      <c r="B8" s="486" t="s">
        <v>516</v>
      </c>
      <c r="C8" s="739">
        <f t="shared" ref="C8:C32" si="0">SUM(D8:G8)</f>
        <v>15090129.039999999</v>
      </c>
      <c r="D8" s="728">
        <v>14784353.6</v>
      </c>
      <c r="E8" s="728">
        <v>245827.57</v>
      </c>
      <c r="F8" s="736">
        <v>59947.87</v>
      </c>
      <c r="G8" s="736">
        <v>0</v>
      </c>
      <c r="H8" s="734">
        <f t="shared" ref="H8:H32" si="1">SUM(I8:L8)</f>
        <v>227477.4</v>
      </c>
      <c r="I8" s="736">
        <v>126789.56</v>
      </c>
      <c r="J8" s="736">
        <v>61296.03</v>
      </c>
      <c r="K8" s="736">
        <v>39391.81</v>
      </c>
      <c r="L8" s="736">
        <v>0</v>
      </c>
    </row>
    <row r="9" spans="1:12">
      <c r="A9" s="473">
        <v>3</v>
      </c>
      <c r="B9" s="486" t="s">
        <v>864</v>
      </c>
      <c r="C9" s="739">
        <f t="shared" si="0"/>
        <v>7334837.3600000003</v>
      </c>
      <c r="D9" s="728">
        <v>7017697.9400000004</v>
      </c>
      <c r="E9" s="728">
        <v>240269.6</v>
      </c>
      <c r="F9" s="737">
        <v>76869.820000000007</v>
      </c>
      <c r="G9" s="737">
        <v>0</v>
      </c>
      <c r="H9" s="734">
        <f t="shared" si="1"/>
        <v>168316.63</v>
      </c>
      <c r="I9" s="737">
        <v>59668.97</v>
      </c>
      <c r="J9" s="737">
        <v>46294</v>
      </c>
      <c r="K9" s="737">
        <v>62353.66</v>
      </c>
      <c r="L9" s="737">
        <v>0</v>
      </c>
    </row>
    <row r="10" spans="1:12">
      <c r="A10" s="473">
        <v>4</v>
      </c>
      <c r="B10" s="486" t="s">
        <v>517</v>
      </c>
      <c r="C10" s="739">
        <f t="shared" si="0"/>
        <v>26465151.430000003</v>
      </c>
      <c r="D10" s="728">
        <v>26455287.170000002</v>
      </c>
      <c r="E10" s="728">
        <v>9864.26</v>
      </c>
      <c r="F10" s="737">
        <v>0</v>
      </c>
      <c r="G10" s="737">
        <v>0</v>
      </c>
      <c r="H10" s="734">
        <f t="shared" si="1"/>
        <v>65765.759999999995</v>
      </c>
      <c r="I10" s="737">
        <v>64277.79</v>
      </c>
      <c r="J10" s="737">
        <v>1487.97</v>
      </c>
      <c r="K10" s="737">
        <v>0</v>
      </c>
      <c r="L10" s="737">
        <v>0</v>
      </c>
    </row>
    <row r="11" spans="1:12">
      <c r="A11" s="473">
        <v>5</v>
      </c>
      <c r="B11" s="486" t="s">
        <v>518</v>
      </c>
      <c r="C11" s="739">
        <f t="shared" si="0"/>
        <v>41211291.539999999</v>
      </c>
      <c r="D11" s="728">
        <v>40493448.009999998</v>
      </c>
      <c r="E11" s="728">
        <v>686893.42</v>
      </c>
      <c r="F11" s="737">
        <v>30950.11</v>
      </c>
      <c r="G11" s="737">
        <v>0</v>
      </c>
      <c r="H11" s="734">
        <f t="shared" si="1"/>
        <v>220346.44</v>
      </c>
      <c r="I11" s="737">
        <v>129579.55</v>
      </c>
      <c r="J11" s="737">
        <v>65955.73</v>
      </c>
      <c r="K11" s="737">
        <v>24811.16</v>
      </c>
      <c r="L11" s="737">
        <v>0</v>
      </c>
    </row>
    <row r="12" spans="1:12">
      <c r="A12" s="473">
        <v>6</v>
      </c>
      <c r="B12" s="486" t="s">
        <v>519</v>
      </c>
      <c r="C12" s="739">
        <f t="shared" si="0"/>
        <v>12361191.370000001</v>
      </c>
      <c r="D12" s="728">
        <v>11905287.460000001</v>
      </c>
      <c r="E12" s="728">
        <v>374478.36</v>
      </c>
      <c r="F12" s="737">
        <v>81425.55</v>
      </c>
      <c r="G12" s="737">
        <v>0</v>
      </c>
      <c r="H12" s="734">
        <f t="shared" si="1"/>
        <v>247674.62</v>
      </c>
      <c r="I12" s="737">
        <v>97383.94</v>
      </c>
      <c r="J12" s="737">
        <v>84040.31</v>
      </c>
      <c r="K12" s="737">
        <v>66250.37</v>
      </c>
      <c r="L12" s="737">
        <v>0</v>
      </c>
    </row>
    <row r="13" spans="1:12">
      <c r="A13" s="473">
        <v>7</v>
      </c>
      <c r="B13" s="486" t="s">
        <v>520</v>
      </c>
      <c r="C13" s="739">
        <f t="shared" si="0"/>
        <v>4148121.24</v>
      </c>
      <c r="D13" s="728">
        <v>3867318.85</v>
      </c>
      <c r="E13" s="728">
        <v>222291.65</v>
      </c>
      <c r="F13" s="737">
        <v>58510.74</v>
      </c>
      <c r="G13" s="737">
        <v>0</v>
      </c>
      <c r="H13" s="734">
        <f t="shared" si="1"/>
        <v>122458.62</v>
      </c>
      <c r="I13" s="737">
        <v>35762.9</v>
      </c>
      <c r="J13" s="737">
        <v>39352.06</v>
      </c>
      <c r="K13" s="737">
        <v>47343.66</v>
      </c>
      <c r="L13" s="737">
        <v>0</v>
      </c>
    </row>
    <row r="14" spans="1:12">
      <c r="A14" s="473">
        <v>8</v>
      </c>
      <c r="B14" s="486" t="s">
        <v>521</v>
      </c>
      <c r="C14" s="739">
        <f t="shared" si="0"/>
        <v>187508776.63</v>
      </c>
      <c r="D14" s="728">
        <v>180205087.28999999</v>
      </c>
      <c r="E14" s="728">
        <v>5675384.6200000001</v>
      </c>
      <c r="F14" s="737">
        <v>1616454.9</v>
      </c>
      <c r="G14" s="737">
        <v>11849.82</v>
      </c>
      <c r="H14" s="734">
        <f t="shared" si="1"/>
        <v>3574022.28</v>
      </c>
      <c r="I14" s="737">
        <v>1337461.17</v>
      </c>
      <c r="J14" s="737">
        <v>1079647.83</v>
      </c>
      <c r="K14" s="737">
        <v>1156776.47</v>
      </c>
      <c r="L14" s="737">
        <v>136.81</v>
      </c>
    </row>
    <row r="15" spans="1:12">
      <c r="A15" s="473">
        <v>9</v>
      </c>
      <c r="B15" s="486" t="s">
        <v>522</v>
      </c>
      <c r="C15" s="739">
        <f t="shared" si="0"/>
        <v>35990068.230000004</v>
      </c>
      <c r="D15" s="728">
        <v>34783602.07</v>
      </c>
      <c r="E15" s="728">
        <v>1040058.45</v>
      </c>
      <c r="F15" s="737">
        <v>166407.71</v>
      </c>
      <c r="G15" s="737">
        <v>0</v>
      </c>
      <c r="H15" s="734">
        <f t="shared" si="1"/>
        <v>600361.37</v>
      </c>
      <c r="I15" s="737">
        <v>268739.09000000003</v>
      </c>
      <c r="J15" s="737">
        <v>196256.76</v>
      </c>
      <c r="K15" s="737">
        <v>135365.51999999999</v>
      </c>
      <c r="L15" s="737">
        <v>0</v>
      </c>
    </row>
    <row r="16" spans="1:12">
      <c r="A16" s="473">
        <v>10</v>
      </c>
      <c r="B16" s="486" t="s">
        <v>523</v>
      </c>
      <c r="C16" s="739">
        <f t="shared" si="0"/>
        <v>16714598.66</v>
      </c>
      <c r="D16" s="728">
        <v>16028578.99</v>
      </c>
      <c r="E16" s="728">
        <v>632028.06000000006</v>
      </c>
      <c r="F16" s="737">
        <v>53991.61</v>
      </c>
      <c r="G16" s="737">
        <v>0</v>
      </c>
      <c r="H16" s="734">
        <f t="shared" si="1"/>
        <v>253122.6</v>
      </c>
      <c r="I16" s="737">
        <v>117311.83</v>
      </c>
      <c r="J16" s="737">
        <v>91710.5</v>
      </c>
      <c r="K16" s="737">
        <v>44100.27</v>
      </c>
      <c r="L16" s="737">
        <v>0</v>
      </c>
    </row>
    <row r="17" spans="1:12">
      <c r="A17" s="473">
        <v>11</v>
      </c>
      <c r="B17" s="486" t="s">
        <v>524</v>
      </c>
      <c r="C17" s="739">
        <f t="shared" si="0"/>
        <v>8310388.3099999996</v>
      </c>
      <c r="D17" s="728">
        <v>8028241.4199999999</v>
      </c>
      <c r="E17" s="728">
        <v>225467.05</v>
      </c>
      <c r="F17" s="737">
        <v>46437.08</v>
      </c>
      <c r="G17" s="737">
        <v>10242.76</v>
      </c>
      <c r="H17" s="734">
        <f t="shared" si="1"/>
        <v>155266.84</v>
      </c>
      <c r="I17" s="737">
        <v>77787.69</v>
      </c>
      <c r="J17" s="737">
        <v>39362.400000000001</v>
      </c>
      <c r="K17" s="737">
        <v>37998.49</v>
      </c>
      <c r="L17" s="737">
        <v>118.26</v>
      </c>
    </row>
    <row r="18" spans="1:12">
      <c r="A18" s="473">
        <v>12</v>
      </c>
      <c r="B18" s="486" t="s">
        <v>525</v>
      </c>
      <c r="C18" s="739">
        <f t="shared" si="0"/>
        <v>136933843.36000001</v>
      </c>
      <c r="D18" s="728">
        <v>131462611.58</v>
      </c>
      <c r="E18" s="728">
        <v>4646818.88</v>
      </c>
      <c r="F18" s="737">
        <v>824412.9</v>
      </c>
      <c r="G18" s="737">
        <v>0</v>
      </c>
      <c r="H18" s="734">
        <f t="shared" si="1"/>
        <v>2340815.1799999997</v>
      </c>
      <c r="I18" s="737">
        <v>904065.35</v>
      </c>
      <c r="J18" s="737">
        <v>791894.78</v>
      </c>
      <c r="K18" s="737">
        <v>644855.05000000005</v>
      </c>
      <c r="L18" s="737">
        <v>0</v>
      </c>
    </row>
    <row r="19" spans="1:12">
      <c r="A19" s="473">
        <v>13</v>
      </c>
      <c r="B19" s="486" t="s">
        <v>526</v>
      </c>
      <c r="C19" s="739">
        <f t="shared" si="0"/>
        <v>21915489.649999999</v>
      </c>
      <c r="D19" s="728">
        <v>21022747.809999999</v>
      </c>
      <c r="E19" s="728">
        <v>770924.19</v>
      </c>
      <c r="F19" s="737">
        <v>121817.65</v>
      </c>
      <c r="G19" s="737">
        <v>0</v>
      </c>
      <c r="H19" s="734">
        <f t="shared" si="1"/>
        <v>457660.26</v>
      </c>
      <c r="I19" s="737">
        <v>161766.88</v>
      </c>
      <c r="J19" s="737">
        <v>196771.78</v>
      </c>
      <c r="K19" s="737">
        <v>99121.600000000006</v>
      </c>
      <c r="L19" s="737">
        <v>0</v>
      </c>
    </row>
    <row r="20" spans="1:12">
      <c r="A20" s="473">
        <v>14</v>
      </c>
      <c r="B20" s="486" t="s">
        <v>527</v>
      </c>
      <c r="C20" s="739">
        <f t="shared" si="0"/>
        <v>70202350.260000005</v>
      </c>
      <c r="D20" s="728">
        <v>67483576.730000004</v>
      </c>
      <c r="E20" s="728">
        <v>2568131.0499999998</v>
      </c>
      <c r="F20" s="737">
        <v>150642.48000000001</v>
      </c>
      <c r="G20" s="737">
        <v>0</v>
      </c>
      <c r="H20" s="734">
        <f t="shared" si="1"/>
        <v>603778.25</v>
      </c>
      <c r="I20" s="737">
        <v>255016.92</v>
      </c>
      <c r="J20" s="737">
        <v>233443.68</v>
      </c>
      <c r="K20" s="737">
        <v>115317.65</v>
      </c>
      <c r="L20" s="737">
        <v>0</v>
      </c>
    </row>
    <row r="21" spans="1:12">
      <c r="A21" s="473">
        <v>15</v>
      </c>
      <c r="B21" s="486" t="s">
        <v>528</v>
      </c>
      <c r="C21" s="739">
        <f t="shared" si="0"/>
        <v>48999061.340000004</v>
      </c>
      <c r="D21" s="728">
        <v>46416715.520000003</v>
      </c>
      <c r="E21" s="728">
        <v>1954043.89</v>
      </c>
      <c r="F21" s="737">
        <v>628301.93000000005</v>
      </c>
      <c r="G21" s="737">
        <v>0</v>
      </c>
      <c r="H21" s="734">
        <f t="shared" si="1"/>
        <v>1145686.92</v>
      </c>
      <c r="I21" s="737">
        <v>368546.9</v>
      </c>
      <c r="J21" s="737">
        <v>306912.99</v>
      </c>
      <c r="K21" s="737">
        <v>470227.03</v>
      </c>
      <c r="L21" s="737">
        <v>0</v>
      </c>
    </row>
    <row r="22" spans="1:12">
      <c r="A22" s="473">
        <v>16</v>
      </c>
      <c r="B22" s="486" t="s">
        <v>529</v>
      </c>
      <c r="C22" s="739">
        <f t="shared" si="0"/>
        <v>13449643.09</v>
      </c>
      <c r="D22" s="728">
        <v>12893413.220000001</v>
      </c>
      <c r="E22" s="728">
        <v>471526.54</v>
      </c>
      <c r="F22" s="737">
        <v>84703.33</v>
      </c>
      <c r="G22" s="737">
        <v>0</v>
      </c>
      <c r="H22" s="734">
        <f t="shared" si="1"/>
        <v>221316.15</v>
      </c>
      <c r="I22" s="737">
        <v>89662.45</v>
      </c>
      <c r="J22" s="737">
        <v>74000.22</v>
      </c>
      <c r="K22" s="737">
        <v>57653.48</v>
      </c>
      <c r="L22" s="737">
        <v>0</v>
      </c>
    </row>
    <row r="23" spans="1:12">
      <c r="A23" s="473">
        <v>17</v>
      </c>
      <c r="B23" s="486" t="s">
        <v>530</v>
      </c>
      <c r="C23" s="739">
        <f t="shared" si="0"/>
        <v>1009393.3</v>
      </c>
      <c r="D23" s="728">
        <v>950797.73</v>
      </c>
      <c r="E23" s="728">
        <v>52756.76</v>
      </c>
      <c r="F23" s="737">
        <v>5838.81</v>
      </c>
      <c r="G23" s="737">
        <v>0</v>
      </c>
      <c r="H23" s="734">
        <f t="shared" si="1"/>
        <v>24074.9</v>
      </c>
      <c r="I23" s="737">
        <v>9315.17</v>
      </c>
      <c r="J23" s="737">
        <v>10037.74</v>
      </c>
      <c r="K23" s="737">
        <v>4721.99</v>
      </c>
      <c r="L23" s="737">
        <v>0</v>
      </c>
    </row>
    <row r="24" spans="1:12">
      <c r="A24" s="473">
        <v>18</v>
      </c>
      <c r="B24" s="486" t="s">
        <v>531</v>
      </c>
      <c r="C24" s="739">
        <f t="shared" si="0"/>
        <v>3797761.69</v>
      </c>
      <c r="D24" s="728">
        <v>3647740.54</v>
      </c>
      <c r="E24" s="728">
        <v>147060.96</v>
      </c>
      <c r="F24" s="737">
        <v>2960.19</v>
      </c>
      <c r="G24" s="737">
        <v>0</v>
      </c>
      <c r="H24" s="734">
        <f t="shared" si="1"/>
        <v>63586.93</v>
      </c>
      <c r="I24" s="737">
        <v>34907.61</v>
      </c>
      <c r="J24" s="737">
        <v>26284.94</v>
      </c>
      <c r="K24" s="737">
        <v>2394.38</v>
      </c>
      <c r="L24" s="737">
        <v>0</v>
      </c>
    </row>
    <row r="25" spans="1:12">
      <c r="A25" s="473">
        <v>19</v>
      </c>
      <c r="B25" s="486" t="s">
        <v>532</v>
      </c>
      <c r="C25" s="739">
        <f t="shared" si="0"/>
        <v>7244051.4100000001</v>
      </c>
      <c r="D25" s="728">
        <v>6963108.8799999999</v>
      </c>
      <c r="E25" s="728">
        <v>271053.42</v>
      </c>
      <c r="F25" s="737">
        <v>9889.11</v>
      </c>
      <c r="G25" s="737">
        <v>0</v>
      </c>
      <c r="H25" s="734">
        <f t="shared" si="1"/>
        <v>98390.8</v>
      </c>
      <c r="I25" s="737">
        <v>46676.76</v>
      </c>
      <c r="J25" s="737">
        <v>43611.75</v>
      </c>
      <c r="K25" s="737">
        <v>8102.29</v>
      </c>
      <c r="L25" s="737">
        <v>0</v>
      </c>
    </row>
    <row r="26" spans="1:12">
      <c r="A26" s="473">
        <v>20</v>
      </c>
      <c r="B26" s="486" t="s">
        <v>533</v>
      </c>
      <c r="C26" s="739">
        <f t="shared" si="0"/>
        <v>19959122.140000001</v>
      </c>
      <c r="D26" s="728">
        <v>19694933.18</v>
      </c>
      <c r="E26" s="728">
        <v>229629.57</v>
      </c>
      <c r="F26" s="737">
        <v>34559.39</v>
      </c>
      <c r="G26" s="737">
        <v>0</v>
      </c>
      <c r="H26" s="734">
        <f t="shared" si="1"/>
        <v>208987.55000000002</v>
      </c>
      <c r="I26" s="737">
        <v>137607.17000000001</v>
      </c>
      <c r="J26" s="737">
        <v>42877.82</v>
      </c>
      <c r="K26" s="737">
        <v>28502.560000000001</v>
      </c>
      <c r="L26" s="737">
        <v>0</v>
      </c>
    </row>
    <row r="27" spans="1:12">
      <c r="A27" s="473">
        <v>21</v>
      </c>
      <c r="B27" s="486" t="s">
        <v>534</v>
      </c>
      <c r="C27" s="739">
        <f t="shared" si="0"/>
        <v>2287093.9900000002</v>
      </c>
      <c r="D27" s="728">
        <v>2274350.81</v>
      </c>
      <c r="E27" s="728">
        <v>12523.7</v>
      </c>
      <c r="F27" s="737">
        <v>219.48</v>
      </c>
      <c r="G27" s="737">
        <v>0</v>
      </c>
      <c r="H27" s="734">
        <f t="shared" si="1"/>
        <v>19849.84</v>
      </c>
      <c r="I27" s="737">
        <v>17664.650000000001</v>
      </c>
      <c r="J27" s="737">
        <v>2007.69</v>
      </c>
      <c r="K27" s="737">
        <v>177.5</v>
      </c>
      <c r="L27" s="737">
        <v>0</v>
      </c>
    </row>
    <row r="28" spans="1:12">
      <c r="A28" s="473">
        <v>22</v>
      </c>
      <c r="B28" s="486" t="s">
        <v>535</v>
      </c>
      <c r="C28" s="739">
        <f t="shared" si="0"/>
        <v>1324781.2999999998</v>
      </c>
      <c r="D28" s="728">
        <v>1278944.46</v>
      </c>
      <c r="E28" s="728">
        <v>25910.15</v>
      </c>
      <c r="F28" s="737">
        <v>19926.689999999999</v>
      </c>
      <c r="G28" s="737">
        <v>0</v>
      </c>
      <c r="H28" s="734">
        <f t="shared" si="1"/>
        <v>31410.12</v>
      </c>
      <c r="I28" s="737">
        <v>10147.64</v>
      </c>
      <c r="J28" s="737">
        <v>5147.28</v>
      </c>
      <c r="K28" s="737">
        <v>16115.2</v>
      </c>
      <c r="L28" s="737">
        <v>0</v>
      </c>
    </row>
    <row r="29" spans="1:12">
      <c r="A29" s="473">
        <v>23</v>
      </c>
      <c r="B29" s="486" t="s">
        <v>536</v>
      </c>
      <c r="C29" s="739">
        <f t="shared" si="0"/>
        <v>609672162.74000001</v>
      </c>
      <c r="D29" s="728">
        <v>581983045.26999998</v>
      </c>
      <c r="E29" s="728">
        <v>22435554.09</v>
      </c>
      <c r="F29" s="737">
        <v>5231048.49</v>
      </c>
      <c r="G29" s="737">
        <v>22514.89</v>
      </c>
      <c r="H29" s="734">
        <f t="shared" si="1"/>
        <v>13915659.059999999</v>
      </c>
      <c r="I29" s="737">
        <v>5096896.63</v>
      </c>
      <c r="J29" s="737">
        <v>4713250.84</v>
      </c>
      <c r="K29" s="737">
        <v>4103639.91</v>
      </c>
      <c r="L29" s="737">
        <v>1871.68</v>
      </c>
    </row>
    <row r="30" spans="1:12">
      <c r="A30" s="473">
        <v>24</v>
      </c>
      <c r="B30" s="486" t="s">
        <v>537</v>
      </c>
      <c r="C30" s="739">
        <f t="shared" si="0"/>
        <v>912582364.32000005</v>
      </c>
      <c r="D30" s="728">
        <v>870525432.89999998</v>
      </c>
      <c r="E30" s="728">
        <v>33807519.310000002</v>
      </c>
      <c r="F30" s="737">
        <v>8237296.9800000004</v>
      </c>
      <c r="G30" s="737">
        <v>12115.13</v>
      </c>
      <c r="H30" s="734">
        <f t="shared" si="1"/>
        <v>20982641.270000003</v>
      </c>
      <c r="I30" s="737">
        <v>7557049.46</v>
      </c>
      <c r="J30" s="737">
        <v>6890141.8600000003</v>
      </c>
      <c r="K30" s="737">
        <v>6533778.4199999999</v>
      </c>
      <c r="L30" s="737">
        <v>1671.53</v>
      </c>
    </row>
    <row r="31" spans="1:12">
      <c r="A31" s="473">
        <v>25</v>
      </c>
      <c r="B31" s="486" t="s">
        <v>538</v>
      </c>
      <c r="C31" s="739">
        <f t="shared" si="0"/>
        <v>242888975.67000002</v>
      </c>
      <c r="D31" s="728">
        <v>233898626.80000001</v>
      </c>
      <c r="E31" s="728">
        <v>6908177.3499999996</v>
      </c>
      <c r="F31" s="737">
        <v>2073770.16</v>
      </c>
      <c r="G31" s="737">
        <v>8401.36</v>
      </c>
      <c r="H31" s="734">
        <f t="shared" si="1"/>
        <v>4820394.2300000004</v>
      </c>
      <c r="I31" s="737">
        <v>1916008.54</v>
      </c>
      <c r="J31" s="737">
        <v>1321314.73</v>
      </c>
      <c r="K31" s="737">
        <v>1582973.96</v>
      </c>
      <c r="L31" s="737">
        <v>97</v>
      </c>
    </row>
    <row r="32" spans="1:12">
      <c r="A32" s="473">
        <v>26</v>
      </c>
      <c r="B32" s="486" t="s">
        <v>594</v>
      </c>
      <c r="C32" s="739">
        <f t="shared" si="0"/>
        <v>71855041.739999995</v>
      </c>
      <c r="D32" s="728">
        <v>68849440.909999996</v>
      </c>
      <c r="E32" s="728">
        <v>2373129.84</v>
      </c>
      <c r="F32" s="737">
        <v>632470.99</v>
      </c>
      <c r="G32" s="737">
        <v>0</v>
      </c>
      <c r="H32" s="734">
        <f t="shared" si="1"/>
        <v>1735787.86</v>
      </c>
      <c r="I32" s="737">
        <v>741841.32</v>
      </c>
      <c r="J32" s="737">
        <v>514670.76</v>
      </c>
      <c r="K32" s="737">
        <v>479275.78</v>
      </c>
      <c r="L32" s="737">
        <v>0</v>
      </c>
    </row>
    <row r="33" spans="1:12">
      <c r="A33" s="473">
        <v>27</v>
      </c>
      <c r="B33" s="535" t="s">
        <v>67</v>
      </c>
      <c r="C33" s="739">
        <f>SUM(C7:C32)</f>
        <v>2542568879.0900002</v>
      </c>
      <c r="D33" s="739">
        <f t="shared" ref="D33:G33" si="2">SUM(D7:D32)</f>
        <v>2435735643.7599998</v>
      </c>
      <c r="E33" s="739">
        <f t="shared" si="2"/>
        <v>86392671.310000002</v>
      </c>
      <c r="F33" s="739">
        <f t="shared" si="2"/>
        <v>20375440.059999999</v>
      </c>
      <c r="G33" s="739">
        <f t="shared" si="2"/>
        <v>65123.96</v>
      </c>
      <c r="H33" s="734">
        <f>SUM(H7:H32)</f>
        <v>52685185.540000007</v>
      </c>
      <c r="I33" s="734">
        <f t="shared" ref="I33:L33" si="3">SUM(I7:I32)</f>
        <v>19861901.859999999</v>
      </c>
      <c r="J33" s="734">
        <f t="shared" si="3"/>
        <v>16954896.680000003</v>
      </c>
      <c r="K33" s="734">
        <f t="shared" si="3"/>
        <v>15864491.720000001</v>
      </c>
      <c r="L33" s="734">
        <f t="shared" si="3"/>
        <v>3895.2799999999997</v>
      </c>
    </row>
    <row r="35" spans="1:12">
      <c r="B35" s="534"/>
      <c r="C35" s="534"/>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1"/>
  <sheetViews>
    <sheetView topLeftCell="B45" zoomScale="80" zoomScaleNormal="80" workbookViewId="0">
      <selection activeCell="C55" sqref="C55:C67"/>
    </sheetView>
  </sheetViews>
  <sheetFormatPr defaultRowHeight="14.4"/>
  <cols>
    <col min="1" max="1" width="8.77734375" style="447"/>
    <col min="2" max="2" width="69.21875" style="421" customWidth="1"/>
    <col min="3" max="3" width="13.6640625" customWidth="1"/>
    <col min="4" max="4" width="14.44140625" customWidth="1"/>
    <col min="5" max="5" width="15.44140625" bestFit="1" customWidth="1"/>
    <col min="6" max="6" width="13.88671875" bestFit="1" customWidth="1"/>
    <col min="7" max="7" width="12.21875" bestFit="1" customWidth="1"/>
    <col min="8" max="8" width="13.88671875" bestFit="1" customWidth="1"/>
  </cols>
  <sheetData>
    <row r="1" spans="1:8">
      <c r="A1" s="12" t="s">
        <v>109</v>
      </c>
      <c r="B1" s="306" t="str">
        <f>Info!C2</f>
        <v>კრედო</v>
      </c>
      <c r="C1" s="11"/>
      <c r="D1" s="1"/>
      <c r="E1" s="1"/>
      <c r="F1" s="1"/>
      <c r="G1" s="1"/>
    </row>
    <row r="2" spans="1:8">
      <c r="A2" s="12" t="s">
        <v>110</v>
      </c>
      <c r="B2" s="786">
        <f>'1. key ratios'!B2</f>
        <v>45657</v>
      </c>
      <c r="C2" s="11"/>
      <c r="D2" s="1"/>
      <c r="E2" s="1"/>
      <c r="F2" s="1"/>
      <c r="G2" s="1"/>
    </row>
    <row r="3" spans="1:8">
      <c r="A3" s="12"/>
      <c r="B3" s="11"/>
      <c r="C3" s="11"/>
      <c r="D3" s="1"/>
      <c r="E3" s="1"/>
      <c r="F3" s="1"/>
      <c r="G3" s="1"/>
    </row>
    <row r="4" spans="1:8" ht="21" customHeight="1">
      <c r="A4" s="798" t="s">
        <v>26</v>
      </c>
      <c r="B4" s="799" t="s">
        <v>725</v>
      </c>
      <c r="C4" s="801" t="s">
        <v>115</v>
      </c>
      <c r="D4" s="801"/>
      <c r="E4" s="801"/>
      <c r="F4" s="801" t="s">
        <v>116</v>
      </c>
      <c r="G4" s="801"/>
      <c r="H4" s="802"/>
    </row>
    <row r="5" spans="1:8" ht="21" customHeight="1">
      <c r="A5" s="798"/>
      <c r="B5" s="800"/>
      <c r="C5" s="395" t="s">
        <v>27</v>
      </c>
      <c r="D5" s="395" t="s">
        <v>89</v>
      </c>
      <c r="E5" s="395" t="s">
        <v>67</v>
      </c>
      <c r="F5" s="395" t="s">
        <v>27</v>
      </c>
      <c r="G5" s="395" t="s">
        <v>89</v>
      </c>
      <c r="H5" s="395" t="s">
        <v>67</v>
      </c>
    </row>
    <row r="6" spans="1:8" ht="26.55" customHeight="1">
      <c r="A6" s="798"/>
      <c r="B6" s="396" t="s">
        <v>96</v>
      </c>
      <c r="C6" s="803"/>
      <c r="D6" s="804"/>
      <c r="E6" s="804"/>
      <c r="F6" s="804"/>
      <c r="G6" s="804"/>
      <c r="H6" s="805"/>
    </row>
    <row r="7" spans="1:8" ht="22.95" customHeight="1">
      <c r="A7" s="436">
        <v>1</v>
      </c>
      <c r="B7" s="397" t="s">
        <v>839</v>
      </c>
      <c r="C7" s="727">
        <f>SUM(C8:C10)</f>
        <v>193809112.13999999</v>
      </c>
      <c r="D7" s="727">
        <f>SUM(D8:D10)</f>
        <v>193960662.11640656</v>
      </c>
      <c r="E7" s="664">
        <f>C7+D7</f>
        <v>387769774.25640655</v>
      </c>
      <c r="F7" s="727">
        <f>SUM(F8:F10)</f>
        <v>153504527.38</v>
      </c>
      <c r="G7" s="727">
        <f>SUM(G8:G10)</f>
        <v>167501649.63</v>
      </c>
      <c r="H7" s="664">
        <f>F7+G7</f>
        <v>321006177.00999999</v>
      </c>
    </row>
    <row r="8" spans="1:8">
      <c r="A8" s="436">
        <v>1.1000000000000001</v>
      </c>
      <c r="B8" s="398" t="s">
        <v>97</v>
      </c>
      <c r="C8" s="663">
        <v>58820315.449999996</v>
      </c>
      <c r="D8" s="663">
        <v>50104169.080000006</v>
      </c>
      <c r="E8" s="664">
        <f t="shared" ref="E8:E36" si="0">C8+D8</f>
        <v>108924484.53</v>
      </c>
      <c r="F8" s="663">
        <v>48122091.949999996</v>
      </c>
      <c r="G8" s="663">
        <v>43106861.740000002</v>
      </c>
      <c r="H8" s="664">
        <f t="shared" ref="H8:H36" si="1">F8+G8</f>
        <v>91228953.689999998</v>
      </c>
    </row>
    <row r="9" spans="1:8">
      <c r="A9" s="436">
        <v>1.2</v>
      </c>
      <c r="B9" s="398" t="s">
        <v>98</v>
      </c>
      <c r="C9" s="663">
        <v>129987638.28</v>
      </c>
      <c r="D9" s="663">
        <v>54120387.800000012</v>
      </c>
      <c r="E9" s="664">
        <f t="shared" si="0"/>
        <v>184108026.08000001</v>
      </c>
      <c r="F9" s="663">
        <v>98405777.010000005</v>
      </c>
      <c r="G9" s="663">
        <v>48827621.170000002</v>
      </c>
      <c r="H9" s="664">
        <f t="shared" si="1"/>
        <v>147233398.18000001</v>
      </c>
    </row>
    <row r="10" spans="1:8">
      <c r="A10" s="436">
        <v>1.3</v>
      </c>
      <c r="B10" s="398" t="s">
        <v>99</v>
      </c>
      <c r="C10" s="663">
        <v>5001158.41</v>
      </c>
      <c r="D10" s="663">
        <v>89736105.236406535</v>
      </c>
      <c r="E10" s="664">
        <f t="shared" si="0"/>
        <v>94737263.646406531</v>
      </c>
      <c r="F10" s="663">
        <v>6976658.4199999999</v>
      </c>
      <c r="G10" s="663">
        <v>75567166.719999984</v>
      </c>
      <c r="H10" s="664">
        <f t="shared" si="1"/>
        <v>82543825.139999986</v>
      </c>
    </row>
    <row r="11" spans="1:8">
      <c r="A11" s="436">
        <v>2</v>
      </c>
      <c r="B11" s="399" t="s">
        <v>726</v>
      </c>
      <c r="C11" s="663">
        <v>566676.57999999996</v>
      </c>
      <c r="D11" s="663"/>
      <c r="E11" s="664">
        <f t="shared" si="0"/>
        <v>566676.57999999996</v>
      </c>
      <c r="F11" s="663">
        <v>1821169.01</v>
      </c>
      <c r="G11" s="663"/>
      <c r="H11" s="664">
        <f t="shared" si="1"/>
        <v>1821169.01</v>
      </c>
    </row>
    <row r="12" spans="1:8">
      <c r="A12" s="436">
        <v>2.1</v>
      </c>
      <c r="B12" s="400" t="s">
        <v>727</v>
      </c>
      <c r="C12" s="663">
        <v>566676.57999999996</v>
      </c>
      <c r="D12" s="663"/>
      <c r="E12" s="664">
        <f t="shared" si="0"/>
        <v>566676.57999999996</v>
      </c>
      <c r="F12" s="663">
        <v>1821169.01</v>
      </c>
      <c r="G12" s="663"/>
      <c r="H12" s="664">
        <f t="shared" si="1"/>
        <v>1821169.01</v>
      </c>
    </row>
    <row r="13" spans="1:8" ht="26.55" customHeight="1">
      <c r="A13" s="436">
        <v>3</v>
      </c>
      <c r="B13" s="401" t="s">
        <v>728</v>
      </c>
      <c r="C13" s="663"/>
      <c r="D13" s="663"/>
      <c r="E13" s="664">
        <f t="shared" si="0"/>
        <v>0</v>
      </c>
      <c r="F13" s="663"/>
      <c r="G13" s="663"/>
      <c r="H13" s="664">
        <f t="shared" si="1"/>
        <v>0</v>
      </c>
    </row>
    <row r="14" spans="1:8" ht="26.55" customHeight="1">
      <c r="A14" s="436">
        <v>4</v>
      </c>
      <c r="B14" s="402" t="s">
        <v>729</v>
      </c>
      <c r="C14" s="663"/>
      <c r="D14" s="663"/>
      <c r="E14" s="664">
        <f t="shared" si="0"/>
        <v>0</v>
      </c>
      <c r="F14" s="663"/>
      <c r="G14" s="663"/>
      <c r="H14" s="664">
        <f t="shared" si="1"/>
        <v>0</v>
      </c>
    </row>
    <row r="15" spans="1:8" ht="24.45" customHeight="1">
      <c r="A15" s="436">
        <v>5</v>
      </c>
      <c r="B15" s="402" t="s">
        <v>730</v>
      </c>
      <c r="C15" s="665">
        <f>SUM(C16:C18)</f>
        <v>0</v>
      </c>
      <c r="D15" s="665">
        <f>SUM(D16:D18)</f>
        <v>0</v>
      </c>
      <c r="E15" s="666">
        <f t="shared" si="0"/>
        <v>0</v>
      </c>
      <c r="F15" s="665">
        <f>SUM(F16:F18)</f>
        <v>0</v>
      </c>
      <c r="G15" s="665">
        <f>SUM(G16:G18)</f>
        <v>0</v>
      </c>
      <c r="H15" s="666">
        <f t="shared" si="1"/>
        <v>0</v>
      </c>
    </row>
    <row r="16" spans="1:8">
      <c r="A16" s="436">
        <v>5.0999999999999996</v>
      </c>
      <c r="B16" s="403" t="s">
        <v>731</v>
      </c>
      <c r="C16" s="663"/>
      <c r="D16" s="663"/>
      <c r="E16" s="664">
        <f t="shared" si="0"/>
        <v>0</v>
      </c>
      <c r="F16" s="663"/>
      <c r="G16" s="663"/>
      <c r="H16" s="664">
        <f t="shared" si="1"/>
        <v>0</v>
      </c>
    </row>
    <row r="17" spans="1:8">
      <c r="A17" s="436">
        <v>5.2</v>
      </c>
      <c r="B17" s="403" t="s">
        <v>566</v>
      </c>
      <c r="C17" s="663"/>
      <c r="D17" s="663"/>
      <c r="E17" s="664">
        <f t="shared" si="0"/>
        <v>0</v>
      </c>
      <c r="F17" s="663"/>
      <c r="G17" s="663"/>
      <c r="H17" s="664">
        <f t="shared" si="1"/>
        <v>0</v>
      </c>
    </row>
    <row r="18" spans="1:8">
      <c r="A18" s="436">
        <v>5.3</v>
      </c>
      <c r="B18" s="403" t="s">
        <v>732</v>
      </c>
      <c r="C18" s="663"/>
      <c r="D18" s="663"/>
      <c r="E18" s="664">
        <f t="shared" si="0"/>
        <v>0</v>
      </c>
      <c r="F18" s="663"/>
      <c r="G18" s="663"/>
      <c r="H18" s="664">
        <f t="shared" si="1"/>
        <v>0</v>
      </c>
    </row>
    <row r="19" spans="1:8">
      <c r="A19" s="436">
        <v>6</v>
      </c>
      <c r="B19" s="401" t="s">
        <v>733</v>
      </c>
      <c r="C19" s="663">
        <f>SUM(C20:C21)</f>
        <v>2284809885.2873859</v>
      </c>
      <c r="D19" s="663">
        <f>SUM(D20:D21)</f>
        <v>262596262.50021744</v>
      </c>
      <c r="E19" s="664">
        <f t="shared" si="0"/>
        <v>2547406147.7876034</v>
      </c>
      <c r="F19" s="663">
        <f>SUM(F20:F21)</f>
        <v>1823025701.9300001</v>
      </c>
      <c r="G19" s="663">
        <f>SUM(G20:G21)</f>
        <v>207433797</v>
      </c>
      <c r="H19" s="664">
        <f t="shared" si="1"/>
        <v>2030459498.9300001</v>
      </c>
    </row>
    <row r="20" spans="1:8">
      <c r="A20" s="436">
        <v>6.1</v>
      </c>
      <c r="B20" s="403" t="s">
        <v>566</v>
      </c>
      <c r="C20" s="663">
        <v>57522454.370000005</v>
      </c>
      <c r="D20" s="663"/>
      <c r="E20" s="664">
        <f t="shared" si="0"/>
        <v>57522454.370000005</v>
      </c>
      <c r="F20" s="663">
        <v>48888517.93</v>
      </c>
      <c r="G20" s="663"/>
      <c r="H20" s="664">
        <f t="shared" si="1"/>
        <v>48888517.93</v>
      </c>
    </row>
    <row r="21" spans="1:8">
      <c r="A21" s="436">
        <v>6.2</v>
      </c>
      <c r="B21" s="403" t="s">
        <v>732</v>
      </c>
      <c r="C21" s="663">
        <v>2227287430.9173861</v>
      </c>
      <c r="D21" s="663">
        <v>262596262.50021744</v>
      </c>
      <c r="E21" s="664">
        <f t="shared" si="0"/>
        <v>2489883693.4176035</v>
      </c>
      <c r="F21" s="663">
        <v>1774137184</v>
      </c>
      <c r="G21" s="663">
        <v>207433797</v>
      </c>
      <c r="H21" s="664">
        <f t="shared" si="1"/>
        <v>1981570981</v>
      </c>
    </row>
    <row r="22" spans="1:8">
      <c r="A22" s="436">
        <v>7</v>
      </c>
      <c r="B22" s="404" t="s">
        <v>734</v>
      </c>
      <c r="C22" s="663">
        <v>2463673.85</v>
      </c>
      <c r="D22" s="663"/>
      <c r="E22" s="664">
        <f t="shared" si="0"/>
        <v>2463673.85</v>
      </c>
      <c r="F22" s="663"/>
      <c r="G22" s="663"/>
      <c r="H22" s="664">
        <f t="shared" si="1"/>
        <v>0</v>
      </c>
    </row>
    <row r="23" spans="1:8">
      <c r="A23" s="436">
        <v>8</v>
      </c>
      <c r="B23" s="405" t="s">
        <v>735</v>
      </c>
      <c r="C23" s="663"/>
      <c r="D23" s="663"/>
      <c r="E23" s="664">
        <f t="shared" si="0"/>
        <v>0</v>
      </c>
      <c r="F23" s="663"/>
      <c r="G23" s="663"/>
      <c r="H23" s="664">
        <f t="shared" si="1"/>
        <v>0</v>
      </c>
    </row>
    <row r="24" spans="1:8">
      <c r="A24" s="436">
        <v>9</v>
      </c>
      <c r="B24" s="402" t="s">
        <v>736</v>
      </c>
      <c r="C24" s="663">
        <f>SUM(C25:C26)</f>
        <v>50821188.330000006</v>
      </c>
      <c r="D24" s="663">
        <f>SUM(D25:D26)</f>
        <v>0</v>
      </c>
      <c r="E24" s="664">
        <f t="shared" si="0"/>
        <v>50821188.330000006</v>
      </c>
      <c r="F24" s="669">
        <f>SUM(F25:F26)</f>
        <v>45907008.240000017</v>
      </c>
      <c r="G24" s="663">
        <f>SUM(G25:G26)</f>
        <v>0</v>
      </c>
      <c r="H24" s="664">
        <f t="shared" si="1"/>
        <v>45907008.240000017</v>
      </c>
    </row>
    <row r="25" spans="1:8">
      <c r="A25" s="436">
        <v>9.1</v>
      </c>
      <c r="B25" s="406" t="s">
        <v>737</v>
      </c>
      <c r="C25" s="663">
        <v>50821188.330000006</v>
      </c>
      <c r="D25" s="663"/>
      <c r="E25" s="664">
        <f t="shared" si="0"/>
        <v>50821188.330000006</v>
      </c>
      <c r="F25" s="670">
        <v>45907008.240000017</v>
      </c>
      <c r="G25" s="663"/>
      <c r="H25" s="664">
        <f t="shared" si="1"/>
        <v>45907008.240000017</v>
      </c>
    </row>
    <row r="26" spans="1:8">
      <c r="A26" s="436">
        <v>9.1999999999999993</v>
      </c>
      <c r="B26" s="406" t="s">
        <v>738</v>
      </c>
      <c r="C26" s="663"/>
      <c r="D26" s="663"/>
      <c r="E26" s="664">
        <f t="shared" si="0"/>
        <v>0</v>
      </c>
      <c r="F26" s="670"/>
      <c r="G26" s="663"/>
      <c r="H26" s="664">
        <f t="shared" si="1"/>
        <v>0</v>
      </c>
    </row>
    <row r="27" spans="1:8">
      <c r="A27" s="436">
        <v>10</v>
      </c>
      <c r="B27" s="402" t="s">
        <v>37</v>
      </c>
      <c r="C27" s="663">
        <f>SUM(C28:C29)</f>
        <v>29954496.870000001</v>
      </c>
      <c r="D27" s="663">
        <f>SUM(D28:D29)</f>
        <v>0</v>
      </c>
      <c r="E27" s="664">
        <f t="shared" si="0"/>
        <v>29954496.870000001</v>
      </c>
      <c r="F27" s="669">
        <f>SUM(F28:F29)</f>
        <v>24667339.510000005</v>
      </c>
      <c r="G27" s="663">
        <f>SUM(G28:G29)</f>
        <v>0</v>
      </c>
      <c r="H27" s="664">
        <f t="shared" si="1"/>
        <v>24667339.510000005</v>
      </c>
    </row>
    <row r="28" spans="1:8">
      <c r="A28" s="436">
        <v>10.1</v>
      </c>
      <c r="B28" s="406" t="s">
        <v>739</v>
      </c>
      <c r="C28" s="663"/>
      <c r="D28" s="663"/>
      <c r="E28" s="664">
        <f t="shared" si="0"/>
        <v>0</v>
      </c>
      <c r="F28" s="670"/>
      <c r="G28" s="663"/>
      <c r="H28" s="664">
        <f t="shared" si="1"/>
        <v>0</v>
      </c>
    </row>
    <row r="29" spans="1:8">
      <c r="A29" s="436">
        <v>10.199999999999999</v>
      </c>
      <c r="B29" s="406" t="s">
        <v>740</v>
      </c>
      <c r="C29" s="663">
        <v>29954496.870000001</v>
      </c>
      <c r="D29" s="663"/>
      <c r="E29" s="664">
        <f t="shared" si="0"/>
        <v>29954496.870000001</v>
      </c>
      <c r="F29" s="670">
        <v>24667339.510000005</v>
      </c>
      <c r="G29" s="663"/>
      <c r="H29" s="664">
        <f t="shared" si="1"/>
        <v>24667339.510000005</v>
      </c>
    </row>
    <row r="30" spans="1:8">
      <c r="A30" s="436">
        <v>11</v>
      </c>
      <c r="B30" s="402" t="s">
        <v>741</v>
      </c>
      <c r="C30" s="663">
        <f>SUM(C31:C32)</f>
        <v>0</v>
      </c>
      <c r="D30" s="663">
        <f>SUM(D31:D32)</f>
        <v>0</v>
      </c>
      <c r="E30" s="664">
        <f t="shared" si="0"/>
        <v>0</v>
      </c>
      <c r="F30" s="663">
        <f>SUM(F31:F32)</f>
        <v>2160944.36</v>
      </c>
      <c r="G30" s="663">
        <f>SUM(G31:G32)</f>
        <v>0</v>
      </c>
      <c r="H30" s="664">
        <f t="shared" si="1"/>
        <v>2160944.36</v>
      </c>
    </row>
    <row r="31" spans="1:8">
      <c r="A31" s="436">
        <v>11.1</v>
      </c>
      <c r="B31" s="406" t="s">
        <v>742</v>
      </c>
      <c r="C31" s="663"/>
      <c r="D31" s="663"/>
      <c r="E31" s="664">
        <f t="shared" si="0"/>
        <v>0</v>
      </c>
      <c r="F31" s="670">
        <v>2160944.36</v>
      </c>
      <c r="G31" s="663"/>
      <c r="H31" s="664">
        <f t="shared" si="1"/>
        <v>2160944.36</v>
      </c>
    </row>
    <row r="32" spans="1:8">
      <c r="A32" s="436">
        <v>11.2</v>
      </c>
      <c r="B32" s="406" t="s">
        <v>743</v>
      </c>
      <c r="C32" s="663"/>
      <c r="D32" s="663"/>
      <c r="E32" s="664">
        <f t="shared" si="0"/>
        <v>0</v>
      </c>
      <c r="F32" s="663"/>
      <c r="G32" s="663"/>
      <c r="H32" s="664">
        <f t="shared" si="1"/>
        <v>0</v>
      </c>
    </row>
    <row r="33" spans="1:8">
      <c r="A33" s="436">
        <v>13</v>
      </c>
      <c r="B33" s="402" t="s">
        <v>100</v>
      </c>
      <c r="C33" s="663">
        <v>46699236.040000007</v>
      </c>
      <c r="D33" s="663">
        <v>3292567.84</v>
      </c>
      <c r="E33" s="664">
        <f t="shared" si="0"/>
        <v>49991803.88000001</v>
      </c>
      <c r="F33" s="669">
        <v>37372555</v>
      </c>
      <c r="G33" s="669">
        <v>6665178</v>
      </c>
      <c r="H33" s="664">
        <f t="shared" si="1"/>
        <v>44037733</v>
      </c>
    </row>
    <row r="34" spans="1:8">
      <c r="A34" s="436">
        <v>13.1</v>
      </c>
      <c r="B34" s="407" t="s">
        <v>744</v>
      </c>
      <c r="C34" s="663">
        <v>19110000.98</v>
      </c>
      <c r="D34" s="663"/>
      <c r="E34" s="664">
        <f t="shared" si="0"/>
        <v>19110000.98</v>
      </c>
      <c r="F34" s="671">
        <v>13792672</v>
      </c>
      <c r="G34" s="670"/>
      <c r="H34" s="664">
        <f t="shared" si="1"/>
        <v>13792672</v>
      </c>
    </row>
    <row r="35" spans="1:8">
      <c r="A35" s="436">
        <v>13.2</v>
      </c>
      <c r="B35" s="407" t="s">
        <v>745</v>
      </c>
      <c r="C35" s="663"/>
      <c r="D35" s="663"/>
      <c r="E35" s="664">
        <f t="shared" si="0"/>
        <v>0</v>
      </c>
      <c r="F35" s="663"/>
      <c r="G35" s="663"/>
      <c r="H35" s="664">
        <f t="shared" si="1"/>
        <v>0</v>
      </c>
    </row>
    <row r="36" spans="1:8">
      <c r="A36" s="436">
        <v>14</v>
      </c>
      <c r="B36" s="408" t="s">
        <v>746</v>
      </c>
      <c r="C36" s="663">
        <f>SUM(C7,C11,C13,C14,C15,C19,C22,C23,C24,C27,C30,C33)</f>
        <v>2609124269.0973854</v>
      </c>
      <c r="D36" s="663">
        <f>SUM(D7,D11,D13,D14,D15,D19,D22,D23,D24,D27,D30,D33)</f>
        <v>459849492.45662397</v>
      </c>
      <c r="E36" s="664">
        <f t="shared" si="0"/>
        <v>3068973761.5540094</v>
      </c>
      <c r="F36" s="663">
        <f>SUM(F7,F11,F13,F14,F15,F19,F22,F23,F24,F27,F30,F33)</f>
        <v>2088459245.4300001</v>
      </c>
      <c r="G36" s="663">
        <f>SUM(G7,G11,G13,G14,G15,G19,G22,G23,G24,G27,G30,G33)</f>
        <v>381600624.63</v>
      </c>
      <c r="H36" s="664">
        <f t="shared" si="1"/>
        <v>2470059870.0599999</v>
      </c>
    </row>
    <row r="37" spans="1:8" ht="22.5" customHeight="1">
      <c r="A37" s="436"/>
      <c r="B37" s="409" t="s">
        <v>105</v>
      </c>
      <c r="C37" s="792"/>
      <c r="D37" s="793"/>
      <c r="E37" s="793"/>
      <c r="F37" s="793"/>
      <c r="G37" s="793"/>
      <c r="H37" s="794"/>
    </row>
    <row r="38" spans="1:8">
      <c r="A38" s="436">
        <v>15</v>
      </c>
      <c r="B38" s="410" t="s">
        <v>747</v>
      </c>
      <c r="C38" s="667">
        <v>1571658.95</v>
      </c>
      <c r="D38" s="667"/>
      <c r="E38" s="668">
        <f>C38+D38</f>
        <v>1571658.95</v>
      </c>
      <c r="F38" s="670">
        <v>133466.57</v>
      </c>
      <c r="G38" s="667"/>
      <c r="H38" s="668">
        <f>F38+G38</f>
        <v>133466.57</v>
      </c>
    </row>
    <row r="39" spans="1:8">
      <c r="A39" s="436">
        <v>15.1</v>
      </c>
      <c r="B39" s="411" t="s">
        <v>727</v>
      </c>
      <c r="C39" s="667">
        <v>1571658.95</v>
      </c>
      <c r="D39" s="667"/>
      <c r="E39" s="668">
        <f t="shared" ref="E39:E53" si="2">C39+D39</f>
        <v>1571658.95</v>
      </c>
      <c r="F39" s="670">
        <v>133466.57</v>
      </c>
      <c r="G39" s="667"/>
      <c r="H39" s="668">
        <f t="shared" ref="H39:H53" si="3">F39+G39</f>
        <v>133466.57</v>
      </c>
    </row>
    <row r="40" spans="1:8" ht="24" customHeight="1">
      <c r="A40" s="436">
        <v>16</v>
      </c>
      <c r="B40" s="404" t="s">
        <v>748</v>
      </c>
      <c r="C40" s="667"/>
      <c r="D40" s="667"/>
      <c r="E40" s="668">
        <f t="shared" si="2"/>
        <v>0</v>
      </c>
      <c r="F40" s="667"/>
      <c r="G40" s="667"/>
      <c r="H40" s="668">
        <f t="shared" si="3"/>
        <v>0</v>
      </c>
    </row>
    <row r="41" spans="1:8">
      <c r="A41" s="436">
        <v>17</v>
      </c>
      <c r="B41" s="404" t="s">
        <v>749</v>
      </c>
      <c r="C41" s="667">
        <f>SUM(C42:C45)</f>
        <v>1846516107.6300149</v>
      </c>
      <c r="D41" s="667">
        <f>SUM(D42:D45)</f>
        <v>630990732.37190127</v>
      </c>
      <c r="E41" s="668">
        <f t="shared" si="2"/>
        <v>2477506840.0019159</v>
      </c>
      <c r="F41" s="672">
        <f>SUM(F42:F45)</f>
        <v>1440912175.8299999</v>
      </c>
      <c r="G41" s="672">
        <f>SUM(G42:G45)</f>
        <v>538336342.05000007</v>
      </c>
      <c r="H41" s="668">
        <f t="shared" si="3"/>
        <v>1979248517.8800001</v>
      </c>
    </row>
    <row r="42" spans="1:8">
      <c r="A42" s="436">
        <v>17.100000000000001</v>
      </c>
      <c r="B42" s="412" t="s">
        <v>750</v>
      </c>
      <c r="C42" s="667">
        <v>858108084.43001485</v>
      </c>
      <c r="D42" s="667">
        <v>395637166.81190133</v>
      </c>
      <c r="E42" s="668">
        <f t="shared" si="2"/>
        <v>1253745251.2419162</v>
      </c>
      <c r="F42" s="670">
        <v>620392990</v>
      </c>
      <c r="G42" s="670">
        <v>272891478</v>
      </c>
      <c r="H42" s="668">
        <f t="shared" si="3"/>
        <v>893284468</v>
      </c>
    </row>
    <row r="43" spans="1:8">
      <c r="A43" s="436">
        <v>17.2</v>
      </c>
      <c r="B43" s="413" t="s">
        <v>101</v>
      </c>
      <c r="C43" s="667">
        <v>970843752.55999994</v>
      </c>
      <c r="D43" s="667">
        <v>229576034</v>
      </c>
      <c r="E43" s="668">
        <f t="shared" si="2"/>
        <v>1200419786.5599999</v>
      </c>
      <c r="F43" s="670">
        <v>806381512</v>
      </c>
      <c r="G43" s="670">
        <v>258315197.05000007</v>
      </c>
      <c r="H43" s="668">
        <f t="shared" si="3"/>
        <v>1064696709.0500001</v>
      </c>
    </row>
    <row r="44" spans="1:8">
      <c r="A44" s="436">
        <v>17.3</v>
      </c>
      <c r="B44" s="412" t="s">
        <v>751</v>
      </c>
      <c r="C44" s="667"/>
      <c r="D44" s="667"/>
      <c r="E44" s="668">
        <f t="shared" si="2"/>
        <v>0</v>
      </c>
      <c r="F44" s="670"/>
      <c r="G44" s="670"/>
      <c r="H44" s="668">
        <f t="shared" si="3"/>
        <v>0</v>
      </c>
    </row>
    <row r="45" spans="1:8">
      <c r="A45" s="436">
        <v>17.399999999999999</v>
      </c>
      <c r="B45" s="412" t="s">
        <v>752</v>
      </c>
      <c r="C45" s="667">
        <v>17564270.640000001</v>
      </c>
      <c r="D45" s="667">
        <v>5777531.5599999996</v>
      </c>
      <c r="E45" s="668">
        <f t="shared" si="2"/>
        <v>23341802.199999999</v>
      </c>
      <c r="F45" s="671">
        <v>14137673.83</v>
      </c>
      <c r="G45" s="671">
        <v>7129667</v>
      </c>
      <c r="H45" s="668">
        <f t="shared" si="3"/>
        <v>21267340.829999998</v>
      </c>
    </row>
    <row r="46" spans="1:8">
      <c r="A46" s="436">
        <v>18</v>
      </c>
      <c r="B46" s="402" t="s">
        <v>753</v>
      </c>
      <c r="C46" s="667">
        <v>777588.58</v>
      </c>
      <c r="D46" s="667"/>
      <c r="E46" s="668">
        <f t="shared" si="2"/>
        <v>777588.58</v>
      </c>
      <c r="F46" s="667"/>
      <c r="G46" s="667"/>
      <c r="H46" s="668">
        <f t="shared" si="3"/>
        <v>0</v>
      </c>
    </row>
    <row r="47" spans="1:8">
      <c r="A47" s="436">
        <v>19</v>
      </c>
      <c r="B47" s="402" t="s">
        <v>754</v>
      </c>
      <c r="C47" s="667">
        <f>SUM(C48:C49)</f>
        <v>11994737.749999989</v>
      </c>
      <c r="D47" s="667">
        <f>SUM(D48:D49)</f>
        <v>0</v>
      </c>
      <c r="E47" s="668">
        <f t="shared" si="2"/>
        <v>11994737.749999989</v>
      </c>
      <c r="F47" s="672">
        <f>SUM(F48:F49)</f>
        <v>5100593.9399999985</v>
      </c>
      <c r="G47" s="672">
        <f>SUM(G48:G49)</f>
        <v>0</v>
      </c>
      <c r="H47" s="668">
        <f t="shared" si="3"/>
        <v>5100593.9399999985</v>
      </c>
    </row>
    <row r="48" spans="1:8">
      <c r="A48" s="436">
        <v>19.100000000000001</v>
      </c>
      <c r="B48" s="414" t="s">
        <v>755</v>
      </c>
      <c r="C48" s="667">
        <v>6428919.5399999898</v>
      </c>
      <c r="D48" s="667"/>
      <c r="E48" s="668">
        <f t="shared" si="2"/>
        <v>6428919.5399999898</v>
      </c>
      <c r="F48" s="667"/>
      <c r="G48" s="667"/>
      <c r="H48" s="668">
        <f t="shared" si="3"/>
        <v>0</v>
      </c>
    </row>
    <row r="49" spans="1:8">
      <c r="A49" s="436">
        <v>19.2</v>
      </c>
      <c r="B49" s="415" t="s">
        <v>756</v>
      </c>
      <c r="C49" s="667">
        <v>5565818.21</v>
      </c>
      <c r="D49" s="667"/>
      <c r="E49" s="668">
        <f t="shared" si="2"/>
        <v>5565818.21</v>
      </c>
      <c r="F49" s="667">
        <v>5100593.9399999985</v>
      </c>
      <c r="G49" s="667"/>
      <c r="H49" s="668">
        <f t="shared" si="3"/>
        <v>5100593.9399999985</v>
      </c>
    </row>
    <row r="50" spans="1:8">
      <c r="A50" s="436">
        <v>20</v>
      </c>
      <c r="B50" s="416" t="s">
        <v>102</v>
      </c>
      <c r="C50" s="667">
        <v>61073662.649999999</v>
      </c>
      <c r="D50" s="667">
        <v>91522491.519999981</v>
      </c>
      <c r="E50" s="668">
        <f t="shared" si="2"/>
        <v>152596154.16999999</v>
      </c>
      <c r="F50" s="669">
        <v>62697744.160000004</v>
      </c>
      <c r="G50" s="669">
        <v>64538789.810000002</v>
      </c>
      <c r="H50" s="668">
        <f t="shared" si="3"/>
        <v>127236533.97</v>
      </c>
    </row>
    <row r="51" spans="1:8">
      <c r="A51" s="436">
        <v>21</v>
      </c>
      <c r="B51" s="417" t="s">
        <v>90</v>
      </c>
      <c r="C51" s="667">
        <v>42459959.030000009</v>
      </c>
      <c r="D51" s="667">
        <v>4463908.1399999997</v>
      </c>
      <c r="E51" s="668">
        <f t="shared" si="2"/>
        <v>46923867.170000009</v>
      </c>
      <c r="F51" s="670">
        <v>44537151.799999997</v>
      </c>
      <c r="G51" s="670">
        <v>6884053.5999999996</v>
      </c>
      <c r="H51" s="668">
        <f t="shared" si="3"/>
        <v>51421205.399999999</v>
      </c>
    </row>
    <row r="52" spans="1:8">
      <c r="A52" s="436">
        <v>21.1</v>
      </c>
      <c r="B52" s="413" t="s">
        <v>757</v>
      </c>
      <c r="C52" s="667"/>
      <c r="D52" s="667"/>
      <c r="E52" s="668">
        <f t="shared" si="2"/>
        <v>0</v>
      </c>
      <c r="F52" s="670"/>
      <c r="G52" s="670"/>
      <c r="H52" s="668">
        <f t="shared" si="3"/>
        <v>0</v>
      </c>
    </row>
    <row r="53" spans="1:8">
      <c r="A53" s="436">
        <v>22</v>
      </c>
      <c r="B53" s="416" t="s">
        <v>758</v>
      </c>
      <c r="C53" s="667">
        <f>SUM(C38,C40,C41,C46,C47,C50,C51)</f>
        <v>1964393714.5900149</v>
      </c>
      <c r="D53" s="667">
        <f>SUM(D38,D40,D41,D46,D47,D50,D51)</f>
        <v>726977132.03190124</v>
      </c>
      <c r="E53" s="668">
        <f t="shared" si="2"/>
        <v>2691370846.6219163</v>
      </c>
      <c r="F53" s="667">
        <f>SUM(F38,F40,F41,F46,F47,F50,F51)</f>
        <v>1553381132.3</v>
      </c>
      <c r="G53" s="667">
        <f>SUM(G38,G40,G41,G46,G47,G50,G51)</f>
        <v>609759185.46000016</v>
      </c>
      <c r="H53" s="668">
        <f t="shared" si="3"/>
        <v>2163140317.7600002</v>
      </c>
    </row>
    <row r="54" spans="1:8" ht="24" customHeight="1">
      <c r="A54" s="436"/>
      <c r="B54" s="418" t="s">
        <v>759</v>
      </c>
      <c r="C54" s="795"/>
      <c r="D54" s="796"/>
      <c r="E54" s="796"/>
      <c r="F54" s="796"/>
      <c r="G54" s="796"/>
      <c r="H54" s="797"/>
    </row>
    <row r="55" spans="1:8">
      <c r="A55" s="436">
        <v>23</v>
      </c>
      <c r="B55" s="761" t="s">
        <v>989</v>
      </c>
      <c r="C55" s="667">
        <v>5239960</v>
      </c>
      <c r="D55" s="667"/>
      <c r="E55" s="668">
        <f>C55+D55</f>
        <v>5239960</v>
      </c>
      <c r="F55" s="670">
        <v>5210230</v>
      </c>
      <c r="G55" s="667"/>
      <c r="H55" s="668">
        <f>F55+G55</f>
        <v>5210230</v>
      </c>
    </row>
    <row r="56" spans="1:8">
      <c r="A56" s="436">
        <v>24</v>
      </c>
      <c r="B56" s="416" t="s">
        <v>760</v>
      </c>
      <c r="C56" s="667"/>
      <c r="D56" s="667"/>
      <c r="E56" s="668">
        <f t="shared" ref="E56:E69" si="4">C56+D56</f>
        <v>0</v>
      </c>
      <c r="F56" s="670"/>
      <c r="G56" s="667"/>
      <c r="H56" s="668">
        <f t="shared" ref="H56:H69" si="5">F56+G56</f>
        <v>0</v>
      </c>
    </row>
    <row r="57" spans="1:8">
      <c r="A57" s="436">
        <v>25</v>
      </c>
      <c r="B57" s="416" t="s">
        <v>103</v>
      </c>
      <c r="C57" s="667">
        <v>39150769.530000001</v>
      </c>
      <c r="D57" s="667"/>
      <c r="E57" s="668">
        <f t="shared" si="4"/>
        <v>39150769.530000001</v>
      </c>
      <c r="F57" s="670">
        <v>37102057.520000003</v>
      </c>
      <c r="G57" s="667"/>
      <c r="H57" s="668">
        <f t="shared" si="5"/>
        <v>37102057.520000003</v>
      </c>
    </row>
    <row r="58" spans="1:8">
      <c r="A58" s="436">
        <v>26</v>
      </c>
      <c r="B58" s="402" t="s">
        <v>761</v>
      </c>
      <c r="C58" s="667"/>
      <c r="D58" s="667"/>
      <c r="E58" s="668">
        <f t="shared" si="4"/>
        <v>0</v>
      </c>
      <c r="F58" s="667"/>
      <c r="G58" s="667"/>
      <c r="H58" s="668">
        <f t="shared" si="5"/>
        <v>0</v>
      </c>
    </row>
    <row r="59" spans="1:8">
      <c r="A59" s="436">
        <v>27</v>
      </c>
      <c r="B59" s="402" t="s">
        <v>762</v>
      </c>
      <c r="C59" s="667">
        <f>SUM(C60:C61)</f>
        <v>0</v>
      </c>
      <c r="D59" s="667">
        <f>SUM(D60:D61)</f>
        <v>0</v>
      </c>
      <c r="E59" s="668">
        <f t="shared" si="4"/>
        <v>0</v>
      </c>
      <c r="F59" s="667"/>
      <c r="G59" s="667"/>
      <c r="H59" s="668">
        <f t="shared" si="5"/>
        <v>0</v>
      </c>
    </row>
    <row r="60" spans="1:8">
      <c r="A60" s="436">
        <v>27.1</v>
      </c>
      <c r="B60" s="414" t="s">
        <v>763</v>
      </c>
      <c r="C60" s="667"/>
      <c r="D60" s="667"/>
      <c r="E60" s="668">
        <f t="shared" si="4"/>
        <v>0</v>
      </c>
      <c r="F60" s="667"/>
      <c r="G60" s="667"/>
      <c r="H60" s="668">
        <f t="shared" si="5"/>
        <v>0</v>
      </c>
    </row>
    <row r="61" spans="1:8">
      <c r="A61" s="436">
        <v>27.2</v>
      </c>
      <c r="B61" s="412" t="s">
        <v>764</v>
      </c>
      <c r="C61" s="667"/>
      <c r="D61" s="667"/>
      <c r="E61" s="668">
        <f t="shared" si="4"/>
        <v>0</v>
      </c>
      <c r="F61" s="667"/>
      <c r="G61" s="667"/>
      <c r="H61" s="668">
        <f t="shared" si="5"/>
        <v>0</v>
      </c>
    </row>
    <row r="62" spans="1:8">
      <c r="A62" s="436">
        <v>28</v>
      </c>
      <c r="B62" s="417" t="s">
        <v>765</v>
      </c>
      <c r="C62" s="667"/>
      <c r="D62" s="667"/>
      <c r="E62" s="668">
        <f t="shared" si="4"/>
        <v>0</v>
      </c>
      <c r="F62" s="667"/>
      <c r="G62" s="667"/>
      <c r="H62" s="668">
        <f t="shared" si="5"/>
        <v>0</v>
      </c>
    </row>
    <row r="63" spans="1:8">
      <c r="A63" s="436">
        <v>29</v>
      </c>
      <c r="B63" s="402" t="s">
        <v>766</v>
      </c>
      <c r="C63" s="667">
        <f>SUM(C64:C66)</f>
        <v>0</v>
      </c>
      <c r="D63" s="667">
        <f>SUM(D64:D66)</f>
        <v>0</v>
      </c>
      <c r="E63" s="668">
        <f t="shared" si="4"/>
        <v>0</v>
      </c>
      <c r="F63" s="667"/>
      <c r="G63" s="667"/>
      <c r="H63" s="668">
        <f t="shared" si="5"/>
        <v>0</v>
      </c>
    </row>
    <row r="64" spans="1:8">
      <c r="A64" s="436">
        <v>29.1</v>
      </c>
      <c r="B64" s="403" t="s">
        <v>767</v>
      </c>
      <c r="C64" s="667"/>
      <c r="D64" s="667"/>
      <c r="E64" s="668">
        <f t="shared" si="4"/>
        <v>0</v>
      </c>
      <c r="F64" s="667"/>
      <c r="G64" s="667"/>
      <c r="H64" s="668">
        <f t="shared" si="5"/>
        <v>0</v>
      </c>
    </row>
    <row r="65" spans="1:8" ht="25.05" customHeight="1">
      <c r="A65" s="436">
        <v>29.2</v>
      </c>
      <c r="B65" s="414" t="s">
        <v>768</v>
      </c>
      <c r="C65" s="667"/>
      <c r="D65" s="667"/>
      <c r="E65" s="668">
        <f t="shared" si="4"/>
        <v>0</v>
      </c>
      <c r="F65" s="667"/>
      <c r="G65" s="667"/>
      <c r="H65" s="668">
        <f t="shared" si="5"/>
        <v>0</v>
      </c>
    </row>
    <row r="66" spans="1:8" ht="22.5" customHeight="1">
      <c r="A66" s="436">
        <v>29.3</v>
      </c>
      <c r="B66" s="406" t="s">
        <v>769</v>
      </c>
      <c r="C66" s="667"/>
      <c r="D66" s="667"/>
      <c r="E66" s="668">
        <f t="shared" si="4"/>
        <v>0</v>
      </c>
      <c r="F66" s="667"/>
      <c r="G66" s="667"/>
      <c r="H66" s="668">
        <f t="shared" si="5"/>
        <v>0</v>
      </c>
    </row>
    <row r="67" spans="1:8">
      <c r="A67" s="436">
        <v>30</v>
      </c>
      <c r="B67" s="402" t="s">
        <v>104</v>
      </c>
      <c r="C67" s="667">
        <v>333212185.71641445</v>
      </c>
      <c r="D67" s="667"/>
      <c r="E67" s="668">
        <f t="shared" si="4"/>
        <v>333212185.71641445</v>
      </c>
      <c r="F67" s="667">
        <v>264607265.16002703</v>
      </c>
      <c r="G67" s="667"/>
      <c r="H67" s="668">
        <f t="shared" si="5"/>
        <v>264607265.16002703</v>
      </c>
    </row>
    <row r="68" spans="1:8">
      <c r="A68" s="436">
        <v>31</v>
      </c>
      <c r="B68" s="419" t="s">
        <v>770</v>
      </c>
      <c r="C68" s="667">
        <f>SUM(C55,C56,C57,C58,C59,C62,C63,C67)</f>
        <v>377602915.24641442</v>
      </c>
      <c r="D68" s="667">
        <f>SUM(D55,D56,D57,D58,D59,D62,D63,D67)</f>
        <v>0</v>
      </c>
      <c r="E68" s="668">
        <f t="shared" si="4"/>
        <v>377602915.24641442</v>
      </c>
      <c r="F68" s="667">
        <f>SUM(F55,F56,F57,F58,F59,F62,F63,F67)</f>
        <v>306919552.68002701</v>
      </c>
      <c r="G68" s="667">
        <f>SUM(G55,G56,G57,G58,G59,G62,G63,G67)</f>
        <v>0</v>
      </c>
      <c r="H68" s="668">
        <f t="shared" si="5"/>
        <v>306919552.68002701</v>
      </c>
    </row>
    <row r="69" spans="1:8">
      <c r="A69" s="436">
        <v>32</v>
      </c>
      <c r="B69" s="420" t="s">
        <v>771</v>
      </c>
      <c r="C69" s="667">
        <f>SUM(C53,C68)</f>
        <v>2341996629.8364296</v>
      </c>
      <c r="D69" s="667">
        <f>SUM(D53,D68)</f>
        <v>726977132.03190124</v>
      </c>
      <c r="E69" s="668">
        <f t="shared" si="4"/>
        <v>3068973761.868331</v>
      </c>
      <c r="F69" s="667">
        <f>SUM(F53,F68)</f>
        <v>1860300684.980027</v>
      </c>
      <c r="G69" s="667">
        <f>SUM(G53,G68)</f>
        <v>609759185.46000016</v>
      </c>
      <c r="H69" s="668">
        <f t="shared" si="5"/>
        <v>2470059870.4400272</v>
      </c>
    </row>
    <row r="71" spans="1:8">
      <c r="E71" s="774"/>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K13"/>
  <sheetViews>
    <sheetView showGridLines="0" zoomScale="80" zoomScaleNormal="80" workbookViewId="0">
      <selection activeCell="H19" sqref="H19"/>
    </sheetView>
  </sheetViews>
  <sheetFormatPr defaultColWidth="8.77734375" defaultRowHeight="12"/>
  <cols>
    <col min="1" max="1" width="11.77734375" style="383" bestFit="1" customWidth="1"/>
    <col min="2" max="2" width="59.109375" style="383" customWidth="1"/>
    <col min="3" max="11" width="18.77734375" style="383" customWidth="1"/>
    <col min="12" max="16384" width="8.77734375" style="383"/>
  </cols>
  <sheetData>
    <row r="1" spans="1:11" s="376" customFormat="1" ht="13.8">
      <c r="A1" s="375" t="s">
        <v>109</v>
      </c>
      <c r="B1" s="306" t="str">
        <f>Info!C2</f>
        <v>კრედო</v>
      </c>
      <c r="C1" s="483"/>
      <c r="D1" s="483"/>
      <c r="E1" s="483"/>
      <c r="F1" s="483"/>
      <c r="G1" s="483"/>
      <c r="H1" s="483"/>
      <c r="I1" s="483"/>
      <c r="J1" s="483"/>
      <c r="K1" s="483"/>
    </row>
    <row r="2" spans="1:11" s="376" customFormat="1">
      <c r="A2" s="375" t="s">
        <v>110</v>
      </c>
      <c r="B2" s="378">
        <f>'1. key ratios'!B2</f>
        <v>45657</v>
      </c>
      <c r="C2" s="483"/>
      <c r="D2" s="483"/>
      <c r="E2" s="483"/>
      <c r="F2" s="483"/>
      <c r="G2" s="483"/>
      <c r="H2" s="483"/>
      <c r="I2" s="483"/>
      <c r="J2" s="483"/>
      <c r="K2" s="483"/>
    </row>
    <row r="3" spans="1:11" s="376" customFormat="1">
      <c r="A3" s="377" t="s">
        <v>595</v>
      </c>
      <c r="B3" s="483"/>
      <c r="C3" s="483"/>
      <c r="D3" s="483"/>
      <c r="E3" s="483"/>
      <c r="F3" s="483"/>
      <c r="G3" s="483"/>
      <c r="H3" s="483"/>
      <c r="I3" s="483"/>
      <c r="J3" s="483"/>
      <c r="K3" s="483"/>
    </row>
    <row r="4" spans="1:11">
      <c r="A4" s="540"/>
      <c r="B4" s="540"/>
      <c r="C4" s="539" t="s">
        <v>499</v>
      </c>
      <c r="D4" s="539" t="s">
        <v>500</v>
      </c>
      <c r="E4" s="539" t="s">
        <v>501</v>
      </c>
      <c r="F4" s="539" t="s">
        <v>502</v>
      </c>
      <c r="G4" s="539" t="s">
        <v>503</v>
      </c>
      <c r="H4" s="539" t="s">
        <v>504</v>
      </c>
      <c r="I4" s="539" t="s">
        <v>505</v>
      </c>
      <c r="J4" s="539" t="s">
        <v>506</v>
      </c>
      <c r="K4" s="539" t="s">
        <v>507</v>
      </c>
    </row>
    <row r="5" spans="1:11" ht="103.95" customHeight="1">
      <c r="A5" s="907" t="s">
        <v>902</v>
      </c>
      <c r="B5" s="908"/>
      <c r="C5" s="538" t="s">
        <v>596</v>
      </c>
      <c r="D5" s="538" t="s">
        <v>589</v>
      </c>
      <c r="E5" s="538" t="s">
        <v>590</v>
      </c>
      <c r="F5" s="538" t="s">
        <v>901</v>
      </c>
      <c r="G5" s="538" t="s">
        <v>597</v>
      </c>
      <c r="H5" s="538" t="s">
        <v>598</v>
      </c>
      <c r="I5" s="538" t="s">
        <v>599</v>
      </c>
      <c r="J5" s="538" t="s">
        <v>600</v>
      </c>
      <c r="K5" s="538" t="s">
        <v>601</v>
      </c>
    </row>
    <row r="6" spans="1:11">
      <c r="A6" s="473">
        <v>1</v>
      </c>
      <c r="B6" s="473" t="s">
        <v>602</v>
      </c>
      <c r="C6" s="728">
        <v>8644343.9350262471</v>
      </c>
      <c r="D6" s="728">
        <v>69539.269517576482</v>
      </c>
      <c r="E6" s="728"/>
      <c r="F6" s="728"/>
      <c r="G6" s="728">
        <v>844440279.27938902</v>
      </c>
      <c r="H6" s="728"/>
      <c r="I6" s="728">
        <v>102066377.63074295</v>
      </c>
      <c r="J6" s="728">
        <v>291273721.14234382</v>
      </c>
      <c r="K6" s="728">
        <v>1296074598.1518939</v>
      </c>
    </row>
    <row r="7" spans="1:11">
      <c r="A7" s="473">
        <v>2</v>
      </c>
      <c r="B7" s="473" t="s">
        <v>603</v>
      </c>
      <c r="C7" s="728"/>
      <c r="D7" s="728"/>
      <c r="E7" s="728"/>
      <c r="F7" s="728"/>
      <c r="G7" s="728"/>
      <c r="H7" s="728"/>
      <c r="I7" s="728"/>
      <c r="J7" s="728"/>
      <c r="K7" s="728"/>
    </row>
    <row r="8" spans="1:11">
      <c r="A8" s="473">
        <v>3</v>
      </c>
      <c r="B8" s="473" t="s">
        <v>567</v>
      </c>
      <c r="C8" s="728">
        <v>782422.8</v>
      </c>
      <c r="D8" s="728">
        <v>0</v>
      </c>
      <c r="E8" s="728"/>
      <c r="F8" s="728"/>
      <c r="G8" s="728">
        <v>13905000.426804768</v>
      </c>
      <c r="H8" s="728"/>
      <c r="I8" s="728">
        <v>179537.0625665416</v>
      </c>
      <c r="J8" s="728">
        <v>13717001.502317479</v>
      </c>
      <c r="K8" s="728">
        <v>150004873.56831118</v>
      </c>
    </row>
    <row r="9" spans="1:11">
      <c r="A9" s="473">
        <v>4</v>
      </c>
      <c r="B9" s="492" t="s">
        <v>900</v>
      </c>
      <c r="C9" s="750">
        <v>0</v>
      </c>
      <c r="D9" s="750">
        <v>0</v>
      </c>
      <c r="E9" s="750"/>
      <c r="F9" s="750"/>
      <c r="G9" s="750">
        <v>1807327.0786873803</v>
      </c>
      <c r="H9" s="750"/>
      <c r="I9" s="750">
        <v>1258992.5055312964</v>
      </c>
      <c r="J9" s="750">
        <v>2302349.2194698993</v>
      </c>
      <c r="K9" s="750">
        <v>15071895.210875008</v>
      </c>
    </row>
    <row r="10" spans="1:11">
      <c r="A10" s="473">
        <v>5</v>
      </c>
      <c r="B10" s="492" t="s">
        <v>899</v>
      </c>
      <c r="C10" s="750"/>
      <c r="D10" s="750"/>
      <c r="E10" s="750"/>
      <c r="F10" s="750"/>
      <c r="G10" s="750"/>
      <c r="H10" s="750"/>
      <c r="I10" s="750"/>
      <c r="J10" s="750"/>
      <c r="K10" s="750"/>
    </row>
    <row r="11" spans="1:11">
      <c r="A11" s="473">
        <v>6</v>
      </c>
      <c r="B11" s="492" t="s">
        <v>898</v>
      </c>
      <c r="C11" s="750"/>
      <c r="D11" s="750"/>
      <c r="E11" s="750"/>
      <c r="F11" s="750"/>
      <c r="G11" s="750"/>
      <c r="H11" s="750"/>
      <c r="I11" s="750"/>
      <c r="J11" s="750"/>
      <c r="K11" s="750"/>
    </row>
    <row r="13" spans="1:11" ht="13.8">
      <c r="B13" s="53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V20"/>
  <sheetViews>
    <sheetView showGridLines="0" zoomScale="80" zoomScaleNormal="80" workbookViewId="0">
      <selection activeCell="G23" sqref="G23"/>
    </sheetView>
  </sheetViews>
  <sheetFormatPr defaultColWidth="8.77734375" defaultRowHeight="14.4"/>
  <cols>
    <col min="1" max="1" width="10" style="541" bestFit="1" customWidth="1"/>
    <col min="2" max="2" width="71.77734375" style="541" customWidth="1"/>
    <col min="3" max="3" width="11.6640625" style="541" bestFit="1" customWidth="1"/>
    <col min="4" max="5" width="15.21875" style="541" bestFit="1" customWidth="1"/>
    <col min="6" max="6" width="20" style="541" bestFit="1" customWidth="1"/>
    <col min="7" max="7" width="37.6640625" style="541" bestFit="1" customWidth="1"/>
    <col min="8" max="8" width="11.6640625" style="541" bestFit="1" customWidth="1"/>
    <col min="9" max="10" width="15.21875" style="541" bestFit="1" customWidth="1"/>
    <col min="11" max="11" width="20" style="541" bestFit="1" customWidth="1"/>
    <col min="12" max="12" width="37.6640625" style="541" bestFit="1" customWidth="1"/>
    <col min="13" max="13" width="10.6640625" style="541" bestFit="1" customWidth="1"/>
    <col min="14" max="15" width="15.21875" style="541" bestFit="1" customWidth="1"/>
    <col min="16" max="16" width="20" style="541" bestFit="1" customWidth="1"/>
    <col min="17" max="17" width="37.6640625" style="541" bestFit="1" customWidth="1"/>
    <col min="18" max="18" width="18" style="541" bestFit="1" customWidth="1"/>
    <col min="19" max="22" width="30.77734375" style="541" customWidth="1"/>
    <col min="23" max="16384" width="8.77734375" style="541"/>
  </cols>
  <sheetData>
    <row r="1" spans="1:22">
      <c r="A1" s="375" t="s">
        <v>109</v>
      </c>
      <c r="B1" s="306" t="str">
        <f>Info!C2</f>
        <v>კრედო</v>
      </c>
    </row>
    <row r="2" spans="1:22">
      <c r="A2" s="375" t="s">
        <v>110</v>
      </c>
      <c r="B2" s="378">
        <f>'1. key ratios'!B2</f>
        <v>45657</v>
      </c>
    </row>
    <row r="3" spans="1:22">
      <c r="A3" s="377" t="s">
        <v>685</v>
      </c>
      <c r="B3" s="483"/>
    </row>
    <row r="4" spans="1:22">
      <c r="A4" s="377"/>
      <c r="B4" s="483"/>
    </row>
    <row r="5" spans="1:22" ht="24" customHeight="1">
      <c r="A5" s="909" t="s">
        <v>712</v>
      </c>
      <c r="B5" s="909"/>
      <c r="C5" s="911" t="s">
        <v>904</v>
      </c>
      <c r="D5" s="911"/>
      <c r="E5" s="911"/>
      <c r="F5" s="911"/>
      <c r="G5" s="911"/>
      <c r="H5" s="911" t="s">
        <v>593</v>
      </c>
      <c r="I5" s="911"/>
      <c r="J5" s="911"/>
      <c r="K5" s="911"/>
      <c r="L5" s="911"/>
      <c r="M5" s="911" t="s">
        <v>903</v>
      </c>
      <c r="N5" s="911"/>
      <c r="O5" s="911"/>
      <c r="P5" s="911"/>
      <c r="Q5" s="911"/>
      <c r="R5" s="910" t="s">
        <v>711</v>
      </c>
      <c r="S5" s="910" t="s">
        <v>715</v>
      </c>
      <c r="T5" s="910" t="s">
        <v>714</v>
      </c>
      <c r="U5" s="910" t="s">
        <v>944</v>
      </c>
      <c r="V5" s="910" t="s">
        <v>945</v>
      </c>
    </row>
    <row r="6" spans="1:22" ht="36" customHeight="1">
      <c r="A6" s="909"/>
      <c r="B6" s="909"/>
      <c r="C6" s="550"/>
      <c r="D6" s="481" t="s">
        <v>888</v>
      </c>
      <c r="E6" s="481" t="s">
        <v>887</v>
      </c>
      <c r="F6" s="481" t="s">
        <v>886</v>
      </c>
      <c r="G6" s="481" t="s">
        <v>885</v>
      </c>
      <c r="H6" s="550"/>
      <c r="I6" s="481" t="s">
        <v>888</v>
      </c>
      <c r="J6" s="481" t="s">
        <v>887</v>
      </c>
      <c r="K6" s="481" t="s">
        <v>886</v>
      </c>
      <c r="L6" s="481" t="s">
        <v>885</v>
      </c>
      <c r="M6" s="550"/>
      <c r="N6" s="481" t="s">
        <v>888</v>
      </c>
      <c r="O6" s="481" t="s">
        <v>887</v>
      </c>
      <c r="P6" s="481" t="s">
        <v>886</v>
      </c>
      <c r="Q6" s="481" t="s">
        <v>885</v>
      </c>
      <c r="R6" s="910"/>
      <c r="S6" s="910"/>
      <c r="T6" s="910"/>
      <c r="U6" s="910"/>
      <c r="V6" s="910"/>
    </row>
    <row r="7" spans="1:22">
      <c r="A7" s="545">
        <v>1</v>
      </c>
      <c r="B7" s="549" t="s">
        <v>686</v>
      </c>
      <c r="C7" s="751">
        <f>SUM(D7:G7)</f>
        <v>30301381.024100047</v>
      </c>
      <c r="D7" s="750">
        <v>29047618.354100049</v>
      </c>
      <c r="E7" s="750">
        <v>751920.45999999985</v>
      </c>
      <c r="F7" s="750">
        <v>479841.81000000017</v>
      </c>
      <c r="G7" s="750">
        <v>22000.400000000001</v>
      </c>
      <c r="H7" s="751">
        <f>SUM(I7:L7)</f>
        <v>30971034.083175793</v>
      </c>
      <c r="I7" s="750">
        <v>29551506.186376255</v>
      </c>
      <c r="J7" s="750">
        <v>799910.72774393857</v>
      </c>
      <c r="K7" s="750">
        <v>597102.28071606299</v>
      </c>
      <c r="L7" s="750">
        <v>22514.888339536701</v>
      </c>
      <c r="M7" s="751">
        <f>SUM(N7:Q7)</f>
        <v>1050251.019185551</v>
      </c>
      <c r="N7" s="750">
        <v>334292.46845550579</v>
      </c>
      <c r="O7" s="750">
        <v>264975.2459757402</v>
      </c>
      <c r="P7" s="750">
        <v>449111.6244215155</v>
      </c>
      <c r="Q7" s="750">
        <v>1871.6803327893499</v>
      </c>
      <c r="R7" s="750">
        <v>21787</v>
      </c>
      <c r="S7" s="755">
        <v>0.2167</v>
      </c>
      <c r="T7" s="755">
        <v>0.30470199999999997</v>
      </c>
      <c r="U7" s="755">
        <v>0.23</v>
      </c>
      <c r="V7" s="749">
        <v>36.128900000000002</v>
      </c>
    </row>
    <row r="8" spans="1:22">
      <c r="A8" s="545">
        <v>2</v>
      </c>
      <c r="B8" s="548" t="s">
        <v>687</v>
      </c>
      <c r="C8" s="751">
        <f t="shared" ref="C8:C18" si="0">SUM(D8:G8)</f>
        <v>1078711201.1782992</v>
      </c>
      <c r="D8" s="750">
        <v>1020795517.9526991</v>
      </c>
      <c r="E8" s="750">
        <v>49619049.935599975</v>
      </c>
      <c r="F8" s="750">
        <v>8284844.3700000187</v>
      </c>
      <c r="G8" s="750">
        <v>11788.92</v>
      </c>
      <c r="H8" s="751">
        <f t="shared" ref="H8:H18" si="1">SUM(I8:L8)</f>
        <v>1072536572.197155</v>
      </c>
      <c r="I8" s="750">
        <v>1015402965.242029</v>
      </c>
      <c r="J8" s="750">
        <v>47597114.374926835</v>
      </c>
      <c r="K8" s="750">
        <v>9524377.4506541267</v>
      </c>
      <c r="L8" s="750">
        <v>12115.129545130163</v>
      </c>
      <c r="M8" s="751">
        <f t="shared" ref="M8:M18" si="2">SUM(N8:Q8)</f>
        <v>27143242.09676772</v>
      </c>
      <c r="N8" s="750">
        <v>9825814.2846052349</v>
      </c>
      <c r="O8" s="750">
        <v>9752076.0968701262</v>
      </c>
      <c r="P8" s="750">
        <v>7563680.188683656</v>
      </c>
      <c r="Q8" s="750">
        <v>1671.5266087050197</v>
      </c>
      <c r="R8" s="750">
        <v>167693</v>
      </c>
      <c r="S8" s="755">
        <v>0.23760000000000001</v>
      </c>
      <c r="T8" s="755">
        <v>0.32327299999999998</v>
      </c>
      <c r="U8" s="755">
        <v>0.22</v>
      </c>
      <c r="V8" s="749">
        <v>39.407699999999998</v>
      </c>
    </row>
    <row r="9" spans="1:22">
      <c r="A9" s="545">
        <v>3</v>
      </c>
      <c r="B9" s="548" t="s">
        <v>688</v>
      </c>
      <c r="C9" s="751">
        <f t="shared" si="0"/>
        <v>0</v>
      </c>
      <c r="D9" s="750">
        <v>0</v>
      </c>
      <c r="E9" s="750">
        <v>0</v>
      </c>
      <c r="F9" s="750">
        <v>0</v>
      </c>
      <c r="G9" s="750">
        <v>0</v>
      </c>
      <c r="H9" s="751">
        <f t="shared" si="1"/>
        <v>0</v>
      </c>
      <c r="I9" s="750">
        <v>0</v>
      </c>
      <c r="J9" s="750">
        <v>0</v>
      </c>
      <c r="K9" s="750">
        <v>0</v>
      </c>
      <c r="L9" s="750">
        <v>0</v>
      </c>
      <c r="M9" s="751">
        <f t="shared" si="2"/>
        <v>0</v>
      </c>
      <c r="N9" s="750">
        <v>0</v>
      </c>
      <c r="O9" s="750">
        <v>0</v>
      </c>
      <c r="P9" s="750">
        <v>0</v>
      </c>
      <c r="Q9" s="750">
        <v>0</v>
      </c>
      <c r="R9" s="750">
        <v>0</v>
      </c>
      <c r="S9" s="755">
        <v>0</v>
      </c>
      <c r="T9" s="755">
        <v>0</v>
      </c>
      <c r="U9" s="755">
        <v>0</v>
      </c>
      <c r="V9" s="749">
        <v>0</v>
      </c>
    </row>
    <row r="10" spans="1:22">
      <c r="A10" s="545">
        <v>4</v>
      </c>
      <c r="B10" s="548" t="s">
        <v>689</v>
      </c>
      <c r="C10" s="751">
        <f t="shared" si="0"/>
        <v>252916589.28000283</v>
      </c>
      <c r="D10" s="750">
        <v>245826859.74000281</v>
      </c>
      <c r="E10" s="750">
        <v>4857398.1100000106</v>
      </c>
      <c r="F10" s="750">
        <v>2232331.429999996</v>
      </c>
      <c r="G10" s="750">
        <v>0</v>
      </c>
      <c r="H10" s="751">
        <f t="shared" si="1"/>
        <v>257701543.50095356</v>
      </c>
      <c r="I10" s="750">
        <v>249137011.76236838</v>
      </c>
      <c r="J10" s="750">
        <v>5431432.2660689699</v>
      </c>
      <c r="K10" s="750">
        <v>3133099.472516194</v>
      </c>
      <c r="L10" s="750">
        <v>0</v>
      </c>
      <c r="M10" s="751">
        <f t="shared" si="2"/>
        <v>7249394.610017254</v>
      </c>
      <c r="N10" s="750">
        <v>3313999.9684787751</v>
      </c>
      <c r="O10" s="750">
        <v>1401580.1213994706</v>
      </c>
      <c r="P10" s="750">
        <v>2533814.5201390078</v>
      </c>
      <c r="Q10" s="750">
        <v>0</v>
      </c>
      <c r="R10" s="750">
        <v>273836</v>
      </c>
      <c r="S10" s="755">
        <v>9.64E-2</v>
      </c>
      <c r="T10" s="755">
        <v>0.20830599999999999</v>
      </c>
      <c r="U10" s="755">
        <v>0.11</v>
      </c>
      <c r="V10" s="749">
        <v>13.719900000000001</v>
      </c>
    </row>
    <row r="11" spans="1:22">
      <c r="A11" s="545">
        <v>5</v>
      </c>
      <c r="B11" s="548" t="s">
        <v>690</v>
      </c>
      <c r="C11" s="751">
        <f t="shared" si="0"/>
        <v>1146629.2773</v>
      </c>
      <c r="D11" s="750">
        <v>1146629.2773</v>
      </c>
      <c r="E11" s="750">
        <v>0</v>
      </c>
      <c r="F11" s="750">
        <v>0</v>
      </c>
      <c r="G11" s="750">
        <v>0</v>
      </c>
      <c r="H11" s="751">
        <f t="shared" si="1"/>
        <v>1178808.2405484908</v>
      </c>
      <c r="I11" s="750">
        <v>1178808.2405484908</v>
      </c>
      <c r="J11" s="750">
        <v>0</v>
      </c>
      <c r="K11" s="750">
        <v>0</v>
      </c>
      <c r="L11" s="750">
        <v>0</v>
      </c>
      <c r="M11" s="751">
        <f t="shared" si="2"/>
        <v>3039.3692123008373</v>
      </c>
      <c r="N11" s="750">
        <v>3039.3692123008373</v>
      </c>
      <c r="O11" s="750">
        <v>0</v>
      </c>
      <c r="P11" s="750">
        <v>0</v>
      </c>
      <c r="Q11" s="750">
        <v>0</v>
      </c>
      <c r="R11" s="750">
        <v>17</v>
      </c>
      <c r="S11" s="755">
        <v>0.1147</v>
      </c>
      <c r="T11" s="755">
        <v>0.12930800000000001</v>
      </c>
      <c r="U11" s="755">
        <v>0.13</v>
      </c>
      <c r="V11" s="749">
        <v>5.3789999999999996</v>
      </c>
    </row>
    <row r="12" spans="1:22">
      <c r="A12" s="545">
        <v>6</v>
      </c>
      <c r="B12" s="548" t="s">
        <v>691</v>
      </c>
      <c r="C12" s="751">
        <f t="shared" si="0"/>
        <v>60879067.059999764</v>
      </c>
      <c r="D12" s="750">
        <v>58538705.549999766</v>
      </c>
      <c r="E12" s="750">
        <v>1324736.4300000013</v>
      </c>
      <c r="F12" s="750">
        <v>1015625.0800000004</v>
      </c>
      <c r="G12" s="750">
        <v>0</v>
      </c>
      <c r="H12" s="751">
        <f t="shared" si="1"/>
        <v>61122446.579193875</v>
      </c>
      <c r="I12" s="750">
        <v>58778812.545701995</v>
      </c>
      <c r="J12" s="750">
        <v>1324015.4361996446</v>
      </c>
      <c r="K12" s="750">
        <v>1019618.5972922398</v>
      </c>
      <c r="L12" s="750">
        <v>0</v>
      </c>
      <c r="M12" s="751">
        <f t="shared" si="2"/>
        <v>2143021.5785771711</v>
      </c>
      <c r="N12" s="750">
        <v>809535.26964405319</v>
      </c>
      <c r="O12" s="750">
        <v>508813.48541162629</v>
      </c>
      <c r="P12" s="750">
        <v>824672.82352149149</v>
      </c>
      <c r="Q12" s="750">
        <v>0</v>
      </c>
      <c r="R12" s="750">
        <v>108495</v>
      </c>
      <c r="S12" s="755">
        <v>0.34989999999999999</v>
      </c>
      <c r="T12" s="755">
        <v>0.414989</v>
      </c>
      <c r="U12" s="755">
        <v>0.34</v>
      </c>
      <c r="V12" s="749">
        <v>324.90249999999997</v>
      </c>
    </row>
    <row r="13" spans="1:22">
      <c r="A13" s="545">
        <v>7</v>
      </c>
      <c r="B13" s="548" t="s">
        <v>692</v>
      </c>
      <c r="C13" s="752">
        <f t="shared" ref="C13:G13" si="3">SUM(C14:C16)</f>
        <v>259009765.22980002</v>
      </c>
      <c r="D13" s="752">
        <f t="shared" si="3"/>
        <v>255371250.84979999</v>
      </c>
      <c r="E13" s="752">
        <f t="shared" si="3"/>
        <v>2695318.2399999984</v>
      </c>
      <c r="F13" s="752">
        <f t="shared" si="3"/>
        <v>931441.03</v>
      </c>
      <c r="G13" s="752">
        <f t="shared" si="3"/>
        <v>11755.11</v>
      </c>
      <c r="H13" s="751">
        <f t="shared" si="1"/>
        <v>259248431.28039405</v>
      </c>
      <c r="I13" s="752">
        <f t="shared" ref="I13:L13" si="4">SUM(I14:I16)</f>
        <v>255598961.63529307</v>
      </c>
      <c r="J13" s="752">
        <f t="shared" si="4"/>
        <v>2576714.3770301719</v>
      </c>
      <c r="K13" s="752">
        <f t="shared" si="4"/>
        <v>1060905.4482804947</v>
      </c>
      <c r="L13" s="752">
        <f t="shared" si="4"/>
        <v>11849.81979034124</v>
      </c>
      <c r="M13" s="751">
        <f t="shared" si="2"/>
        <v>2447429.936378988</v>
      </c>
      <c r="N13" s="752">
        <f t="shared" ref="N13:R13" si="5">SUM(N14:N16)</f>
        <v>1189156.346824463</v>
      </c>
      <c r="O13" s="752">
        <f t="shared" si="5"/>
        <v>551368.73026539013</v>
      </c>
      <c r="P13" s="752">
        <f t="shared" si="5"/>
        <v>706768.04492853233</v>
      </c>
      <c r="Q13" s="752">
        <f t="shared" si="5"/>
        <v>136.81436060206221</v>
      </c>
      <c r="R13" s="752">
        <f t="shared" si="5"/>
        <v>14192</v>
      </c>
      <c r="S13" s="762">
        <v>0.16250000000000001</v>
      </c>
      <c r="T13" s="762">
        <v>0.20208200000000001</v>
      </c>
      <c r="U13" s="762">
        <v>0.158</v>
      </c>
      <c r="V13" s="758">
        <v>93.379900000000006</v>
      </c>
    </row>
    <row r="14" spans="1:22">
      <c r="A14" s="543">
        <v>7.1</v>
      </c>
      <c r="B14" s="542" t="s">
        <v>693</v>
      </c>
      <c r="C14" s="751">
        <f t="shared" si="0"/>
        <v>159947356.40270004</v>
      </c>
      <c r="D14" s="750">
        <v>159477959.46270004</v>
      </c>
      <c r="E14" s="750">
        <v>57460.95</v>
      </c>
      <c r="F14" s="750">
        <v>411935.99</v>
      </c>
      <c r="G14" s="750">
        <v>0</v>
      </c>
      <c r="H14" s="751">
        <f t="shared" si="1"/>
        <v>160715652.12217531</v>
      </c>
      <c r="I14" s="750">
        <v>160211391.46826556</v>
      </c>
      <c r="J14" s="750">
        <v>57521.089186227</v>
      </c>
      <c r="K14" s="750">
        <v>446739.56472351751</v>
      </c>
      <c r="L14" s="750">
        <v>0</v>
      </c>
      <c r="M14" s="751">
        <f t="shared" si="2"/>
        <v>651440.0282241283</v>
      </c>
      <c r="N14" s="750">
        <v>412236.06041579653</v>
      </c>
      <c r="O14" s="750">
        <v>6820.9878835236696</v>
      </c>
      <c r="P14" s="750">
        <v>232382.97992480808</v>
      </c>
      <c r="Q14" s="750">
        <v>0</v>
      </c>
      <c r="R14" s="750">
        <v>1920</v>
      </c>
      <c r="S14" s="755">
        <v>0.14380000000000001</v>
      </c>
      <c r="T14" s="755">
        <v>0.17061999999999999</v>
      </c>
      <c r="U14" s="755">
        <v>0.13</v>
      </c>
      <c r="V14" s="749">
        <v>124.0046</v>
      </c>
    </row>
    <row r="15" spans="1:22" ht="24">
      <c r="A15" s="543">
        <v>7.2</v>
      </c>
      <c r="B15" s="542" t="s">
        <v>694</v>
      </c>
      <c r="C15" s="751">
        <f t="shared" si="0"/>
        <v>3641066.1891999994</v>
      </c>
      <c r="D15" s="750">
        <v>3571190.8591999994</v>
      </c>
      <c r="E15" s="750">
        <v>69875.33</v>
      </c>
      <c r="F15" s="750">
        <v>0</v>
      </c>
      <c r="G15" s="750">
        <v>0</v>
      </c>
      <c r="H15" s="751">
        <f t="shared" si="1"/>
        <v>3646906.0595570789</v>
      </c>
      <c r="I15" s="750">
        <v>3577353.3896829206</v>
      </c>
      <c r="J15" s="750">
        <v>69552.669874158295</v>
      </c>
      <c r="K15" s="750">
        <v>0</v>
      </c>
      <c r="L15" s="750">
        <v>0</v>
      </c>
      <c r="M15" s="751">
        <f t="shared" si="2"/>
        <v>25355.530414113739</v>
      </c>
      <c r="N15" s="750">
        <v>8540.6894418987413</v>
      </c>
      <c r="O15" s="750">
        <v>16814.840972214999</v>
      </c>
      <c r="P15" s="750">
        <v>0</v>
      </c>
      <c r="Q15" s="750">
        <v>0</v>
      </c>
      <c r="R15" s="750">
        <v>52</v>
      </c>
      <c r="S15" s="755">
        <v>0.13639999999999999</v>
      </c>
      <c r="T15" s="755">
        <v>0.16385</v>
      </c>
      <c r="U15" s="755">
        <v>0.12</v>
      </c>
      <c r="V15" s="749">
        <v>94.237799999999993</v>
      </c>
    </row>
    <row r="16" spans="1:22">
      <c r="A16" s="543">
        <v>7.3</v>
      </c>
      <c r="B16" s="542" t="s">
        <v>695</v>
      </c>
      <c r="C16" s="751">
        <f t="shared" si="0"/>
        <v>95421342.637899965</v>
      </c>
      <c r="D16" s="750">
        <v>92322100.527899966</v>
      </c>
      <c r="E16" s="750">
        <v>2567981.9599999986</v>
      </c>
      <c r="F16" s="750">
        <v>519505.04</v>
      </c>
      <c r="G16" s="750">
        <v>11755.11</v>
      </c>
      <c r="H16" s="751">
        <f t="shared" si="1"/>
        <v>94885873.098661706</v>
      </c>
      <c r="I16" s="750">
        <v>91810216.777344599</v>
      </c>
      <c r="J16" s="750">
        <v>2449640.6179697867</v>
      </c>
      <c r="K16" s="750">
        <v>614165.88355697703</v>
      </c>
      <c r="L16" s="750">
        <v>11849.81979034124</v>
      </c>
      <c r="M16" s="751">
        <f t="shared" si="2"/>
        <v>1770634.3777407457</v>
      </c>
      <c r="N16" s="750">
        <v>768379.59696676768</v>
      </c>
      <c r="O16" s="750">
        <v>527732.9014096515</v>
      </c>
      <c r="P16" s="750">
        <v>474385.0650037243</v>
      </c>
      <c r="Q16" s="750">
        <v>136.81436060206221</v>
      </c>
      <c r="R16" s="750">
        <v>12220</v>
      </c>
      <c r="S16" s="755">
        <v>0.2094</v>
      </c>
      <c r="T16" s="755">
        <v>0.28088600000000002</v>
      </c>
      <c r="U16" s="755">
        <v>0.21</v>
      </c>
      <c r="V16" s="749">
        <v>42.013500000000001</v>
      </c>
    </row>
    <row r="17" spans="1:22">
      <c r="A17" s="545">
        <v>8</v>
      </c>
      <c r="B17" s="548" t="s">
        <v>696</v>
      </c>
      <c r="C17" s="751">
        <f t="shared" si="0"/>
        <v>0</v>
      </c>
      <c r="D17" s="750">
        <v>0</v>
      </c>
      <c r="E17" s="750">
        <v>0</v>
      </c>
      <c r="F17" s="750">
        <v>0</v>
      </c>
      <c r="G17" s="750">
        <v>0</v>
      </c>
      <c r="H17" s="751">
        <f t="shared" si="1"/>
        <v>0</v>
      </c>
      <c r="I17" s="750">
        <v>0</v>
      </c>
      <c r="J17" s="750">
        <v>0</v>
      </c>
      <c r="K17" s="750">
        <v>0</v>
      </c>
      <c r="L17" s="750">
        <v>0</v>
      </c>
      <c r="M17" s="751">
        <f t="shared" si="2"/>
        <v>0</v>
      </c>
      <c r="N17" s="750">
        <v>0</v>
      </c>
      <c r="O17" s="750">
        <v>0</v>
      </c>
      <c r="P17" s="750">
        <v>0</v>
      </c>
      <c r="Q17" s="750">
        <v>0</v>
      </c>
      <c r="R17" s="750">
        <v>0</v>
      </c>
      <c r="S17" s="755">
        <v>0</v>
      </c>
      <c r="T17" s="755">
        <v>0</v>
      </c>
      <c r="U17" s="755">
        <v>0</v>
      </c>
      <c r="V17" s="749">
        <v>0</v>
      </c>
    </row>
    <row r="18" spans="1:22">
      <c r="A18" s="547">
        <v>9</v>
      </c>
      <c r="B18" s="546" t="s">
        <v>697</v>
      </c>
      <c r="C18" s="751">
        <f t="shared" si="0"/>
        <v>7429199.7902999986</v>
      </c>
      <c r="D18" s="754">
        <v>7359619.0802999986</v>
      </c>
      <c r="E18" s="754">
        <v>53706.810000000005</v>
      </c>
      <c r="F18" s="754">
        <v>15873.900000000001</v>
      </c>
      <c r="G18" s="754">
        <v>0</v>
      </c>
      <c r="H18" s="751">
        <f t="shared" si="1"/>
        <v>7813434.3761900049</v>
      </c>
      <c r="I18" s="754">
        <v>7732966.4148179907</v>
      </c>
      <c r="J18" s="754">
        <v>61596.190307031327</v>
      </c>
      <c r="K18" s="754">
        <v>18871.771064982957</v>
      </c>
      <c r="L18" s="754">
        <v>0</v>
      </c>
      <c r="M18" s="751">
        <f t="shared" si="2"/>
        <v>127676.75554104128</v>
      </c>
      <c r="N18" s="754">
        <v>92577.361025551931</v>
      </c>
      <c r="O18" s="754">
        <v>19837.329597138531</v>
      </c>
      <c r="P18" s="754">
        <v>15262.064918350816</v>
      </c>
      <c r="Q18" s="754">
        <v>0</v>
      </c>
      <c r="R18" s="754">
        <v>2338</v>
      </c>
      <c r="S18" s="756">
        <v>4.2500000000000003E-2</v>
      </c>
      <c r="T18" s="756">
        <v>5.1418999999999999E-2</v>
      </c>
      <c r="U18" s="756">
        <v>0.04</v>
      </c>
      <c r="V18" s="757">
        <v>48.448</v>
      </c>
    </row>
    <row r="19" spans="1:22">
      <c r="A19" s="545">
        <v>10</v>
      </c>
      <c r="B19" s="544" t="s">
        <v>713</v>
      </c>
      <c r="C19" s="751">
        <f>SUM(C7:C13)+C17+C18</f>
        <v>1690393832.8398015</v>
      </c>
      <c r="D19" s="751">
        <f t="shared" ref="D19:G19" si="6">SUM(D7:D13)+D17+D18</f>
        <v>1618086200.8042018</v>
      </c>
      <c r="E19" s="751">
        <f t="shared" si="6"/>
        <v>59302129.985599995</v>
      </c>
      <c r="F19" s="751">
        <f t="shared" si="6"/>
        <v>12959957.620000014</v>
      </c>
      <c r="G19" s="753">
        <f t="shared" si="6"/>
        <v>45544.43</v>
      </c>
      <c r="H19" s="751">
        <f>SUM(H7:H13)+H17+H18</f>
        <v>1690572270.2576106</v>
      </c>
      <c r="I19" s="751">
        <f t="shared" ref="I19:L19" si="7">SUM(I7:I13)+I17+I18</f>
        <v>1617381032.0271349</v>
      </c>
      <c r="J19" s="751">
        <f t="shared" si="7"/>
        <v>57790783.372276589</v>
      </c>
      <c r="K19" s="751">
        <f t="shared" si="7"/>
        <v>15353975.020524101</v>
      </c>
      <c r="L19" s="751">
        <f t="shared" si="7"/>
        <v>46479.837675008108</v>
      </c>
      <c r="M19" s="751">
        <f>SUM(M7:M13)+M17+M18</f>
        <v>40164055.365680017</v>
      </c>
      <c r="N19" s="751">
        <f t="shared" ref="N19:P19" si="8">SUM(N7:N13)+N17+N18</f>
        <v>15568415.068245886</v>
      </c>
      <c r="O19" s="751">
        <f t="shared" si="8"/>
        <v>12498651.009519491</v>
      </c>
      <c r="P19" s="751">
        <f t="shared" si="8"/>
        <v>12093309.266612552</v>
      </c>
      <c r="Q19" s="751">
        <f t="shared" ref="Q19:R19" si="9">SUM(Q7:Q13)+Q17+Q18</f>
        <v>3680.021302096432</v>
      </c>
      <c r="R19" s="752">
        <f t="shared" si="9"/>
        <v>588358</v>
      </c>
      <c r="S19" s="755">
        <v>0.19</v>
      </c>
      <c r="T19" s="755">
        <v>0.28000000000000003</v>
      </c>
      <c r="U19" s="755">
        <v>0.1973</v>
      </c>
      <c r="V19" s="537">
        <v>54.073999999999998</v>
      </c>
    </row>
    <row r="20" spans="1:22" ht="24">
      <c r="A20" s="543">
        <v>10.1</v>
      </c>
      <c r="B20" s="542" t="s">
        <v>716</v>
      </c>
      <c r="C20" s="751">
        <f>SUM(D20:G20)</f>
        <v>2374058.2200000002</v>
      </c>
      <c r="D20" s="750">
        <v>2324302.2300000004</v>
      </c>
      <c r="E20" s="750">
        <v>40759.229999999996</v>
      </c>
      <c r="F20" s="750">
        <v>8996.76</v>
      </c>
      <c r="G20" s="750">
        <v>0</v>
      </c>
      <c r="H20" s="751">
        <f>SUM(I20:L20)</f>
        <v>2411363.5390285589</v>
      </c>
      <c r="I20" s="750">
        <v>2354618.1717209411</v>
      </c>
      <c r="J20" s="750">
        <v>43370.486080658942</v>
      </c>
      <c r="K20" s="750">
        <v>13374.881226958811</v>
      </c>
      <c r="L20" s="537"/>
      <c r="M20" s="751">
        <f>SUM(N20:Q20)</f>
        <v>52552.768250181252</v>
      </c>
      <c r="N20" s="750">
        <v>25812.934578564389</v>
      </c>
      <c r="O20" s="750">
        <v>15880.215490530552</v>
      </c>
      <c r="P20" s="750">
        <v>10859.618181086309</v>
      </c>
      <c r="Q20" s="537"/>
      <c r="R20" s="537">
        <v>988</v>
      </c>
      <c r="S20" s="755">
        <v>0.20530000000000001</v>
      </c>
      <c r="T20" s="755">
        <v>0.295068</v>
      </c>
      <c r="U20" s="755">
        <v>0.21329999999999999</v>
      </c>
      <c r="V20" s="749">
        <v>39.116799999999998</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ignoredErrors>
    <ignoredError sqref="C13 C19 H13 H19 M13 M19" formula="1"/>
    <ignoredError sqref="D13:G13 I13:L13 M7:M12 M14:M16 M18 M20 N13:Q1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37"/>
  <sheetViews>
    <sheetView zoomScale="90" zoomScaleNormal="90" workbookViewId="0">
      <selection activeCell="A67" sqref="A67"/>
    </sheetView>
  </sheetViews>
  <sheetFormatPr defaultColWidth="43.5546875" defaultRowHeight="12"/>
  <cols>
    <col min="1" max="1" width="8" style="154" customWidth="1"/>
    <col min="2" max="2" width="66.21875" style="155" customWidth="1"/>
    <col min="3" max="3" width="131.44140625" style="156" customWidth="1"/>
    <col min="4" max="5" width="10.21875" style="147" customWidth="1"/>
    <col min="6" max="6" width="67.6640625" style="147" customWidth="1"/>
    <col min="7" max="16384" width="43.5546875" style="147"/>
  </cols>
  <sheetData>
    <row r="1" spans="1:3" ht="13.2" thickTop="1" thickBot="1">
      <c r="A1" s="912" t="s">
        <v>188</v>
      </c>
      <c r="B1" s="913"/>
      <c r="C1" s="914"/>
    </row>
    <row r="2" spans="1:3" ht="26.25" customHeight="1">
      <c r="A2" s="384"/>
      <c r="B2" s="915" t="s">
        <v>189</v>
      </c>
      <c r="C2" s="915"/>
    </row>
    <row r="3" spans="1:3" s="152" customFormat="1" ht="11.25" customHeight="1">
      <c r="A3" s="151"/>
      <c r="B3" s="915" t="s">
        <v>264</v>
      </c>
      <c r="C3" s="915"/>
    </row>
    <row r="4" spans="1:3" ht="12" customHeight="1" thickBot="1">
      <c r="A4" s="916" t="s">
        <v>268</v>
      </c>
      <c r="B4" s="917"/>
      <c r="C4" s="918"/>
    </row>
    <row r="5" spans="1:3" ht="12.6" thickTop="1">
      <c r="A5" s="148"/>
      <c r="B5" s="919" t="s">
        <v>190</v>
      </c>
      <c r="C5" s="920"/>
    </row>
    <row r="6" spans="1:3">
      <c r="A6" s="384"/>
      <c r="B6" s="921" t="s">
        <v>265</v>
      </c>
      <c r="C6" s="922"/>
    </row>
    <row r="7" spans="1:3">
      <c r="A7" s="384"/>
      <c r="B7" s="921" t="s">
        <v>191</v>
      </c>
      <c r="C7" s="922"/>
    </row>
    <row r="8" spans="1:3">
      <c r="A8" s="384"/>
      <c r="B8" s="921" t="s">
        <v>266</v>
      </c>
      <c r="C8" s="922"/>
    </row>
    <row r="9" spans="1:3">
      <c r="A9" s="384"/>
      <c r="B9" s="927" t="s">
        <v>267</v>
      </c>
      <c r="C9" s="928"/>
    </row>
    <row r="10" spans="1:3">
      <c r="A10" s="384"/>
      <c r="B10" s="925" t="s">
        <v>192</v>
      </c>
      <c r="C10" s="926" t="s">
        <v>192</v>
      </c>
    </row>
    <row r="11" spans="1:3">
      <c r="A11" s="384"/>
      <c r="B11" s="925" t="s">
        <v>193</v>
      </c>
      <c r="C11" s="926" t="s">
        <v>193</v>
      </c>
    </row>
    <row r="12" spans="1:3">
      <c r="A12" s="384"/>
      <c r="B12" s="925" t="s">
        <v>194</v>
      </c>
      <c r="C12" s="926" t="s">
        <v>194</v>
      </c>
    </row>
    <row r="13" spans="1:3">
      <c r="A13" s="384"/>
      <c r="B13" s="925" t="s">
        <v>195</v>
      </c>
      <c r="C13" s="926" t="s">
        <v>195</v>
      </c>
    </row>
    <row r="14" spans="1:3">
      <c r="A14" s="384"/>
      <c r="B14" s="925" t="s">
        <v>196</v>
      </c>
      <c r="C14" s="926" t="s">
        <v>196</v>
      </c>
    </row>
    <row r="15" spans="1:3" ht="21.75" customHeight="1">
      <c r="A15" s="384"/>
      <c r="B15" s="925" t="s">
        <v>197</v>
      </c>
      <c r="C15" s="926" t="s">
        <v>197</v>
      </c>
    </row>
    <row r="16" spans="1:3">
      <c r="A16" s="384"/>
      <c r="B16" s="925" t="s">
        <v>198</v>
      </c>
      <c r="C16" s="926" t="s">
        <v>199</v>
      </c>
    </row>
    <row r="17" spans="1:6">
      <c r="A17" s="384"/>
      <c r="B17" s="925" t="s">
        <v>200</v>
      </c>
      <c r="C17" s="926" t="s">
        <v>201</v>
      </c>
    </row>
    <row r="18" spans="1:6">
      <c r="A18" s="384"/>
      <c r="B18" s="925" t="s">
        <v>202</v>
      </c>
      <c r="C18" s="926" t="s">
        <v>203</v>
      </c>
    </row>
    <row r="19" spans="1:6">
      <c r="A19" s="631"/>
      <c r="B19" s="923" t="s">
        <v>204</v>
      </c>
      <c r="C19" s="924" t="s">
        <v>204</v>
      </c>
    </row>
    <row r="20" spans="1:6">
      <c r="A20" s="631"/>
      <c r="B20" s="923" t="s">
        <v>947</v>
      </c>
      <c r="C20" s="924" t="s">
        <v>205</v>
      </c>
    </row>
    <row r="21" spans="1:6">
      <c r="A21" s="384"/>
      <c r="B21" s="923" t="s">
        <v>990</v>
      </c>
      <c r="C21" s="924" t="s">
        <v>206</v>
      </c>
    </row>
    <row r="22" spans="1:6" ht="23.25" customHeight="1">
      <c r="A22" s="384"/>
      <c r="B22" s="925" t="s">
        <v>207</v>
      </c>
      <c r="C22" s="926" t="s">
        <v>208</v>
      </c>
      <c r="F22" s="595"/>
    </row>
    <row r="23" spans="1:6">
      <c r="A23" s="384"/>
      <c r="B23" s="925" t="s">
        <v>209</v>
      </c>
      <c r="C23" s="926" t="s">
        <v>209</v>
      </c>
    </row>
    <row r="24" spans="1:6">
      <c r="A24" s="384"/>
      <c r="B24" s="925" t="s">
        <v>210</v>
      </c>
      <c r="C24" s="926" t="s">
        <v>211</v>
      </c>
    </row>
    <row r="25" spans="1:6" ht="12.6" thickBot="1">
      <c r="A25" s="149"/>
      <c r="B25" s="934" t="s">
        <v>212</v>
      </c>
      <c r="C25" s="935"/>
    </row>
    <row r="26" spans="1:6" ht="13.2" thickTop="1" thickBot="1">
      <c r="A26" s="916" t="s">
        <v>840</v>
      </c>
      <c r="B26" s="917"/>
      <c r="C26" s="918"/>
    </row>
    <row r="27" spans="1:6" ht="13.2" thickTop="1" thickBot="1">
      <c r="A27" s="150"/>
      <c r="B27" s="936" t="s">
        <v>841</v>
      </c>
      <c r="C27" s="937"/>
    </row>
    <row r="28" spans="1:6" ht="13.2" thickTop="1" thickBot="1">
      <c r="A28" s="916" t="s">
        <v>269</v>
      </c>
      <c r="B28" s="917"/>
      <c r="C28" s="918"/>
    </row>
    <row r="29" spans="1:6" ht="12.6" thickTop="1">
      <c r="A29" s="148"/>
      <c r="B29" s="938" t="s">
        <v>844</v>
      </c>
      <c r="C29" s="939" t="s">
        <v>213</v>
      </c>
    </row>
    <row r="30" spans="1:6">
      <c r="A30" s="384"/>
      <c r="B30" s="929" t="s">
        <v>217</v>
      </c>
      <c r="C30" s="930" t="s">
        <v>214</v>
      </c>
    </row>
    <row r="31" spans="1:6">
      <c r="A31" s="384"/>
      <c r="B31" s="929" t="s">
        <v>842</v>
      </c>
      <c r="C31" s="930" t="s">
        <v>215</v>
      </c>
    </row>
    <row r="32" spans="1:6">
      <c r="A32" s="384"/>
      <c r="B32" s="929" t="s">
        <v>843</v>
      </c>
      <c r="C32" s="930" t="s">
        <v>216</v>
      </c>
    </row>
    <row r="33" spans="1:3">
      <c r="A33" s="384"/>
      <c r="B33" s="929" t="s">
        <v>220</v>
      </c>
      <c r="C33" s="930" t="s">
        <v>221</v>
      </c>
    </row>
    <row r="34" spans="1:3">
      <c r="A34" s="384"/>
      <c r="B34" s="929" t="s">
        <v>845</v>
      </c>
      <c r="C34" s="930" t="s">
        <v>218</v>
      </c>
    </row>
    <row r="35" spans="1:3">
      <c r="A35" s="384"/>
      <c r="B35" s="929" t="s">
        <v>846</v>
      </c>
      <c r="C35" s="930" t="s">
        <v>219</v>
      </c>
    </row>
    <row r="36" spans="1:3">
      <c r="A36" s="384"/>
      <c r="B36" s="931" t="s">
        <v>847</v>
      </c>
      <c r="C36" s="932"/>
    </row>
    <row r="37" spans="1:3" ht="24.75" customHeight="1">
      <c r="A37" s="384"/>
      <c r="B37" s="929" t="s">
        <v>848</v>
      </c>
      <c r="C37" s="930" t="s">
        <v>222</v>
      </c>
    </row>
    <row r="38" spans="1:3" ht="23.25" customHeight="1">
      <c r="A38" s="384"/>
      <c r="B38" s="929" t="s">
        <v>849</v>
      </c>
      <c r="C38" s="930" t="s">
        <v>223</v>
      </c>
    </row>
    <row r="39" spans="1:3" ht="23.25" customHeight="1">
      <c r="A39" s="449"/>
      <c r="B39" s="931" t="s">
        <v>850</v>
      </c>
      <c r="C39" s="933"/>
    </row>
    <row r="40" spans="1:3" ht="12" customHeight="1">
      <c r="A40" s="384"/>
      <c r="B40" s="929" t="s">
        <v>851</v>
      </c>
      <c r="C40" s="930"/>
    </row>
    <row r="41" spans="1:3" ht="12.6" thickBot="1">
      <c r="A41" s="916" t="s">
        <v>270</v>
      </c>
      <c r="B41" s="917"/>
      <c r="C41" s="918"/>
    </row>
    <row r="42" spans="1:3" ht="12.6" thickTop="1">
      <c r="A42" s="148"/>
      <c r="B42" s="919" t="s">
        <v>300</v>
      </c>
      <c r="C42" s="920" t="s">
        <v>224</v>
      </c>
    </row>
    <row r="43" spans="1:3">
      <c r="A43" s="384"/>
      <c r="B43" s="921" t="s">
        <v>299</v>
      </c>
      <c r="C43" s="922"/>
    </row>
    <row r="44" spans="1:3" ht="23.25" customHeight="1" thickBot="1">
      <c r="A44" s="149"/>
      <c r="B44" s="940" t="s">
        <v>225</v>
      </c>
      <c r="C44" s="941" t="s">
        <v>226</v>
      </c>
    </row>
    <row r="45" spans="1:3" ht="11.25" customHeight="1" thickTop="1" thickBot="1">
      <c r="A45" s="916" t="s">
        <v>271</v>
      </c>
      <c r="B45" s="917"/>
      <c r="C45" s="918"/>
    </row>
    <row r="46" spans="1:3" ht="26.25" customHeight="1" thickTop="1">
      <c r="A46" s="384"/>
      <c r="B46" s="921" t="s">
        <v>272</v>
      </c>
      <c r="C46" s="922"/>
    </row>
    <row r="47" spans="1:3" ht="12.6" thickBot="1">
      <c r="A47" s="916" t="s">
        <v>273</v>
      </c>
      <c r="B47" s="917"/>
      <c r="C47" s="918"/>
    </row>
    <row r="48" spans="1:3" ht="12.6" thickTop="1">
      <c r="A48" s="148"/>
      <c r="B48" s="919" t="s">
        <v>227</v>
      </c>
      <c r="C48" s="920" t="s">
        <v>227</v>
      </c>
    </row>
    <row r="49" spans="1:3" ht="11.25" customHeight="1">
      <c r="A49" s="384"/>
      <c r="B49" s="921" t="s">
        <v>228</v>
      </c>
      <c r="C49" s="922" t="s">
        <v>228</v>
      </c>
    </row>
    <row r="50" spans="1:3">
      <c r="A50" s="384"/>
      <c r="B50" s="921" t="s">
        <v>229</v>
      </c>
      <c r="C50" s="922" t="s">
        <v>229</v>
      </c>
    </row>
    <row r="51" spans="1:3" ht="11.25" customHeight="1">
      <c r="A51" s="384"/>
      <c r="B51" s="921" t="s">
        <v>853</v>
      </c>
      <c r="C51" s="922" t="s">
        <v>230</v>
      </c>
    </row>
    <row r="52" spans="1:3" ht="33.6" customHeight="1">
      <c r="A52" s="384"/>
      <c r="B52" s="921" t="s">
        <v>231</v>
      </c>
      <c r="C52" s="922" t="s">
        <v>231</v>
      </c>
    </row>
    <row r="53" spans="1:3" ht="11.25" customHeight="1">
      <c r="A53" s="384"/>
      <c r="B53" s="921" t="s">
        <v>320</v>
      </c>
      <c r="C53" s="922" t="s">
        <v>232</v>
      </c>
    </row>
    <row r="54" spans="1:3" ht="11.25" customHeight="1" thickBot="1">
      <c r="A54" s="916" t="s">
        <v>274</v>
      </c>
      <c r="B54" s="917"/>
      <c r="C54" s="918"/>
    </row>
    <row r="55" spans="1:3" ht="12.6" thickTop="1">
      <c r="A55" s="148"/>
      <c r="B55" s="919" t="s">
        <v>227</v>
      </c>
      <c r="C55" s="920" t="s">
        <v>227</v>
      </c>
    </row>
    <row r="56" spans="1:3">
      <c r="A56" s="384"/>
      <c r="B56" s="921" t="s">
        <v>233</v>
      </c>
      <c r="C56" s="922" t="s">
        <v>233</v>
      </c>
    </row>
    <row r="57" spans="1:3">
      <c r="A57" s="384"/>
      <c r="B57" s="921" t="s">
        <v>277</v>
      </c>
      <c r="C57" s="922" t="s">
        <v>234</v>
      </c>
    </row>
    <row r="58" spans="1:3">
      <c r="A58" s="384"/>
      <c r="B58" s="921" t="s">
        <v>235</v>
      </c>
      <c r="C58" s="922" t="s">
        <v>235</v>
      </c>
    </row>
    <row r="59" spans="1:3">
      <c r="A59" s="384"/>
      <c r="B59" s="921" t="s">
        <v>236</v>
      </c>
      <c r="C59" s="922" t="s">
        <v>236</v>
      </c>
    </row>
    <row r="60" spans="1:3">
      <c r="A60" s="384"/>
      <c r="B60" s="921" t="s">
        <v>237</v>
      </c>
      <c r="C60" s="922" t="s">
        <v>237</v>
      </c>
    </row>
    <row r="61" spans="1:3">
      <c r="A61" s="384"/>
      <c r="B61" s="921" t="s">
        <v>278</v>
      </c>
      <c r="C61" s="922" t="s">
        <v>238</v>
      </c>
    </row>
    <row r="62" spans="1:3">
      <c r="A62" s="384"/>
      <c r="B62" s="921" t="s">
        <v>239</v>
      </c>
      <c r="C62" s="922" t="s">
        <v>239</v>
      </c>
    </row>
    <row r="63" spans="1:3" ht="12.6" thickBot="1">
      <c r="A63" s="149"/>
      <c r="B63" s="940" t="s">
        <v>240</v>
      </c>
      <c r="C63" s="941" t="s">
        <v>240</v>
      </c>
    </row>
    <row r="64" spans="1:3" ht="11.25" customHeight="1" thickTop="1">
      <c r="A64" s="946" t="s">
        <v>275</v>
      </c>
      <c r="B64" s="947"/>
      <c r="C64" s="948"/>
    </row>
    <row r="65" spans="1:3" ht="12.6" thickBot="1">
      <c r="A65" s="149"/>
      <c r="B65" s="940" t="s">
        <v>241</v>
      </c>
      <c r="C65" s="941" t="s">
        <v>241</v>
      </c>
    </row>
    <row r="66" spans="1:3" ht="11.25" customHeight="1" thickTop="1">
      <c r="A66" s="949" t="s">
        <v>980</v>
      </c>
      <c r="B66" s="950"/>
      <c r="C66" s="951"/>
    </row>
    <row r="67" spans="1:3" ht="12.6" thickBot="1">
      <c r="A67" s="635"/>
      <c r="B67" s="952" t="s">
        <v>979</v>
      </c>
      <c r="C67" s="953"/>
    </row>
    <row r="68" spans="1:3" ht="11.25" customHeight="1" thickTop="1" thickBot="1">
      <c r="A68" s="916" t="s">
        <v>276</v>
      </c>
      <c r="B68" s="917"/>
      <c r="C68" s="918"/>
    </row>
    <row r="69" spans="1:3" ht="12.6" thickTop="1">
      <c r="A69" s="148"/>
      <c r="B69" s="919" t="s">
        <v>242</v>
      </c>
      <c r="C69" s="920" t="s">
        <v>242</v>
      </c>
    </row>
    <row r="70" spans="1:3">
      <c r="A70" s="384"/>
      <c r="B70" s="921" t="s">
        <v>855</v>
      </c>
      <c r="C70" s="922" t="s">
        <v>243</v>
      </c>
    </row>
    <row r="71" spans="1:3">
      <c r="A71" s="384"/>
      <c r="B71" s="921" t="s">
        <v>244</v>
      </c>
      <c r="C71" s="922" t="s">
        <v>244</v>
      </c>
    </row>
    <row r="72" spans="1:3" ht="55.05" customHeight="1">
      <c r="A72" s="384"/>
      <c r="B72" s="942" t="s">
        <v>991</v>
      </c>
      <c r="C72" s="943" t="s">
        <v>245</v>
      </c>
    </row>
    <row r="73" spans="1:3" ht="33.75" customHeight="1">
      <c r="A73" s="384"/>
      <c r="B73" s="944" t="s">
        <v>279</v>
      </c>
      <c r="C73" s="945" t="s">
        <v>246</v>
      </c>
    </row>
    <row r="74" spans="1:3" ht="15.75" customHeight="1">
      <c r="A74" s="384"/>
      <c r="B74" s="944" t="s">
        <v>856</v>
      </c>
      <c r="C74" s="945" t="s">
        <v>247</v>
      </c>
    </row>
    <row r="75" spans="1:3">
      <c r="A75" s="384"/>
      <c r="B75" s="921" t="s">
        <v>248</v>
      </c>
      <c r="C75" s="922" t="s">
        <v>248</v>
      </c>
    </row>
    <row r="76" spans="1:3" ht="12.6" thickBot="1">
      <c r="A76" s="149"/>
      <c r="B76" s="940" t="s">
        <v>249</v>
      </c>
      <c r="C76" s="941" t="s">
        <v>249</v>
      </c>
    </row>
    <row r="77" spans="1:3" ht="12.6" thickTop="1">
      <c r="A77" s="946" t="s">
        <v>303</v>
      </c>
      <c r="B77" s="947"/>
      <c r="C77" s="948"/>
    </row>
    <row r="78" spans="1:3">
      <c r="A78" s="384"/>
      <c r="B78" s="921" t="s">
        <v>241</v>
      </c>
      <c r="C78" s="922"/>
    </row>
    <row r="79" spans="1:3">
      <c r="A79" s="384"/>
      <c r="B79" s="921" t="s">
        <v>301</v>
      </c>
      <c r="C79" s="922"/>
    </row>
    <row r="80" spans="1:3">
      <c r="A80" s="384"/>
      <c r="B80" s="921" t="s">
        <v>302</v>
      </c>
      <c r="C80" s="922"/>
    </row>
    <row r="81" spans="1:3">
      <c r="A81" s="946" t="s">
        <v>304</v>
      </c>
      <c r="B81" s="947"/>
      <c r="C81" s="948"/>
    </row>
    <row r="82" spans="1:3">
      <c r="A82" s="384"/>
      <c r="B82" s="921" t="s">
        <v>241</v>
      </c>
      <c r="C82" s="922"/>
    </row>
    <row r="83" spans="1:3">
      <c r="A83" s="384"/>
      <c r="B83" s="921" t="s">
        <v>305</v>
      </c>
      <c r="C83" s="922"/>
    </row>
    <row r="84" spans="1:3" ht="79.5" customHeight="1">
      <c r="A84" s="384"/>
      <c r="B84" s="921" t="s">
        <v>319</v>
      </c>
      <c r="C84" s="922"/>
    </row>
    <row r="85" spans="1:3" ht="53.25" customHeight="1">
      <c r="A85" s="384"/>
      <c r="B85" s="921" t="s">
        <v>318</v>
      </c>
      <c r="C85" s="922"/>
    </row>
    <row r="86" spans="1:3">
      <c r="A86" s="384"/>
      <c r="B86" s="921" t="s">
        <v>306</v>
      </c>
      <c r="C86" s="922"/>
    </row>
    <row r="87" spans="1:3">
      <c r="A87" s="384"/>
      <c r="B87" s="921" t="s">
        <v>307</v>
      </c>
      <c r="C87" s="922"/>
    </row>
    <row r="88" spans="1:3">
      <c r="A88" s="384"/>
      <c r="B88" s="921" t="s">
        <v>308</v>
      </c>
      <c r="C88" s="922"/>
    </row>
    <row r="89" spans="1:3">
      <c r="A89" s="946" t="s">
        <v>309</v>
      </c>
      <c r="B89" s="947"/>
      <c r="C89" s="948"/>
    </row>
    <row r="90" spans="1:3">
      <c r="A90" s="384"/>
      <c r="B90" s="921" t="s">
        <v>241</v>
      </c>
      <c r="C90" s="922"/>
    </row>
    <row r="91" spans="1:3">
      <c r="A91" s="384"/>
      <c r="B91" s="921" t="s">
        <v>311</v>
      </c>
      <c r="C91" s="922"/>
    </row>
    <row r="92" spans="1:3" ht="12" customHeight="1">
      <c r="A92" s="384"/>
      <c r="B92" s="921" t="s">
        <v>312</v>
      </c>
      <c r="C92" s="922"/>
    </row>
    <row r="93" spans="1:3">
      <c r="A93" s="384"/>
      <c r="B93" s="921" t="s">
        <v>313</v>
      </c>
      <c r="C93" s="922"/>
    </row>
    <row r="94" spans="1:3" ht="24.75" customHeight="1">
      <c r="A94" s="384"/>
      <c r="B94" s="929" t="s">
        <v>349</v>
      </c>
      <c r="C94" s="930"/>
    </row>
    <row r="95" spans="1:3" ht="24" customHeight="1">
      <c r="A95" s="384"/>
      <c r="B95" s="929" t="s">
        <v>350</v>
      </c>
      <c r="C95" s="930"/>
    </row>
    <row r="96" spans="1:3" ht="13.5" customHeight="1">
      <c r="A96" s="384"/>
      <c r="B96" s="929" t="s">
        <v>314</v>
      </c>
      <c r="C96" s="930"/>
    </row>
    <row r="97" spans="1:3" ht="11.25" customHeight="1" thickBot="1">
      <c r="A97" s="954" t="s">
        <v>345</v>
      </c>
      <c r="B97" s="955"/>
      <c r="C97" s="956"/>
    </row>
    <row r="98" spans="1:3" ht="13.2" thickTop="1" thickBot="1">
      <c r="A98" s="963" t="s">
        <v>250</v>
      </c>
      <c r="B98" s="963"/>
      <c r="C98" s="963"/>
    </row>
    <row r="99" spans="1:3">
      <c r="A99" s="229">
        <v>2</v>
      </c>
      <c r="B99" s="372" t="s">
        <v>325</v>
      </c>
      <c r="C99" s="372" t="s">
        <v>346</v>
      </c>
    </row>
    <row r="100" spans="1:3">
      <c r="A100" s="153">
        <v>3</v>
      </c>
      <c r="B100" s="373" t="s">
        <v>326</v>
      </c>
      <c r="C100" s="374" t="s">
        <v>347</v>
      </c>
    </row>
    <row r="101" spans="1:3">
      <c r="A101" s="153">
        <v>4</v>
      </c>
      <c r="B101" s="373" t="s">
        <v>327</v>
      </c>
      <c r="C101" s="374" t="s">
        <v>351</v>
      </c>
    </row>
    <row r="102" spans="1:3" ht="11.25" customHeight="1">
      <c r="A102" s="153">
        <v>5</v>
      </c>
      <c r="B102" s="373" t="s">
        <v>328</v>
      </c>
      <c r="C102" s="374" t="s">
        <v>348</v>
      </c>
    </row>
    <row r="103" spans="1:3" ht="12" customHeight="1">
      <c r="A103" s="153">
        <v>6</v>
      </c>
      <c r="B103" s="373" t="s">
        <v>343</v>
      </c>
      <c r="C103" s="374" t="s">
        <v>329</v>
      </c>
    </row>
    <row r="104" spans="1:3" ht="12" customHeight="1">
      <c r="A104" s="153">
        <v>7</v>
      </c>
      <c r="B104" s="373" t="s">
        <v>330</v>
      </c>
      <c r="C104" s="374" t="s">
        <v>344</v>
      </c>
    </row>
    <row r="105" spans="1:3">
      <c r="A105" s="153">
        <v>8</v>
      </c>
      <c r="B105" s="373" t="s">
        <v>335</v>
      </c>
      <c r="C105" s="374" t="s">
        <v>355</v>
      </c>
    </row>
    <row r="106" spans="1:3" ht="11.25" customHeight="1">
      <c r="A106" s="946" t="s">
        <v>315</v>
      </c>
      <c r="B106" s="947"/>
      <c r="C106" s="948"/>
    </row>
    <row r="107" spans="1:3" ht="12" customHeight="1">
      <c r="A107" s="384"/>
      <c r="B107" s="921" t="s">
        <v>241</v>
      </c>
      <c r="C107" s="922"/>
    </row>
    <row r="108" spans="1:3">
      <c r="A108" s="946" t="s">
        <v>486</v>
      </c>
      <c r="B108" s="947"/>
      <c r="C108" s="948"/>
    </row>
    <row r="109" spans="1:3" ht="12" customHeight="1">
      <c r="A109" s="384"/>
      <c r="B109" s="921" t="s">
        <v>488</v>
      </c>
      <c r="C109" s="922"/>
    </row>
    <row r="110" spans="1:3">
      <c r="A110" s="384"/>
      <c r="B110" s="921" t="s">
        <v>489</v>
      </c>
      <c r="C110" s="922"/>
    </row>
    <row r="111" spans="1:3">
      <c r="A111" s="384"/>
      <c r="B111" s="921" t="s">
        <v>487</v>
      </c>
      <c r="C111" s="922"/>
    </row>
    <row r="112" spans="1:3">
      <c r="A112" s="957" t="s">
        <v>720</v>
      </c>
      <c r="B112" s="957"/>
      <c r="C112" s="957"/>
    </row>
    <row r="113" spans="1:3">
      <c r="A113" s="958" t="s">
        <v>188</v>
      </c>
      <c r="B113" s="958"/>
      <c r="C113" s="958"/>
    </row>
    <row r="114" spans="1:3">
      <c r="A114" s="578">
        <v>1</v>
      </c>
      <c r="B114" s="959" t="s">
        <v>604</v>
      </c>
      <c r="C114" s="960"/>
    </row>
    <row r="115" spans="1:3">
      <c r="A115" s="578">
        <v>2</v>
      </c>
      <c r="B115" s="961" t="s">
        <v>605</v>
      </c>
      <c r="C115" s="962"/>
    </row>
    <row r="116" spans="1:3">
      <c r="A116" s="578">
        <v>3</v>
      </c>
      <c r="B116" s="959" t="s">
        <v>930</v>
      </c>
      <c r="C116" s="960"/>
    </row>
    <row r="117" spans="1:3">
      <c r="A117" s="578">
        <v>4</v>
      </c>
      <c r="B117" s="959" t="s">
        <v>929</v>
      </c>
      <c r="C117" s="960"/>
    </row>
    <row r="118" spans="1:3">
      <c r="A118" s="578">
        <v>5</v>
      </c>
      <c r="B118" s="582" t="s">
        <v>928</v>
      </c>
      <c r="C118" s="581"/>
    </row>
    <row r="119" spans="1:3">
      <c r="A119" s="578">
        <v>6</v>
      </c>
      <c r="B119" s="959" t="s">
        <v>939</v>
      </c>
      <c r="C119" s="960"/>
    </row>
    <row r="120" spans="1:3" ht="48.45" customHeight="1">
      <c r="A120" s="578">
        <v>7</v>
      </c>
      <c r="B120" s="959" t="s">
        <v>940</v>
      </c>
      <c r="C120" s="960"/>
    </row>
    <row r="121" spans="1:3">
      <c r="A121" s="556">
        <v>8</v>
      </c>
      <c r="B121" s="551" t="s">
        <v>631</v>
      </c>
      <c r="C121" s="575" t="s">
        <v>927</v>
      </c>
    </row>
    <row r="122" spans="1:3" ht="24">
      <c r="A122" s="578">
        <v>9.01</v>
      </c>
      <c r="B122" s="551" t="s">
        <v>515</v>
      </c>
      <c r="C122" s="552" t="s">
        <v>680</v>
      </c>
    </row>
    <row r="123" spans="1:3" ht="36">
      <c r="A123" s="578">
        <v>9.02</v>
      </c>
      <c r="B123" s="551" t="s">
        <v>516</v>
      </c>
      <c r="C123" s="552" t="s">
        <v>683</v>
      </c>
    </row>
    <row r="124" spans="1:3">
      <c r="A124" s="578">
        <v>9.0299999999999994</v>
      </c>
      <c r="B124" s="552" t="s">
        <v>864</v>
      </c>
      <c r="C124" s="552" t="s">
        <v>606</v>
      </c>
    </row>
    <row r="125" spans="1:3">
      <c r="A125" s="578">
        <v>9.0399999999999991</v>
      </c>
      <c r="B125" s="551" t="s">
        <v>517</v>
      </c>
      <c r="C125" s="552" t="s">
        <v>607</v>
      </c>
    </row>
    <row r="126" spans="1:3">
      <c r="A126" s="578">
        <v>9.0500000000000007</v>
      </c>
      <c r="B126" s="551" t="s">
        <v>518</v>
      </c>
      <c r="C126" s="552" t="s">
        <v>608</v>
      </c>
    </row>
    <row r="127" spans="1:3" ht="24">
      <c r="A127" s="578">
        <v>9.06</v>
      </c>
      <c r="B127" s="551" t="s">
        <v>519</v>
      </c>
      <c r="C127" s="552" t="s">
        <v>609</v>
      </c>
    </row>
    <row r="128" spans="1:3">
      <c r="A128" s="578">
        <v>9.07</v>
      </c>
      <c r="B128" s="580" t="s">
        <v>520</v>
      </c>
      <c r="C128" s="552" t="s">
        <v>610</v>
      </c>
    </row>
    <row r="129" spans="1:3" ht="24">
      <c r="A129" s="578">
        <v>9.08</v>
      </c>
      <c r="B129" s="551" t="s">
        <v>521</v>
      </c>
      <c r="C129" s="552" t="s">
        <v>611</v>
      </c>
    </row>
    <row r="130" spans="1:3" ht="24">
      <c r="A130" s="578">
        <v>9.09</v>
      </c>
      <c r="B130" s="551" t="s">
        <v>522</v>
      </c>
      <c r="C130" s="552" t="s">
        <v>612</v>
      </c>
    </row>
    <row r="131" spans="1:3">
      <c r="A131" s="579">
        <v>9.1</v>
      </c>
      <c r="B131" s="551" t="s">
        <v>523</v>
      </c>
      <c r="C131" s="552" t="s">
        <v>613</v>
      </c>
    </row>
    <row r="132" spans="1:3">
      <c r="A132" s="578">
        <v>9.11</v>
      </c>
      <c r="B132" s="551" t="s">
        <v>524</v>
      </c>
      <c r="C132" s="552" t="s">
        <v>614</v>
      </c>
    </row>
    <row r="133" spans="1:3">
      <c r="A133" s="578">
        <v>9.1199999999999992</v>
      </c>
      <c r="B133" s="551" t="s">
        <v>525</v>
      </c>
      <c r="C133" s="552" t="s">
        <v>615</v>
      </c>
    </row>
    <row r="134" spans="1:3">
      <c r="A134" s="578">
        <v>9.1300000000000008</v>
      </c>
      <c r="B134" s="551" t="s">
        <v>526</v>
      </c>
      <c r="C134" s="552" t="s">
        <v>616</v>
      </c>
    </row>
    <row r="135" spans="1:3">
      <c r="A135" s="578">
        <v>9.14</v>
      </c>
      <c r="B135" s="551" t="s">
        <v>527</v>
      </c>
      <c r="C135" s="552" t="s">
        <v>617</v>
      </c>
    </row>
    <row r="136" spans="1:3">
      <c r="A136" s="578">
        <v>9.15</v>
      </c>
      <c r="B136" s="551" t="s">
        <v>528</v>
      </c>
      <c r="C136" s="552" t="s">
        <v>618</v>
      </c>
    </row>
    <row r="137" spans="1:3">
      <c r="A137" s="578">
        <v>9.16</v>
      </c>
      <c r="B137" s="551" t="s">
        <v>529</v>
      </c>
      <c r="C137" s="552" t="s">
        <v>619</v>
      </c>
    </row>
    <row r="138" spans="1:3">
      <c r="A138" s="578">
        <v>9.17</v>
      </c>
      <c r="B138" s="552" t="s">
        <v>530</v>
      </c>
      <c r="C138" s="552" t="s">
        <v>620</v>
      </c>
    </row>
    <row r="139" spans="1:3" ht="24">
      <c r="A139" s="578">
        <v>9.18</v>
      </c>
      <c r="B139" s="551" t="s">
        <v>531</v>
      </c>
      <c r="C139" s="552" t="s">
        <v>621</v>
      </c>
    </row>
    <row r="140" spans="1:3">
      <c r="A140" s="578">
        <v>9.19</v>
      </c>
      <c r="B140" s="551" t="s">
        <v>532</v>
      </c>
      <c r="C140" s="552" t="s">
        <v>622</v>
      </c>
    </row>
    <row r="141" spans="1:3">
      <c r="A141" s="579">
        <v>9.1999999999999993</v>
      </c>
      <c r="B141" s="551" t="s">
        <v>533</v>
      </c>
      <c r="C141" s="552" t="s">
        <v>623</v>
      </c>
    </row>
    <row r="142" spans="1:3">
      <c r="A142" s="578">
        <v>9.2100000000000009</v>
      </c>
      <c r="B142" s="551" t="s">
        <v>534</v>
      </c>
      <c r="C142" s="552" t="s">
        <v>624</v>
      </c>
    </row>
    <row r="143" spans="1:3">
      <c r="A143" s="578">
        <v>9.2200000000000006</v>
      </c>
      <c r="B143" s="551" t="s">
        <v>535</v>
      </c>
      <c r="C143" s="552" t="s">
        <v>625</v>
      </c>
    </row>
    <row r="144" spans="1:3" ht="24">
      <c r="A144" s="578">
        <v>9.23</v>
      </c>
      <c r="B144" s="551" t="s">
        <v>536</v>
      </c>
      <c r="C144" s="552" t="s">
        <v>626</v>
      </c>
    </row>
    <row r="145" spans="1:3" ht="24">
      <c r="A145" s="578">
        <v>9.24</v>
      </c>
      <c r="B145" s="551" t="s">
        <v>537</v>
      </c>
      <c r="C145" s="552" t="s">
        <v>627</v>
      </c>
    </row>
    <row r="146" spans="1:3">
      <c r="A146" s="578">
        <v>9.2500000000000107</v>
      </c>
      <c r="B146" s="551" t="s">
        <v>538</v>
      </c>
      <c r="C146" s="552" t="s">
        <v>628</v>
      </c>
    </row>
    <row r="147" spans="1:3" ht="24">
      <c r="A147" s="578">
        <v>9.2600000000000193</v>
      </c>
      <c r="B147" s="551" t="s">
        <v>629</v>
      </c>
      <c r="C147" s="577" t="s">
        <v>630</v>
      </c>
    </row>
    <row r="148" spans="1:3" s="385" customFormat="1" ht="24">
      <c r="A148" s="578">
        <v>9.2700000000000298</v>
      </c>
      <c r="B148" s="551" t="s">
        <v>100</v>
      </c>
      <c r="C148" s="577" t="s">
        <v>681</v>
      </c>
    </row>
    <row r="149" spans="1:3" s="385" customFormat="1">
      <c r="A149" s="557"/>
      <c r="B149" s="965" t="s">
        <v>632</v>
      </c>
      <c r="C149" s="966"/>
    </row>
    <row r="150" spans="1:3" s="385" customFormat="1">
      <c r="A150" s="556">
        <v>1</v>
      </c>
      <c r="B150" s="967" t="s">
        <v>926</v>
      </c>
      <c r="C150" s="968"/>
    </row>
    <row r="151" spans="1:3" s="385" customFormat="1">
      <c r="A151" s="556">
        <v>2</v>
      </c>
      <c r="B151" s="967" t="s">
        <v>682</v>
      </c>
      <c r="C151" s="968"/>
    </row>
    <row r="152" spans="1:3" s="385" customFormat="1">
      <c r="A152" s="556">
        <v>3</v>
      </c>
      <c r="B152" s="967" t="s">
        <v>679</v>
      </c>
      <c r="C152" s="968"/>
    </row>
    <row r="153" spans="1:3" s="385" customFormat="1">
      <c r="A153" s="557"/>
      <c r="B153" s="965" t="s">
        <v>633</v>
      </c>
      <c r="C153" s="966"/>
    </row>
    <row r="154" spans="1:3" s="385" customFormat="1">
      <c r="A154" s="556">
        <v>1</v>
      </c>
      <c r="B154" s="970" t="s">
        <v>925</v>
      </c>
      <c r="C154" s="973"/>
    </row>
    <row r="155" spans="1:3" s="385" customFormat="1">
      <c r="A155" s="556">
        <v>2</v>
      </c>
      <c r="B155" s="551" t="s">
        <v>862</v>
      </c>
      <c r="C155" s="632" t="s">
        <v>992</v>
      </c>
    </row>
    <row r="156" spans="1:3" ht="24">
      <c r="A156" s="556">
        <v>3</v>
      </c>
      <c r="B156" s="551" t="s">
        <v>861</v>
      </c>
      <c r="C156" s="575" t="s">
        <v>924</v>
      </c>
    </row>
    <row r="157" spans="1:3">
      <c r="A157" s="556">
        <v>4</v>
      </c>
      <c r="B157" s="551" t="s">
        <v>508</v>
      </c>
      <c r="C157" s="551" t="s">
        <v>943</v>
      </c>
    </row>
    <row r="158" spans="1:3" ht="25.05" customHeight="1">
      <c r="A158" s="557"/>
      <c r="B158" s="965" t="s">
        <v>634</v>
      </c>
      <c r="C158" s="966"/>
    </row>
    <row r="159" spans="1:3" ht="36">
      <c r="A159" s="556"/>
      <c r="B159" s="551" t="s">
        <v>913</v>
      </c>
      <c r="C159" s="633" t="s">
        <v>993</v>
      </c>
    </row>
    <row r="160" spans="1:3">
      <c r="A160" s="557"/>
      <c r="B160" s="965" t="s">
        <v>635</v>
      </c>
      <c r="C160" s="966"/>
    </row>
    <row r="161" spans="1:3" ht="39" customHeight="1">
      <c r="A161" s="557"/>
      <c r="B161" s="967" t="s">
        <v>923</v>
      </c>
      <c r="C161" s="968"/>
    </row>
    <row r="162" spans="1:3">
      <c r="A162" s="557" t="s">
        <v>636</v>
      </c>
      <c r="B162" s="576" t="s">
        <v>546</v>
      </c>
      <c r="C162" s="568" t="s">
        <v>637</v>
      </c>
    </row>
    <row r="163" spans="1:3">
      <c r="A163" s="557" t="s">
        <v>370</v>
      </c>
      <c r="B163" s="573" t="s">
        <v>547</v>
      </c>
      <c r="C163" s="575" t="s">
        <v>922</v>
      </c>
    </row>
    <row r="164" spans="1:3" ht="24">
      <c r="A164" s="557" t="s">
        <v>377</v>
      </c>
      <c r="B164" s="568" t="s">
        <v>548</v>
      </c>
      <c r="C164" s="575" t="s">
        <v>638</v>
      </c>
    </row>
    <row r="165" spans="1:3">
      <c r="A165" s="557" t="s">
        <v>639</v>
      </c>
      <c r="B165" s="573" t="s">
        <v>549</v>
      </c>
      <c r="C165" s="574" t="s">
        <v>640</v>
      </c>
    </row>
    <row r="166" spans="1:3" ht="24">
      <c r="A166" s="557" t="s">
        <v>641</v>
      </c>
      <c r="B166" s="573" t="s">
        <v>877</v>
      </c>
      <c r="C166" s="567" t="s">
        <v>921</v>
      </c>
    </row>
    <row r="167" spans="1:3" ht="24">
      <c r="A167" s="557" t="s">
        <v>378</v>
      </c>
      <c r="B167" s="573" t="s">
        <v>550</v>
      </c>
      <c r="C167" s="567" t="s">
        <v>643</v>
      </c>
    </row>
    <row r="168" spans="1:3" ht="24">
      <c r="A168" s="557" t="s">
        <v>642</v>
      </c>
      <c r="B168" s="571" t="s">
        <v>553</v>
      </c>
      <c r="C168" s="572" t="s">
        <v>650</v>
      </c>
    </row>
    <row r="169" spans="1:3" ht="24">
      <c r="A169" s="557" t="s">
        <v>644</v>
      </c>
      <c r="B169" s="571" t="s">
        <v>551</v>
      </c>
      <c r="C169" s="567" t="s">
        <v>646</v>
      </c>
    </row>
    <row r="170" spans="1:3" ht="26.55" customHeight="1">
      <c r="A170" s="557" t="s">
        <v>645</v>
      </c>
      <c r="B170" s="571" t="s">
        <v>552</v>
      </c>
      <c r="C170" s="572" t="s">
        <v>648</v>
      </c>
    </row>
    <row r="171" spans="1:3" ht="24">
      <c r="A171" s="557" t="s">
        <v>647</v>
      </c>
      <c r="B171" s="552" t="s">
        <v>554</v>
      </c>
      <c r="C171" s="572" t="s">
        <v>652</v>
      </c>
    </row>
    <row r="172" spans="1:3" ht="24">
      <c r="A172" s="557" t="s">
        <v>649</v>
      </c>
      <c r="B172" s="571" t="s">
        <v>555</v>
      </c>
      <c r="C172" s="570" t="s">
        <v>653</v>
      </c>
    </row>
    <row r="173" spans="1:3">
      <c r="A173" s="557" t="s">
        <v>651</v>
      </c>
      <c r="B173" s="569" t="s">
        <v>556</v>
      </c>
      <c r="C173" s="568" t="s">
        <v>654</v>
      </c>
    </row>
    <row r="174" spans="1:3" ht="24">
      <c r="A174" s="557"/>
      <c r="B174" s="567" t="s">
        <v>920</v>
      </c>
      <c r="C174" s="552" t="s">
        <v>655</v>
      </c>
    </row>
    <row r="175" spans="1:3" ht="24">
      <c r="A175" s="557"/>
      <c r="B175" s="567" t="s">
        <v>919</v>
      </c>
      <c r="C175" s="552" t="s">
        <v>656</v>
      </c>
    </row>
    <row r="176" spans="1:3" ht="24">
      <c r="A176" s="557"/>
      <c r="B176" s="567" t="s">
        <v>918</v>
      </c>
      <c r="C176" s="552" t="s">
        <v>657</v>
      </c>
    </row>
    <row r="177" spans="1:3">
      <c r="A177" s="557"/>
      <c r="B177" s="965" t="s">
        <v>658</v>
      </c>
      <c r="C177" s="966"/>
    </row>
    <row r="178" spans="1:3">
      <c r="A178" s="557"/>
      <c r="B178" s="967" t="s">
        <v>917</v>
      </c>
      <c r="C178" s="968"/>
    </row>
    <row r="179" spans="1:3">
      <c r="A179" s="556">
        <v>1</v>
      </c>
      <c r="B179" s="552" t="s">
        <v>560</v>
      </c>
      <c r="C179" s="552" t="s">
        <v>560</v>
      </c>
    </row>
    <row r="180" spans="1:3" ht="24">
      <c r="A180" s="556">
        <v>2</v>
      </c>
      <c r="B180" s="552" t="s">
        <v>659</v>
      </c>
      <c r="C180" s="552" t="s">
        <v>660</v>
      </c>
    </row>
    <row r="181" spans="1:3">
      <c r="A181" s="556">
        <v>3</v>
      </c>
      <c r="B181" s="552" t="s">
        <v>562</v>
      </c>
      <c r="C181" s="552" t="s">
        <v>661</v>
      </c>
    </row>
    <row r="182" spans="1:3" ht="24">
      <c r="A182" s="556">
        <v>4</v>
      </c>
      <c r="B182" s="552" t="s">
        <v>563</v>
      </c>
      <c r="C182" s="552" t="s">
        <v>662</v>
      </c>
    </row>
    <row r="183" spans="1:3" ht="24">
      <c r="A183" s="556">
        <v>5</v>
      </c>
      <c r="B183" s="552" t="s">
        <v>564</v>
      </c>
      <c r="C183" s="552" t="s">
        <v>684</v>
      </c>
    </row>
    <row r="184" spans="1:3" ht="48">
      <c r="A184" s="556">
        <v>6</v>
      </c>
      <c r="B184" s="552" t="s">
        <v>565</v>
      </c>
      <c r="C184" s="552" t="s">
        <v>663</v>
      </c>
    </row>
    <row r="185" spans="1:3">
      <c r="A185" s="557"/>
      <c r="B185" s="965" t="s">
        <v>664</v>
      </c>
      <c r="C185" s="966"/>
    </row>
    <row r="186" spans="1:3">
      <c r="A186" s="557"/>
      <c r="B186" s="969" t="s">
        <v>916</v>
      </c>
      <c r="C186" s="970"/>
    </row>
    <row r="187" spans="1:3" ht="24">
      <c r="A187" s="557">
        <v>1.1000000000000001</v>
      </c>
      <c r="B187" s="566" t="s">
        <v>570</v>
      </c>
      <c r="C187" s="552" t="s">
        <v>665</v>
      </c>
    </row>
    <row r="188" spans="1:3" ht="49.95" customHeight="1">
      <c r="A188" s="557" t="s">
        <v>158</v>
      </c>
      <c r="B188" s="553" t="s">
        <v>571</v>
      </c>
      <c r="C188" s="552" t="s">
        <v>666</v>
      </c>
    </row>
    <row r="189" spans="1:3">
      <c r="A189" s="557" t="s">
        <v>572</v>
      </c>
      <c r="B189" s="565" t="s">
        <v>573</v>
      </c>
      <c r="C189" s="971" t="s">
        <v>915</v>
      </c>
    </row>
    <row r="190" spans="1:3">
      <c r="A190" s="557" t="s">
        <v>574</v>
      </c>
      <c r="B190" s="565" t="s">
        <v>575</v>
      </c>
      <c r="C190" s="971"/>
    </row>
    <row r="191" spans="1:3">
      <c r="A191" s="557" t="s">
        <v>576</v>
      </c>
      <c r="B191" s="565" t="s">
        <v>577</v>
      </c>
      <c r="C191" s="971"/>
    </row>
    <row r="192" spans="1:3">
      <c r="A192" s="557" t="s">
        <v>578</v>
      </c>
      <c r="B192" s="565" t="s">
        <v>579</v>
      </c>
      <c r="C192" s="971"/>
    </row>
    <row r="193" spans="1:4" ht="25.5" customHeight="1">
      <c r="A193" s="557">
        <v>1.2</v>
      </c>
      <c r="B193" s="564" t="s">
        <v>891</v>
      </c>
      <c r="C193" s="634" t="s">
        <v>994</v>
      </c>
    </row>
    <row r="194" spans="1:4" ht="24">
      <c r="A194" s="557" t="s">
        <v>581</v>
      </c>
      <c r="B194" s="559" t="s">
        <v>582</v>
      </c>
      <c r="C194" s="562" t="s">
        <v>667</v>
      </c>
    </row>
    <row r="195" spans="1:4" ht="24">
      <c r="A195" s="557" t="s">
        <v>583</v>
      </c>
      <c r="B195" s="563" t="s">
        <v>584</v>
      </c>
      <c r="C195" s="562" t="s">
        <v>668</v>
      </c>
    </row>
    <row r="196" spans="1:4" ht="25.95" customHeight="1">
      <c r="A196" s="557" t="s">
        <v>585</v>
      </c>
      <c r="B196" s="561" t="s">
        <v>586</v>
      </c>
      <c r="C196" s="551" t="s">
        <v>669</v>
      </c>
    </row>
    <row r="197" spans="1:4" ht="24">
      <c r="A197" s="557" t="s">
        <v>587</v>
      </c>
      <c r="B197" s="560" t="s">
        <v>588</v>
      </c>
      <c r="C197" s="551" t="s">
        <v>670</v>
      </c>
      <c r="D197" s="386"/>
    </row>
    <row r="198" spans="1:4" ht="12.6">
      <c r="A198" s="557">
        <v>1.4</v>
      </c>
      <c r="B198" s="559" t="s">
        <v>677</v>
      </c>
      <c r="C198" s="558" t="s">
        <v>671</v>
      </c>
      <c r="D198" s="387"/>
    </row>
    <row r="199" spans="1:4" ht="12.6">
      <c r="A199" s="557">
        <v>1.5</v>
      </c>
      <c r="B199" s="559" t="s">
        <v>678</v>
      </c>
      <c r="C199" s="558" t="s">
        <v>671</v>
      </c>
      <c r="D199" s="388"/>
    </row>
    <row r="200" spans="1:4" ht="12.6">
      <c r="A200" s="557"/>
      <c r="B200" s="957" t="s">
        <v>672</v>
      </c>
      <c r="C200" s="957"/>
      <c r="D200" s="388"/>
    </row>
    <row r="201" spans="1:4" ht="12.6">
      <c r="A201" s="557"/>
      <c r="B201" s="969" t="s">
        <v>914</v>
      </c>
      <c r="C201" s="969"/>
      <c r="D201" s="388"/>
    </row>
    <row r="202" spans="1:4" ht="12.6">
      <c r="A202" s="556"/>
      <c r="B202" s="551" t="s">
        <v>913</v>
      </c>
      <c r="C202" s="633" t="s">
        <v>992</v>
      </c>
      <c r="D202" s="388"/>
    </row>
    <row r="203" spans="1:4" ht="12.6">
      <c r="A203" s="557"/>
      <c r="B203" s="957" t="s">
        <v>673</v>
      </c>
      <c r="C203" s="957"/>
      <c r="D203" s="389"/>
    </row>
    <row r="204" spans="1:4" ht="12.6">
      <c r="A204" s="556"/>
      <c r="B204" s="969" t="s">
        <v>912</v>
      </c>
      <c r="C204" s="969"/>
      <c r="D204" s="390"/>
    </row>
    <row r="205" spans="1:4" ht="12.6">
      <c r="B205" s="957" t="s">
        <v>710</v>
      </c>
      <c r="C205" s="957"/>
      <c r="D205" s="391"/>
    </row>
    <row r="206" spans="1:4" ht="24">
      <c r="A206" s="553">
        <v>1</v>
      </c>
      <c r="B206" s="551" t="s">
        <v>686</v>
      </c>
      <c r="C206" s="551" t="s">
        <v>698</v>
      </c>
      <c r="D206" s="390"/>
    </row>
    <row r="207" spans="1:4" ht="18" customHeight="1">
      <c r="A207" s="553">
        <v>2</v>
      </c>
      <c r="B207" s="551" t="s">
        <v>687</v>
      </c>
      <c r="C207" s="551" t="s">
        <v>699</v>
      </c>
      <c r="D207" s="391"/>
    </row>
    <row r="208" spans="1:4" ht="24">
      <c r="A208" s="553">
        <v>3</v>
      </c>
      <c r="B208" s="551" t="s">
        <v>688</v>
      </c>
      <c r="C208" s="551" t="s">
        <v>700</v>
      </c>
      <c r="D208" s="392"/>
    </row>
    <row r="209" spans="1:4" ht="12.6">
      <c r="A209" s="553">
        <v>4</v>
      </c>
      <c r="B209" s="551" t="s">
        <v>689</v>
      </c>
      <c r="C209" s="551" t="s">
        <v>701</v>
      </c>
      <c r="D209" s="392"/>
    </row>
    <row r="210" spans="1:4" ht="24">
      <c r="A210" s="553">
        <v>5</v>
      </c>
      <c r="B210" s="551" t="s">
        <v>690</v>
      </c>
      <c r="C210" s="551" t="s">
        <v>702</v>
      </c>
    </row>
    <row r="211" spans="1:4" ht="24.45" customHeight="1">
      <c r="A211" s="553">
        <v>6</v>
      </c>
      <c r="B211" s="551" t="s">
        <v>691</v>
      </c>
      <c r="C211" s="551" t="s">
        <v>703</v>
      </c>
    </row>
    <row r="212" spans="1:4" ht="24">
      <c r="A212" s="553">
        <v>7</v>
      </c>
      <c r="B212" s="551" t="s">
        <v>692</v>
      </c>
      <c r="C212" s="551" t="s">
        <v>704</v>
      </c>
    </row>
    <row r="213" spans="1:4">
      <c r="A213" s="553">
        <v>7.1</v>
      </c>
      <c r="B213" s="555" t="s">
        <v>693</v>
      </c>
      <c r="C213" s="551" t="s">
        <v>705</v>
      </c>
    </row>
    <row r="214" spans="1:4">
      <c r="A214" s="553">
        <v>7.2</v>
      </c>
      <c r="B214" s="555" t="s">
        <v>694</v>
      </c>
      <c r="C214" s="551" t="s">
        <v>706</v>
      </c>
    </row>
    <row r="215" spans="1:4">
      <c r="A215" s="553">
        <v>7.3</v>
      </c>
      <c r="B215" s="554" t="s">
        <v>695</v>
      </c>
      <c r="C215" s="551" t="s">
        <v>707</v>
      </c>
    </row>
    <row r="216" spans="1:4" ht="39.450000000000003" customHeight="1">
      <c r="A216" s="553">
        <v>8</v>
      </c>
      <c r="B216" s="551" t="s">
        <v>696</v>
      </c>
      <c r="C216" s="551" t="s">
        <v>708</v>
      </c>
    </row>
    <row r="217" spans="1:4">
      <c r="A217" s="553">
        <v>9</v>
      </c>
      <c r="B217" s="551" t="s">
        <v>697</v>
      </c>
      <c r="C217" s="551" t="s">
        <v>709</v>
      </c>
    </row>
    <row r="218" spans="1:4" ht="24">
      <c r="A218" s="590">
        <v>10.1</v>
      </c>
      <c r="B218" s="591" t="s">
        <v>717</v>
      </c>
      <c r="C218" s="583" t="s">
        <v>718</v>
      </c>
    </row>
    <row r="219" spans="1:4">
      <c r="A219" s="972"/>
      <c r="B219" s="592" t="s">
        <v>904</v>
      </c>
      <c r="C219" s="551" t="s">
        <v>911</v>
      </c>
    </row>
    <row r="220" spans="1:4">
      <c r="A220" s="972"/>
      <c r="B220" s="552" t="s">
        <v>569</v>
      </c>
      <c r="C220" s="551" t="s">
        <v>910</v>
      </c>
    </row>
    <row r="221" spans="1:4">
      <c r="A221" s="972"/>
      <c r="B221" s="552" t="s">
        <v>903</v>
      </c>
      <c r="C221" s="634" t="s">
        <v>995</v>
      </c>
    </row>
    <row r="222" spans="1:4">
      <c r="A222" s="972"/>
      <c r="B222" s="552" t="s">
        <v>711</v>
      </c>
      <c r="C222" s="551" t="s">
        <v>909</v>
      </c>
    </row>
    <row r="223" spans="1:4" ht="24">
      <c r="A223" s="972"/>
      <c r="B223" s="552" t="s">
        <v>715</v>
      </c>
      <c r="C223" s="552" t="s">
        <v>908</v>
      </c>
    </row>
    <row r="224" spans="1:4" ht="36">
      <c r="A224" s="972"/>
      <c r="B224" s="552" t="s">
        <v>714</v>
      </c>
      <c r="C224" s="551" t="s">
        <v>907</v>
      </c>
    </row>
    <row r="225" spans="1:3">
      <c r="A225" s="972"/>
      <c r="B225" s="552" t="s">
        <v>944</v>
      </c>
      <c r="C225" s="551" t="s">
        <v>906</v>
      </c>
    </row>
    <row r="226" spans="1:3" ht="24">
      <c r="A226" s="972"/>
      <c r="B226" s="552" t="s">
        <v>945</v>
      </c>
      <c r="C226" s="551" t="s">
        <v>905</v>
      </c>
    </row>
    <row r="227" spans="1:3" ht="12.6">
      <c r="A227" s="584"/>
      <c r="B227" s="585"/>
      <c r="C227" s="586"/>
    </row>
    <row r="228" spans="1:3" ht="12.6">
      <c r="A228" s="584"/>
      <c r="B228" s="586"/>
      <c r="C228" s="586"/>
    </row>
    <row r="229" spans="1:3" ht="12.6">
      <c r="A229" s="584"/>
      <c r="B229" s="586"/>
      <c r="C229" s="586"/>
    </row>
    <row r="230" spans="1:3" ht="12.6">
      <c r="A230" s="584"/>
      <c r="B230" s="587"/>
      <c r="C230" s="586"/>
    </row>
    <row r="231" spans="1:3">
      <c r="A231" s="964"/>
      <c r="B231" s="588"/>
      <c r="C231" s="586"/>
    </row>
    <row r="232" spans="1:3">
      <c r="A232" s="964"/>
      <c r="B232" s="588"/>
      <c r="C232" s="586"/>
    </row>
    <row r="233" spans="1:3">
      <c r="A233" s="964"/>
      <c r="B233" s="588"/>
      <c r="C233" s="586"/>
    </row>
    <row r="234" spans="1:3">
      <c r="A234" s="964"/>
      <c r="B234" s="588"/>
      <c r="C234" s="589"/>
    </row>
    <row r="235" spans="1:3" ht="40.5" customHeight="1">
      <c r="A235" s="964"/>
      <c r="B235" s="588"/>
      <c r="C235" s="586"/>
    </row>
    <row r="236" spans="1:3" ht="24" customHeight="1">
      <c r="A236" s="964"/>
      <c r="B236" s="588"/>
      <c r="C236" s="586"/>
    </row>
    <row r="237" spans="1:3">
      <c r="A237" s="964"/>
      <c r="B237" s="588"/>
      <c r="C237" s="586"/>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topLeftCell="A24" zoomScale="80" zoomScaleNormal="80" workbookViewId="0">
      <selection activeCell="C44" sqref="C44"/>
    </sheetView>
  </sheetViews>
  <sheetFormatPr defaultRowHeight="14.4"/>
  <cols>
    <col min="2" max="2" width="66.6640625" customWidth="1"/>
    <col min="3" max="8" width="17.77734375" customWidth="1"/>
  </cols>
  <sheetData>
    <row r="1" spans="1:8">
      <c r="A1" s="12" t="s">
        <v>109</v>
      </c>
      <c r="B1" s="306" t="str">
        <f>Info!C2</f>
        <v>კრედო</v>
      </c>
      <c r="C1" s="11"/>
      <c r="D1" s="1"/>
      <c r="E1" s="1"/>
      <c r="F1" s="1"/>
      <c r="G1" s="1"/>
    </row>
    <row r="2" spans="1:8">
      <c r="A2" s="12" t="s">
        <v>110</v>
      </c>
      <c r="B2" s="335">
        <f>'1. key ratios'!B2</f>
        <v>45657</v>
      </c>
      <c r="C2" s="11"/>
      <c r="D2" s="1"/>
      <c r="E2" s="1"/>
      <c r="F2" s="1"/>
      <c r="G2" s="1"/>
    </row>
    <row r="3" spans="1:8">
      <c r="A3" s="12"/>
      <c r="B3" s="11"/>
      <c r="C3" s="11"/>
      <c r="D3" s="1"/>
      <c r="E3" s="1"/>
      <c r="F3" s="1"/>
      <c r="G3" s="1"/>
    </row>
    <row r="4" spans="1:8">
      <c r="A4" s="808" t="s">
        <v>26</v>
      </c>
      <c r="B4" s="806" t="s">
        <v>167</v>
      </c>
      <c r="C4" s="801" t="s">
        <v>115</v>
      </c>
      <c r="D4" s="801"/>
      <c r="E4" s="801"/>
      <c r="F4" s="801" t="s">
        <v>116</v>
      </c>
      <c r="G4" s="801"/>
      <c r="H4" s="802"/>
    </row>
    <row r="5" spans="1:8" ht="15.45" customHeight="1">
      <c r="A5" s="809"/>
      <c r="B5" s="807"/>
      <c r="C5" s="422" t="s">
        <v>27</v>
      </c>
      <c r="D5" s="422" t="s">
        <v>89</v>
      </c>
      <c r="E5" s="422" t="s">
        <v>67</v>
      </c>
      <c r="F5" s="422" t="s">
        <v>27</v>
      </c>
      <c r="G5" s="422" t="s">
        <v>89</v>
      </c>
      <c r="H5" s="422" t="s">
        <v>67</v>
      </c>
    </row>
    <row r="6" spans="1:8">
      <c r="A6" s="450">
        <v>1</v>
      </c>
      <c r="B6" s="423" t="s">
        <v>772</v>
      </c>
      <c r="C6" s="667">
        <f>SUM(C7:C12)</f>
        <v>496887399.42000771</v>
      </c>
      <c r="D6" s="667">
        <f>SUM(D7:D12)</f>
        <v>23677022.75999999</v>
      </c>
      <c r="E6" s="668">
        <f>C6+D6</f>
        <v>520564422.1800077</v>
      </c>
      <c r="F6" s="667">
        <f>SUM(F7:F12)</f>
        <v>433582023</v>
      </c>
      <c r="G6" s="667">
        <f>SUM(G7:G12)</f>
        <v>19720561</v>
      </c>
      <c r="H6" s="668">
        <f>F6+G6</f>
        <v>453302584</v>
      </c>
    </row>
    <row r="7" spans="1:8">
      <c r="A7" s="450">
        <v>1.1000000000000001</v>
      </c>
      <c r="B7" s="424" t="s">
        <v>726</v>
      </c>
      <c r="C7" s="667"/>
      <c r="D7" s="667"/>
      <c r="E7" s="668">
        <f t="shared" ref="E7:E45" si="0">C7+D7</f>
        <v>0</v>
      </c>
      <c r="F7" s="667"/>
      <c r="G7" s="667"/>
      <c r="H7" s="668">
        <f t="shared" ref="H7:H44" si="1">F7+G7</f>
        <v>0</v>
      </c>
    </row>
    <row r="8" spans="1:8" ht="20.399999999999999">
      <c r="A8" s="450">
        <v>1.2</v>
      </c>
      <c r="B8" s="424" t="s">
        <v>773</v>
      </c>
      <c r="C8" s="667"/>
      <c r="D8" s="667"/>
      <c r="E8" s="668">
        <f t="shared" si="0"/>
        <v>0</v>
      </c>
      <c r="F8" s="667"/>
      <c r="G8" s="667"/>
      <c r="H8" s="668">
        <f t="shared" si="1"/>
        <v>0</v>
      </c>
    </row>
    <row r="9" spans="1:8" ht="21.45" customHeight="1">
      <c r="A9" s="450">
        <v>1.3</v>
      </c>
      <c r="B9" s="414" t="s">
        <v>774</v>
      </c>
      <c r="C9" s="667"/>
      <c r="D9" s="667"/>
      <c r="E9" s="668">
        <f t="shared" si="0"/>
        <v>0</v>
      </c>
      <c r="F9" s="667"/>
      <c r="G9" s="667"/>
      <c r="H9" s="668">
        <f t="shared" si="1"/>
        <v>0</v>
      </c>
    </row>
    <row r="10" spans="1:8" ht="20.399999999999999">
      <c r="A10" s="450">
        <v>1.4</v>
      </c>
      <c r="B10" s="414" t="s">
        <v>730</v>
      </c>
      <c r="C10" s="667"/>
      <c r="D10" s="667"/>
      <c r="E10" s="668">
        <f t="shared" si="0"/>
        <v>0</v>
      </c>
      <c r="F10" s="667"/>
      <c r="G10" s="667"/>
      <c r="H10" s="668">
        <f t="shared" si="1"/>
        <v>0</v>
      </c>
    </row>
    <row r="11" spans="1:8">
      <c r="A11" s="450">
        <v>1.5</v>
      </c>
      <c r="B11" s="414" t="s">
        <v>733</v>
      </c>
      <c r="C11" s="667">
        <v>496887399.42000771</v>
      </c>
      <c r="D11" s="667">
        <v>23677022.75999999</v>
      </c>
      <c r="E11" s="668">
        <f t="shared" si="0"/>
        <v>520564422.1800077</v>
      </c>
      <c r="F11" s="667">
        <v>433582023</v>
      </c>
      <c r="G11" s="667">
        <v>19720561</v>
      </c>
      <c r="H11" s="668">
        <f t="shared" si="1"/>
        <v>453302584</v>
      </c>
    </row>
    <row r="12" spans="1:8">
      <c r="A12" s="450">
        <v>1.6</v>
      </c>
      <c r="B12" s="415" t="s">
        <v>100</v>
      </c>
      <c r="C12" s="667"/>
      <c r="D12" s="667"/>
      <c r="E12" s="668">
        <f t="shared" si="0"/>
        <v>0</v>
      </c>
      <c r="F12" s="667"/>
      <c r="G12" s="667"/>
      <c r="H12" s="668">
        <f t="shared" si="1"/>
        <v>0</v>
      </c>
    </row>
    <row r="13" spans="1:8">
      <c r="A13" s="450">
        <v>2</v>
      </c>
      <c r="B13" s="425" t="s">
        <v>775</v>
      </c>
      <c r="C13" s="667">
        <f>SUM(C14:C17)</f>
        <v>-197480686.78999996</v>
      </c>
      <c r="D13" s="667">
        <f>SUM(D14:D17)</f>
        <v>-20634037.330000013</v>
      </c>
      <c r="E13" s="668">
        <f t="shared" si="0"/>
        <v>-218114724.11999997</v>
      </c>
      <c r="F13" s="667">
        <f>SUM(F14:F17)</f>
        <v>-182699715</v>
      </c>
      <c r="G13" s="667">
        <f>SUM(G14:G17)</f>
        <v>-18541862.120000005</v>
      </c>
      <c r="H13" s="668">
        <f t="shared" si="1"/>
        <v>-201241577.12</v>
      </c>
    </row>
    <row r="14" spans="1:8">
      <c r="A14" s="450">
        <v>2.1</v>
      </c>
      <c r="B14" s="414" t="s">
        <v>776</v>
      </c>
      <c r="C14" s="667"/>
      <c r="D14" s="667"/>
      <c r="E14" s="668">
        <f t="shared" si="0"/>
        <v>0</v>
      </c>
      <c r="F14" s="667"/>
      <c r="G14" s="667"/>
      <c r="H14" s="668">
        <f t="shared" si="1"/>
        <v>0</v>
      </c>
    </row>
    <row r="15" spans="1:8" ht="24.45" customHeight="1">
      <c r="A15" s="450">
        <v>2.2000000000000002</v>
      </c>
      <c r="B15" s="414" t="s">
        <v>777</v>
      </c>
      <c r="C15" s="667"/>
      <c r="D15" s="667"/>
      <c r="E15" s="668">
        <f t="shared" si="0"/>
        <v>0</v>
      </c>
      <c r="F15" s="667"/>
      <c r="G15" s="667"/>
      <c r="H15" s="668">
        <f t="shared" si="1"/>
        <v>0</v>
      </c>
    </row>
    <row r="16" spans="1:8" ht="20.55" customHeight="1">
      <c r="A16" s="450">
        <v>2.2999999999999998</v>
      </c>
      <c r="B16" s="414" t="s">
        <v>778</v>
      </c>
      <c r="C16" s="667">
        <v>-197480686.78999996</v>
      </c>
      <c r="D16" s="667">
        <v>-20634037.330000013</v>
      </c>
      <c r="E16" s="668">
        <f t="shared" si="0"/>
        <v>-218114724.11999997</v>
      </c>
      <c r="F16" s="670">
        <v>-182699715</v>
      </c>
      <c r="G16" s="670">
        <v>-18541862.120000005</v>
      </c>
      <c r="H16" s="668">
        <f t="shared" si="1"/>
        <v>-201241577.12</v>
      </c>
    </row>
    <row r="17" spans="1:8">
      <c r="A17" s="450">
        <v>2.4</v>
      </c>
      <c r="B17" s="414" t="s">
        <v>779</v>
      </c>
      <c r="C17" s="667"/>
      <c r="D17" s="667"/>
      <c r="E17" s="668">
        <f t="shared" si="0"/>
        <v>0</v>
      </c>
      <c r="F17" s="667"/>
      <c r="G17" s="667"/>
      <c r="H17" s="668">
        <f t="shared" si="1"/>
        <v>0</v>
      </c>
    </row>
    <row r="18" spans="1:8">
      <c r="A18" s="450">
        <v>3</v>
      </c>
      <c r="B18" s="425" t="s">
        <v>780</v>
      </c>
      <c r="C18" s="667"/>
      <c r="D18" s="667"/>
      <c r="E18" s="668">
        <f t="shared" si="0"/>
        <v>0</v>
      </c>
      <c r="F18" s="667"/>
      <c r="G18" s="667"/>
      <c r="H18" s="668">
        <f t="shared" si="1"/>
        <v>0</v>
      </c>
    </row>
    <row r="19" spans="1:8">
      <c r="A19" s="450">
        <v>4</v>
      </c>
      <c r="B19" s="425" t="s">
        <v>781</v>
      </c>
      <c r="C19" s="667">
        <v>54112230.849999979</v>
      </c>
      <c r="D19" s="667">
        <v>9495898.4999999907</v>
      </c>
      <c r="E19" s="668">
        <f t="shared" si="0"/>
        <v>63608129.349999972</v>
      </c>
      <c r="F19" s="670">
        <v>47843989</v>
      </c>
      <c r="G19" s="670">
        <v>5248554</v>
      </c>
      <c r="H19" s="668">
        <f t="shared" si="1"/>
        <v>53092543</v>
      </c>
    </row>
    <row r="20" spans="1:8">
      <c r="A20" s="450">
        <v>5</v>
      </c>
      <c r="B20" s="425" t="s">
        <v>782</v>
      </c>
      <c r="C20" s="667">
        <v>-17855396.720000003</v>
      </c>
      <c r="D20" s="667">
        <v>-9324930.2400000002</v>
      </c>
      <c r="E20" s="668">
        <f t="shared" si="0"/>
        <v>-27180326.960000001</v>
      </c>
      <c r="F20" s="670">
        <v>-15658803</v>
      </c>
      <c r="G20" s="670">
        <v>-7460021.6999999993</v>
      </c>
      <c r="H20" s="668">
        <f t="shared" si="1"/>
        <v>-23118824.699999999</v>
      </c>
    </row>
    <row r="21" spans="1:8" ht="38.549999999999997" customHeight="1">
      <c r="A21" s="450">
        <v>6</v>
      </c>
      <c r="B21" s="425" t="s">
        <v>783</v>
      </c>
      <c r="C21" s="667"/>
      <c r="D21" s="667"/>
      <c r="E21" s="668">
        <f t="shared" si="0"/>
        <v>0</v>
      </c>
      <c r="F21" s="667"/>
      <c r="G21" s="667"/>
      <c r="H21" s="668">
        <f t="shared" si="1"/>
        <v>0</v>
      </c>
    </row>
    <row r="22" spans="1:8" ht="27.45" customHeight="1">
      <c r="A22" s="450">
        <v>7</v>
      </c>
      <c r="B22" s="425" t="s">
        <v>784</v>
      </c>
      <c r="C22" s="667"/>
      <c r="D22" s="667"/>
      <c r="E22" s="668">
        <f t="shared" si="0"/>
        <v>0</v>
      </c>
      <c r="F22" s="667"/>
      <c r="G22" s="667"/>
      <c r="H22" s="668">
        <f t="shared" si="1"/>
        <v>0</v>
      </c>
    </row>
    <row r="23" spans="1:8" ht="37.049999999999997" customHeight="1">
      <c r="A23" s="450">
        <v>8</v>
      </c>
      <c r="B23" s="426" t="s">
        <v>785</v>
      </c>
      <c r="C23" s="667"/>
      <c r="D23" s="667"/>
      <c r="E23" s="668">
        <f t="shared" si="0"/>
        <v>0</v>
      </c>
      <c r="F23" s="667"/>
      <c r="G23" s="667"/>
      <c r="H23" s="668">
        <f t="shared" si="1"/>
        <v>0</v>
      </c>
    </row>
    <row r="24" spans="1:8" ht="34.5" customHeight="1">
      <c r="A24" s="450">
        <v>9</v>
      </c>
      <c r="B24" s="426" t="s">
        <v>786</v>
      </c>
      <c r="C24" s="667">
        <v>-11109340.919999793</v>
      </c>
      <c r="D24" s="667"/>
      <c r="E24" s="668">
        <f t="shared" si="0"/>
        <v>-11109340.919999793</v>
      </c>
      <c r="F24" s="670">
        <v>-11916617.960000014</v>
      </c>
      <c r="G24" s="667"/>
      <c r="H24" s="668">
        <f t="shared" si="1"/>
        <v>-11916617.960000014</v>
      </c>
    </row>
    <row r="25" spans="1:8">
      <c r="A25" s="450">
        <v>10</v>
      </c>
      <c r="B25" s="425" t="s">
        <v>787</v>
      </c>
      <c r="C25" s="667">
        <v>7632812.3599999985</v>
      </c>
      <c r="D25" s="667"/>
      <c r="E25" s="668">
        <f t="shared" si="0"/>
        <v>7632812.3599999985</v>
      </c>
      <c r="F25" s="670">
        <v>-2938306.110000086</v>
      </c>
      <c r="G25" s="667"/>
      <c r="H25" s="668">
        <f t="shared" si="1"/>
        <v>-2938306.110000086</v>
      </c>
    </row>
    <row r="26" spans="1:8" ht="27" customHeight="1">
      <c r="A26" s="450">
        <v>11</v>
      </c>
      <c r="B26" s="427" t="s">
        <v>788</v>
      </c>
      <c r="C26" s="667">
        <v>366221.99000000011</v>
      </c>
      <c r="D26" s="667"/>
      <c r="E26" s="668">
        <f t="shared" si="0"/>
        <v>366221.99000000011</v>
      </c>
      <c r="F26" s="670">
        <v>267372.79999999993</v>
      </c>
      <c r="G26" s="667"/>
      <c r="H26" s="668">
        <f t="shared" si="1"/>
        <v>267372.79999999993</v>
      </c>
    </row>
    <row r="27" spans="1:8">
      <c r="A27" s="450">
        <v>12</v>
      </c>
      <c r="B27" s="425" t="s">
        <v>789</v>
      </c>
      <c r="C27" s="667">
        <v>1465540.2199999997</v>
      </c>
      <c r="D27" s="667">
        <v>776.34</v>
      </c>
      <c r="E27" s="668">
        <f t="shared" si="0"/>
        <v>1466316.5599999998</v>
      </c>
      <c r="F27" s="670">
        <v>6209688.2800000003</v>
      </c>
      <c r="G27" s="667"/>
      <c r="H27" s="668">
        <f t="shared" si="1"/>
        <v>6209688.2800000003</v>
      </c>
    </row>
    <row r="28" spans="1:8">
      <c r="A28" s="450">
        <v>13</v>
      </c>
      <c r="B28" s="428" t="s">
        <v>790</v>
      </c>
      <c r="C28" s="779">
        <v>-24736429.290000007</v>
      </c>
      <c r="D28" s="779">
        <v>-751739</v>
      </c>
      <c r="E28" s="668">
        <f t="shared" si="0"/>
        <v>-25488168.290000007</v>
      </c>
      <c r="F28" s="670">
        <v>-20597977.290000003</v>
      </c>
      <c r="G28" s="667"/>
      <c r="H28" s="668">
        <f t="shared" si="1"/>
        <v>-20597977.290000003</v>
      </c>
    </row>
    <row r="29" spans="1:8">
      <c r="A29" s="450">
        <v>14</v>
      </c>
      <c r="B29" s="429" t="s">
        <v>791</v>
      </c>
      <c r="C29" s="779">
        <f>SUM(C30:C31)</f>
        <v>-140660207.02000001</v>
      </c>
      <c r="D29" s="779">
        <f>SUM(D30:D31)</f>
        <v>-1626344.1799999997</v>
      </c>
      <c r="E29" s="668">
        <f t="shared" si="0"/>
        <v>-142286551.20000002</v>
      </c>
      <c r="F29" s="670">
        <f>SUM(F30:F31)</f>
        <v>-126215622.61999999</v>
      </c>
      <c r="G29" s="667">
        <f>SUM(G30:G31)</f>
        <v>0</v>
      </c>
      <c r="H29" s="668">
        <f t="shared" si="1"/>
        <v>-126215622.61999999</v>
      </c>
    </row>
    <row r="30" spans="1:8">
      <c r="A30" s="450">
        <v>14.1</v>
      </c>
      <c r="B30" s="406" t="s">
        <v>792</v>
      </c>
      <c r="C30" s="779">
        <v>-132589017.18000001</v>
      </c>
      <c r="D30" s="779">
        <v>-98378.04</v>
      </c>
      <c r="E30" s="668">
        <f t="shared" si="0"/>
        <v>-132687395.22000001</v>
      </c>
      <c r="F30" s="670">
        <v>-116580052.61999999</v>
      </c>
      <c r="G30" s="667"/>
      <c r="H30" s="668">
        <f t="shared" si="1"/>
        <v>-116580052.61999999</v>
      </c>
    </row>
    <row r="31" spans="1:8">
      <c r="A31" s="450">
        <v>14.2</v>
      </c>
      <c r="B31" s="406" t="s">
        <v>793</v>
      </c>
      <c r="C31" s="779">
        <v>-8071189.8400000008</v>
      </c>
      <c r="D31" s="779">
        <v>-1527966.1399999997</v>
      </c>
      <c r="E31" s="668">
        <f t="shared" si="0"/>
        <v>-9599155.9800000004</v>
      </c>
      <c r="F31" s="670">
        <v>-9635570</v>
      </c>
      <c r="G31" s="667"/>
      <c r="H31" s="668">
        <f t="shared" si="1"/>
        <v>-9635570</v>
      </c>
    </row>
    <row r="32" spans="1:8">
      <c r="A32" s="450">
        <v>15</v>
      </c>
      <c r="B32" s="430" t="s">
        <v>794</v>
      </c>
      <c r="C32" s="779">
        <v>-20981133.740000006</v>
      </c>
      <c r="D32" s="779"/>
      <c r="E32" s="668">
        <f t="shared" si="0"/>
        <v>-20981133.740000006</v>
      </c>
      <c r="F32" s="670">
        <v>-19040014.060000002</v>
      </c>
      <c r="G32" s="667"/>
      <c r="H32" s="668">
        <f t="shared" si="1"/>
        <v>-19040014.060000002</v>
      </c>
    </row>
    <row r="33" spans="1:8" ht="22.5" customHeight="1">
      <c r="A33" s="450">
        <v>16</v>
      </c>
      <c r="B33" s="402" t="s">
        <v>795</v>
      </c>
      <c r="C33" s="667"/>
      <c r="D33" s="667"/>
      <c r="E33" s="668">
        <f t="shared" si="0"/>
        <v>0</v>
      </c>
      <c r="F33" s="667"/>
      <c r="G33" s="667"/>
      <c r="H33" s="668">
        <f t="shared" si="1"/>
        <v>0</v>
      </c>
    </row>
    <row r="34" spans="1:8">
      <c r="A34" s="450">
        <v>17</v>
      </c>
      <c r="B34" s="425" t="s">
        <v>796</v>
      </c>
      <c r="C34" s="667">
        <f>SUM(C35:C36)</f>
        <v>-777588.78</v>
      </c>
      <c r="D34" s="667">
        <f>SUM(D35:D36)</f>
        <v>0</v>
      </c>
      <c r="E34" s="668">
        <f t="shared" si="0"/>
        <v>-777588.78</v>
      </c>
      <c r="F34" s="667">
        <f>SUM(F35:F36)</f>
        <v>0</v>
      </c>
      <c r="G34" s="667">
        <f>SUM(G35:G36)</f>
        <v>0</v>
      </c>
      <c r="H34" s="668">
        <f t="shared" si="1"/>
        <v>0</v>
      </c>
    </row>
    <row r="35" spans="1:8">
      <c r="A35" s="450">
        <v>17.100000000000001</v>
      </c>
      <c r="B35" s="431" t="s">
        <v>797</v>
      </c>
      <c r="C35" s="667">
        <v>-777588.78</v>
      </c>
      <c r="D35" s="667"/>
      <c r="E35" s="668">
        <f t="shared" si="0"/>
        <v>-777588.78</v>
      </c>
      <c r="F35" s="667"/>
      <c r="G35" s="667"/>
      <c r="H35" s="668">
        <f t="shared" si="1"/>
        <v>0</v>
      </c>
    </row>
    <row r="36" spans="1:8">
      <c r="A36" s="450">
        <v>17.2</v>
      </c>
      <c r="B36" s="406" t="s">
        <v>798</v>
      </c>
      <c r="C36" s="667"/>
      <c r="D36" s="667"/>
      <c r="E36" s="668">
        <f t="shared" si="0"/>
        <v>0</v>
      </c>
      <c r="F36" s="667"/>
      <c r="G36" s="667"/>
      <c r="H36" s="668">
        <f t="shared" si="1"/>
        <v>0</v>
      </c>
    </row>
    <row r="37" spans="1:8" ht="41.55" customHeight="1">
      <c r="A37" s="450">
        <v>18</v>
      </c>
      <c r="B37" s="432" t="s">
        <v>799</v>
      </c>
      <c r="C37" s="667">
        <f>SUM(C38:C39)</f>
        <v>-59624054.660000138</v>
      </c>
      <c r="D37" s="667">
        <f>SUM(D38:D39)</f>
        <v>-607197.21</v>
      </c>
      <c r="E37" s="668">
        <f t="shared" si="0"/>
        <v>-60231251.870000139</v>
      </c>
      <c r="F37" s="667">
        <f>SUM(F38:F39)</f>
        <v>-58264260</v>
      </c>
      <c r="G37" s="667">
        <f>SUM(G38:G39)</f>
        <v>307436</v>
      </c>
      <c r="H37" s="668">
        <f t="shared" si="1"/>
        <v>-57956824</v>
      </c>
    </row>
    <row r="38" spans="1:8" ht="20.399999999999999">
      <c r="A38" s="450">
        <v>18.100000000000001</v>
      </c>
      <c r="B38" s="414" t="s">
        <v>800</v>
      </c>
      <c r="C38" s="667"/>
      <c r="D38" s="667"/>
      <c r="E38" s="668">
        <f t="shared" si="0"/>
        <v>0</v>
      </c>
      <c r="F38" s="667"/>
      <c r="G38" s="667"/>
      <c r="H38" s="668">
        <f t="shared" si="1"/>
        <v>0</v>
      </c>
    </row>
    <row r="39" spans="1:8">
      <c r="A39" s="450">
        <v>18.2</v>
      </c>
      <c r="B39" s="414" t="s">
        <v>801</v>
      </c>
      <c r="C39" s="667">
        <v>-59624054.660000138</v>
      </c>
      <c r="D39" s="667">
        <v>-607197.21</v>
      </c>
      <c r="E39" s="668">
        <f t="shared" si="0"/>
        <v>-60231251.870000139</v>
      </c>
      <c r="F39" s="667">
        <v>-58264260</v>
      </c>
      <c r="G39" s="667">
        <v>307436</v>
      </c>
      <c r="H39" s="668">
        <f t="shared" si="1"/>
        <v>-57956824</v>
      </c>
    </row>
    <row r="40" spans="1:8" ht="24.45" customHeight="1">
      <c r="A40" s="450">
        <v>19</v>
      </c>
      <c r="B40" s="432" t="s">
        <v>802</v>
      </c>
      <c r="C40" s="667"/>
      <c r="D40" s="667"/>
      <c r="E40" s="668">
        <f t="shared" si="0"/>
        <v>0</v>
      </c>
      <c r="F40" s="667"/>
      <c r="G40" s="667"/>
      <c r="H40" s="668">
        <f t="shared" si="1"/>
        <v>0</v>
      </c>
    </row>
    <row r="41" spans="1:8" ht="25.05" customHeight="1">
      <c r="A41" s="450">
        <v>20</v>
      </c>
      <c r="B41" s="432" t="s">
        <v>803</v>
      </c>
      <c r="C41" s="667">
        <v>-3125869</v>
      </c>
      <c r="D41" s="667">
        <v>-28353.24</v>
      </c>
      <c r="E41" s="668">
        <f t="shared" si="0"/>
        <v>-3154222.24</v>
      </c>
      <c r="F41" s="667">
        <v>-1364405.92</v>
      </c>
      <c r="G41" s="667"/>
      <c r="H41" s="668">
        <f t="shared" si="1"/>
        <v>-1364405.92</v>
      </c>
    </row>
    <row r="42" spans="1:8" ht="33" customHeight="1">
      <c r="A42" s="450">
        <v>21</v>
      </c>
      <c r="B42" s="433" t="s">
        <v>804</v>
      </c>
      <c r="C42" s="667"/>
      <c r="D42" s="667"/>
      <c r="E42" s="668">
        <f t="shared" si="0"/>
        <v>0</v>
      </c>
      <c r="F42" s="667"/>
      <c r="G42" s="667"/>
      <c r="H42" s="668">
        <f t="shared" si="1"/>
        <v>0</v>
      </c>
    </row>
    <row r="43" spans="1:8">
      <c r="A43" s="450">
        <v>22</v>
      </c>
      <c r="B43" s="434" t="s">
        <v>805</v>
      </c>
      <c r="C43" s="667">
        <f>SUM(C6,C13,C18,C19,C20,C21,C22,C23,C24,C25,C26,C27,C28,C29,C32,C33,C34,C37,C40,C41,C42)</f>
        <v>84113497.920007765</v>
      </c>
      <c r="D43" s="667">
        <f>SUM(D6,D13,D18,D19,D20,D21,D22,D23,D24,D25,D26,D27,D28,D29,D32,D33,D34,D37,D40,D41,D42)</f>
        <v>201096.39999996801</v>
      </c>
      <c r="E43" s="668">
        <f t="shared" si="0"/>
        <v>84314594.320007727</v>
      </c>
      <c r="F43" s="667">
        <f>SUM(F6,F13,F18,F19,F20,F21,F22,F23,F24,F25,F26,F27,F28,F29,F32,F33,F34,F37,F40,F41,F42)</f>
        <v>49207351.119999886</v>
      </c>
      <c r="G43" s="667">
        <f>SUM(G6,G13,G18,G19,G20,G21,G22,G23,G24,G25,G26,G27,G28,G29,G32,G33,G34,G37,G40,G41,G42)</f>
        <v>-725332.82000000402</v>
      </c>
      <c r="H43" s="668">
        <f t="shared" si="1"/>
        <v>48482018.299999878</v>
      </c>
    </row>
    <row r="44" spans="1:8">
      <c r="A44" s="450">
        <v>23</v>
      </c>
      <c r="B44" s="434" t="s">
        <v>806</v>
      </c>
      <c r="C44" s="667">
        <v>-15709669.859999998</v>
      </c>
      <c r="D44" s="667"/>
      <c r="E44" s="668">
        <f t="shared" si="0"/>
        <v>-15709669.859999998</v>
      </c>
      <c r="F44" s="667">
        <v>-7409407.3399999999</v>
      </c>
      <c r="G44" s="667"/>
      <c r="H44" s="668">
        <f t="shared" si="1"/>
        <v>-7409407.3399999999</v>
      </c>
    </row>
    <row r="45" spans="1:8">
      <c r="A45" s="450">
        <v>24</v>
      </c>
      <c r="B45" s="434" t="s">
        <v>807</v>
      </c>
      <c r="C45" s="671">
        <f>C43+C44</f>
        <v>68403828.060007766</v>
      </c>
      <c r="D45" s="671">
        <f>D43-D44</f>
        <v>201096.39999996801</v>
      </c>
      <c r="E45" s="668">
        <f t="shared" si="0"/>
        <v>68604924.460007727</v>
      </c>
      <c r="F45" s="671">
        <f>F43+F44</f>
        <v>41797943.779999882</v>
      </c>
      <c r="G45" s="671">
        <f>G43-G44</f>
        <v>-725332.82000000402</v>
      </c>
      <c r="H45" s="668">
        <f>F45+G45</f>
        <v>41072610.959999874</v>
      </c>
    </row>
    <row r="47" spans="1:8">
      <c r="C47" s="678"/>
      <c r="D47" s="678"/>
      <c r="E47" s="774"/>
    </row>
    <row r="48" spans="1:8">
      <c r="C48" s="679"/>
      <c r="D48" s="679"/>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topLeftCell="A25" zoomScale="80" zoomScaleNormal="80" workbookViewId="0">
      <selection activeCell="C27" sqref="C27:D27"/>
    </sheetView>
  </sheetViews>
  <sheetFormatPr defaultRowHeight="14.4"/>
  <cols>
    <col min="1" max="1" width="8.77734375" style="447"/>
    <col min="2" max="2" width="87.6640625" bestFit="1" customWidth="1"/>
    <col min="3" max="3" width="14.44140625" bestFit="1" customWidth="1"/>
    <col min="4" max="5" width="12.77734375" customWidth="1"/>
    <col min="6" max="6" width="14.44140625" bestFit="1" customWidth="1"/>
    <col min="7" max="8" width="12.77734375" customWidth="1"/>
  </cols>
  <sheetData>
    <row r="1" spans="1:8">
      <c r="A1" s="12" t="s">
        <v>109</v>
      </c>
      <c r="B1" s="306" t="str">
        <f>Info!C2</f>
        <v>კრედო</v>
      </c>
      <c r="C1" s="11"/>
      <c r="D1" s="1"/>
      <c r="E1" s="1"/>
      <c r="F1" s="1"/>
      <c r="G1" s="1"/>
    </row>
    <row r="2" spans="1:8">
      <c r="A2" s="12" t="s">
        <v>110</v>
      </c>
      <c r="B2" s="335">
        <f>'1. key ratios'!B2</f>
        <v>45657</v>
      </c>
      <c r="C2" s="11"/>
      <c r="D2" s="1"/>
      <c r="E2" s="1"/>
      <c r="F2" s="1"/>
      <c r="G2" s="1"/>
    </row>
    <row r="3" spans="1:8">
      <c r="A3" s="12"/>
      <c r="B3" s="11"/>
      <c r="C3" s="11"/>
      <c r="D3" s="1"/>
      <c r="E3" s="1"/>
      <c r="F3" s="1"/>
      <c r="G3" s="1"/>
    </row>
    <row r="4" spans="1:8">
      <c r="A4" s="798" t="s">
        <v>26</v>
      </c>
      <c r="B4" s="810" t="s">
        <v>152</v>
      </c>
      <c r="C4" s="811" t="s">
        <v>115</v>
      </c>
      <c r="D4" s="811"/>
      <c r="E4" s="811"/>
      <c r="F4" s="811" t="s">
        <v>116</v>
      </c>
      <c r="G4" s="811"/>
      <c r="H4" s="812"/>
    </row>
    <row r="5" spans="1:8">
      <c r="A5" s="798"/>
      <c r="B5" s="810"/>
      <c r="C5" s="422" t="s">
        <v>27</v>
      </c>
      <c r="D5" s="422" t="s">
        <v>89</v>
      </c>
      <c r="E5" s="422" t="s">
        <v>67</v>
      </c>
      <c r="F5" s="422" t="s">
        <v>27</v>
      </c>
      <c r="G5" s="422" t="s">
        <v>89</v>
      </c>
      <c r="H5" s="435" t="s">
        <v>67</v>
      </c>
    </row>
    <row r="6" spans="1:8">
      <c r="A6" s="436">
        <v>1</v>
      </c>
      <c r="B6" s="440" t="s">
        <v>808</v>
      </c>
      <c r="C6" s="437"/>
      <c r="D6" s="437"/>
      <c r="E6" s="438">
        <f t="shared" ref="E6:E43" si="0">C6+D6</f>
        <v>0</v>
      </c>
      <c r="F6" s="437"/>
      <c r="G6" s="437"/>
      <c r="H6" s="439">
        <f t="shared" ref="H6:H43" si="1">F6+G6</f>
        <v>0</v>
      </c>
    </row>
    <row r="7" spans="1:8">
      <c r="A7" s="436">
        <v>2</v>
      </c>
      <c r="B7" s="440" t="s">
        <v>178</v>
      </c>
      <c r="C7" s="437"/>
      <c r="D7" s="437"/>
      <c r="E7" s="438">
        <f t="shared" si="0"/>
        <v>0</v>
      </c>
      <c r="F7" s="437"/>
      <c r="G7" s="437"/>
      <c r="H7" s="439">
        <f t="shared" si="1"/>
        <v>0</v>
      </c>
    </row>
    <row r="8" spans="1:8">
      <c r="A8" s="436">
        <v>3</v>
      </c>
      <c r="B8" s="440" t="s">
        <v>180</v>
      </c>
      <c r="C8" s="437">
        <f>C9+C10</f>
        <v>1542947335.8499999</v>
      </c>
      <c r="D8" s="437">
        <f>D9+D10</f>
        <v>0</v>
      </c>
      <c r="E8" s="438">
        <f t="shared" si="0"/>
        <v>1542947335.8499999</v>
      </c>
      <c r="F8" s="673">
        <f>F9+F10</f>
        <v>1205792479.78</v>
      </c>
      <c r="G8" s="673">
        <f>G9+G10</f>
        <v>0</v>
      </c>
      <c r="H8" s="439">
        <f t="shared" si="1"/>
        <v>1205792479.78</v>
      </c>
    </row>
    <row r="9" spans="1:8">
      <c r="A9" s="436">
        <v>3.1</v>
      </c>
      <c r="B9" s="441" t="s">
        <v>809</v>
      </c>
      <c r="C9" s="437">
        <v>1542877796.8499999</v>
      </c>
      <c r="D9" s="437"/>
      <c r="E9" s="438">
        <f t="shared" si="0"/>
        <v>1542877796.8499999</v>
      </c>
      <c r="F9" s="437">
        <v>1205526374.78</v>
      </c>
      <c r="G9" s="437"/>
      <c r="H9" s="439">
        <f t="shared" si="1"/>
        <v>1205526374.78</v>
      </c>
    </row>
    <row r="10" spans="1:8">
      <c r="A10" s="436">
        <v>3.2</v>
      </c>
      <c r="B10" s="441" t="s">
        <v>810</v>
      </c>
      <c r="C10" s="437">
        <v>69539</v>
      </c>
      <c r="D10" s="437"/>
      <c r="E10" s="438">
        <f t="shared" si="0"/>
        <v>69539</v>
      </c>
      <c r="F10" s="437">
        <v>266105</v>
      </c>
      <c r="G10" s="437"/>
      <c r="H10" s="439">
        <f t="shared" si="1"/>
        <v>266105</v>
      </c>
    </row>
    <row r="11" spans="1:8">
      <c r="A11" s="436">
        <v>4</v>
      </c>
      <c r="B11" s="440" t="s">
        <v>179</v>
      </c>
      <c r="C11" s="437">
        <f>C12+C13</f>
        <v>0</v>
      </c>
      <c r="D11" s="437">
        <f>D12+D13</f>
        <v>0</v>
      </c>
      <c r="E11" s="438">
        <f t="shared" si="0"/>
        <v>0</v>
      </c>
      <c r="F11" s="437">
        <f>F12+F13</f>
        <v>0</v>
      </c>
      <c r="G11" s="437">
        <f>G12+G13</f>
        <v>0</v>
      </c>
      <c r="H11" s="439">
        <f t="shared" si="1"/>
        <v>0</v>
      </c>
    </row>
    <row r="12" spans="1:8">
      <c r="A12" s="436">
        <v>4.0999999999999996</v>
      </c>
      <c r="B12" s="441" t="s">
        <v>811</v>
      </c>
      <c r="C12" s="437"/>
      <c r="D12" s="437"/>
      <c r="E12" s="438">
        <f t="shared" si="0"/>
        <v>0</v>
      </c>
      <c r="F12" s="437"/>
      <c r="G12" s="437"/>
      <c r="H12" s="439">
        <f t="shared" si="1"/>
        <v>0</v>
      </c>
    </row>
    <row r="13" spans="1:8">
      <c r="A13" s="436">
        <v>4.2</v>
      </c>
      <c r="B13" s="441" t="s">
        <v>812</v>
      </c>
      <c r="C13" s="437"/>
      <c r="D13" s="437"/>
      <c r="E13" s="438">
        <f t="shared" si="0"/>
        <v>0</v>
      </c>
      <c r="F13" s="437"/>
      <c r="G13" s="437"/>
      <c r="H13" s="439">
        <f t="shared" si="1"/>
        <v>0</v>
      </c>
    </row>
    <row r="14" spans="1:8">
      <c r="A14" s="436">
        <v>5</v>
      </c>
      <c r="B14" s="442" t="s">
        <v>813</v>
      </c>
      <c r="C14" s="673">
        <f>C15+C16+C17+C23+C24+C25+C26</f>
        <v>2101849247.3200002</v>
      </c>
      <c r="D14" s="673">
        <f>D15+D16+D17+D23+D24+D25+D26</f>
        <v>1964760</v>
      </c>
      <c r="E14" s="438">
        <f t="shared" si="0"/>
        <v>2103814007.3200002</v>
      </c>
      <c r="F14" s="674">
        <f>F15+F16+F17+F23+F24+F25+F26</f>
        <v>1048946872.1900001</v>
      </c>
      <c r="G14" s="674">
        <f>G15+G16+G17+G23+G24+G25+G26</f>
        <v>2702000</v>
      </c>
      <c r="H14" s="439">
        <f t="shared" si="1"/>
        <v>1051648872.1900001</v>
      </c>
    </row>
    <row r="15" spans="1:8">
      <c r="A15" s="436">
        <v>5.0999999999999996</v>
      </c>
      <c r="B15" s="443" t="s">
        <v>814</v>
      </c>
      <c r="C15" s="437">
        <v>20898970.66</v>
      </c>
      <c r="D15" s="437">
        <v>1964760</v>
      </c>
      <c r="E15" s="438">
        <f t="shared" si="0"/>
        <v>22863730.66</v>
      </c>
      <c r="F15" s="675">
        <v>20218675.539999999</v>
      </c>
      <c r="G15" s="675">
        <v>2702000</v>
      </c>
      <c r="H15" s="439">
        <f t="shared" si="1"/>
        <v>22920675.539999999</v>
      </c>
    </row>
    <row r="16" spans="1:8">
      <c r="A16" s="436">
        <v>5.2</v>
      </c>
      <c r="B16" s="443" t="s">
        <v>815</v>
      </c>
      <c r="C16" s="437">
        <v>2027.79</v>
      </c>
      <c r="D16" s="437"/>
      <c r="E16" s="438">
        <f t="shared" si="0"/>
        <v>2027.79</v>
      </c>
      <c r="F16" s="675">
        <v>45090.78</v>
      </c>
      <c r="G16" s="675"/>
      <c r="H16" s="439">
        <f t="shared" si="1"/>
        <v>45090.78</v>
      </c>
    </row>
    <row r="17" spans="1:8">
      <c r="A17" s="436">
        <v>5.3</v>
      </c>
      <c r="B17" s="443" t="s">
        <v>816</v>
      </c>
      <c r="C17" s="673">
        <f>C18+C19+C20+C21+C22</f>
        <v>1860844478.3200002</v>
      </c>
      <c r="D17" s="437">
        <f>D18+D19+D20+D21+D22</f>
        <v>0</v>
      </c>
      <c r="E17" s="438">
        <f t="shared" si="0"/>
        <v>1860844478.3200002</v>
      </c>
      <c r="F17" s="674">
        <f>F18+F19+F20+F21+F22</f>
        <v>954875671.86000001</v>
      </c>
      <c r="G17" s="674"/>
      <c r="H17" s="439">
        <f t="shared" si="1"/>
        <v>954875671.86000001</v>
      </c>
    </row>
    <row r="18" spans="1:8">
      <c r="A18" s="436" t="s">
        <v>181</v>
      </c>
      <c r="B18" s="444" t="s">
        <v>817</v>
      </c>
      <c r="C18" s="437">
        <v>1369901238.4100001</v>
      </c>
      <c r="D18" s="437"/>
      <c r="E18" s="438">
        <f t="shared" si="0"/>
        <v>1369901238.4100001</v>
      </c>
      <c r="F18" s="675">
        <v>680468891.78999996</v>
      </c>
      <c r="G18" s="675"/>
      <c r="H18" s="439">
        <f t="shared" si="1"/>
        <v>680468891.78999996</v>
      </c>
    </row>
    <row r="19" spans="1:8">
      <c r="A19" s="436" t="s">
        <v>182</v>
      </c>
      <c r="B19" s="445" t="s">
        <v>818</v>
      </c>
      <c r="C19" s="437">
        <v>225410751.75999999</v>
      </c>
      <c r="D19" s="437"/>
      <c r="E19" s="438">
        <f t="shared" si="0"/>
        <v>225410751.75999999</v>
      </c>
      <c r="F19" s="675">
        <v>152552769.08000001</v>
      </c>
      <c r="G19" s="675"/>
      <c r="H19" s="439">
        <f t="shared" si="1"/>
        <v>152552769.08000001</v>
      </c>
    </row>
    <row r="20" spans="1:8">
      <c r="A20" s="436" t="s">
        <v>183</v>
      </c>
      <c r="B20" s="445" t="s">
        <v>819</v>
      </c>
      <c r="C20" s="437"/>
      <c r="D20" s="437"/>
      <c r="E20" s="438">
        <f t="shared" si="0"/>
        <v>0</v>
      </c>
      <c r="F20" s="675"/>
      <c r="G20" s="675"/>
      <c r="H20" s="439">
        <f t="shared" si="1"/>
        <v>0</v>
      </c>
    </row>
    <row r="21" spans="1:8">
      <c r="A21" s="436" t="s">
        <v>184</v>
      </c>
      <c r="B21" s="445" t="s">
        <v>820</v>
      </c>
      <c r="C21" s="437">
        <v>261553719</v>
      </c>
      <c r="D21" s="437"/>
      <c r="E21" s="438">
        <f t="shared" si="0"/>
        <v>261553719</v>
      </c>
      <c r="F21" s="675">
        <v>117644554</v>
      </c>
      <c r="G21" s="675"/>
      <c r="H21" s="439">
        <f t="shared" si="1"/>
        <v>117644554</v>
      </c>
    </row>
    <row r="22" spans="1:8">
      <c r="A22" s="436" t="s">
        <v>185</v>
      </c>
      <c r="B22" s="445" t="s">
        <v>538</v>
      </c>
      <c r="C22" s="437">
        <v>3978769.15</v>
      </c>
      <c r="D22" s="437"/>
      <c r="E22" s="438">
        <f t="shared" si="0"/>
        <v>3978769.15</v>
      </c>
      <c r="F22" s="675">
        <v>4209456.99</v>
      </c>
      <c r="G22" s="675"/>
      <c r="H22" s="439">
        <f t="shared" si="1"/>
        <v>4209456.99</v>
      </c>
    </row>
    <row r="23" spans="1:8">
      <c r="A23" s="436">
        <v>5.4</v>
      </c>
      <c r="B23" s="443" t="s">
        <v>821</v>
      </c>
      <c r="C23" s="437">
        <v>220103770.55000001</v>
      </c>
      <c r="D23" s="437"/>
      <c r="E23" s="438">
        <f t="shared" si="0"/>
        <v>220103770.55000001</v>
      </c>
      <c r="F23" s="675">
        <v>73807434.010000005</v>
      </c>
      <c r="G23" s="675"/>
      <c r="H23" s="439">
        <f t="shared" si="1"/>
        <v>73807434.010000005</v>
      </c>
    </row>
    <row r="24" spans="1:8">
      <c r="A24" s="436">
        <v>5.5</v>
      </c>
      <c r="B24" s="443" t="s">
        <v>822</v>
      </c>
      <c r="C24" s="437"/>
      <c r="D24" s="437"/>
      <c r="E24" s="438">
        <f t="shared" si="0"/>
        <v>0</v>
      </c>
      <c r="F24" s="437"/>
      <c r="G24" s="437"/>
      <c r="H24" s="439">
        <f t="shared" si="1"/>
        <v>0</v>
      </c>
    </row>
    <row r="25" spans="1:8">
      <c r="A25" s="436">
        <v>5.6</v>
      </c>
      <c r="B25" s="443" t="s">
        <v>823</v>
      </c>
      <c r="C25" s="437"/>
      <c r="D25" s="437"/>
      <c r="E25" s="438">
        <f t="shared" si="0"/>
        <v>0</v>
      </c>
      <c r="F25" s="437"/>
      <c r="G25" s="437"/>
      <c r="H25" s="439">
        <f t="shared" si="1"/>
        <v>0</v>
      </c>
    </row>
    <row r="26" spans="1:8">
      <c r="A26" s="436">
        <v>5.7</v>
      </c>
      <c r="B26" s="443" t="s">
        <v>538</v>
      </c>
      <c r="C26" s="437"/>
      <c r="D26" s="437"/>
      <c r="E26" s="438">
        <f t="shared" si="0"/>
        <v>0</v>
      </c>
      <c r="F26" s="437"/>
      <c r="G26" s="437"/>
      <c r="H26" s="439">
        <f t="shared" si="1"/>
        <v>0</v>
      </c>
    </row>
    <row r="27" spans="1:8">
      <c r="A27" s="436">
        <v>6</v>
      </c>
      <c r="B27" s="442" t="s">
        <v>824</v>
      </c>
      <c r="C27" s="437">
        <f>150366215-494655</f>
        <v>149871560</v>
      </c>
      <c r="D27" s="437">
        <v>25587796</v>
      </c>
      <c r="E27" s="438">
        <f t="shared" si="0"/>
        <v>175459356</v>
      </c>
      <c r="F27" s="675">
        <v>28188531.469999999</v>
      </c>
      <c r="G27" s="675">
        <v>16802802</v>
      </c>
      <c r="H27" s="439">
        <f t="shared" si="1"/>
        <v>44991333.469999999</v>
      </c>
    </row>
    <row r="28" spans="1:8">
      <c r="A28" s="436">
        <v>7</v>
      </c>
      <c r="B28" s="442" t="s">
        <v>825</v>
      </c>
      <c r="C28" s="437">
        <v>2351889.7999999998</v>
      </c>
      <c r="D28" s="437"/>
      <c r="E28" s="438">
        <f t="shared" si="0"/>
        <v>2351889.7999999998</v>
      </c>
      <c r="F28" s="675">
        <v>305899</v>
      </c>
      <c r="G28" s="675"/>
      <c r="H28" s="439">
        <f t="shared" si="1"/>
        <v>305899</v>
      </c>
    </row>
    <row r="29" spans="1:8">
      <c r="A29" s="436">
        <v>8</v>
      </c>
      <c r="B29" s="442" t="s">
        <v>826</v>
      </c>
      <c r="C29" s="437"/>
      <c r="D29" s="437"/>
      <c r="E29" s="438">
        <f t="shared" si="0"/>
        <v>0</v>
      </c>
      <c r="F29" s="437"/>
      <c r="G29" s="437"/>
      <c r="H29" s="439">
        <f t="shared" si="1"/>
        <v>0</v>
      </c>
    </row>
    <row r="30" spans="1:8">
      <c r="A30" s="436">
        <v>9</v>
      </c>
      <c r="B30" s="440" t="s">
        <v>186</v>
      </c>
      <c r="C30" s="437">
        <f>C31+C32+C33+C34+C35+C36+C37</f>
        <v>269556228</v>
      </c>
      <c r="D30" s="437">
        <f>D31+D32+D33+D34+D35+D36+D37</f>
        <v>0</v>
      </c>
      <c r="E30" s="438">
        <f t="shared" si="0"/>
        <v>269556228</v>
      </c>
      <c r="F30" s="437">
        <f>F31+F32+F33+F34+F35+F36+F37</f>
        <v>170967056.40000001</v>
      </c>
      <c r="G30" s="437">
        <f>G31+G32+G33+G34+G35+G36+G37</f>
        <v>0</v>
      </c>
      <c r="H30" s="439">
        <f t="shared" si="1"/>
        <v>170967056.40000001</v>
      </c>
    </row>
    <row r="31" spans="1:8" ht="27.6">
      <c r="A31" s="436">
        <v>9.1</v>
      </c>
      <c r="B31" s="441" t="s">
        <v>827</v>
      </c>
      <c r="C31" s="437"/>
      <c r="D31" s="437"/>
      <c r="E31" s="438">
        <f t="shared" si="0"/>
        <v>0</v>
      </c>
      <c r="F31" s="437"/>
      <c r="G31" s="437"/>
      <c r="H31" s="439">
        <f t="shared" si="1"/>
        <v>0</v>
      </c>
    </row>
    <row r="32" spans="1:8" ht="27.6">
      <c r="A32" s="436">
        <v>9.1999999999999993</v>
      </c>
      <c r="B32" s="441" t="s">
        <v>828</v>
      </c>
      <c r="C32" s="437">
        <v>269556228</v>
      </c>
      <c r="D32" s="437"/>
      <c r="E32" s="438">
        <f t="shared" si="0"/>
        <v>269556228</v>
      </c>
      <c r="F32" s="437">
        <v>170967056.40000001</v>
      </c>
      <c r="G32" s="437"/>
      <c r="H32" s="439">
        <f t="shared" si="1"/>
        <v>170967056.40000001</v>
      </c>
    </row>
    <row r="33" spans="1:8" ht="27.6">
      <c r="A33" s="436">
        <v>9.3000000000000007</v>
      </c>
      <c r="B33" s="441" t="s">
        <v>829</v>
      </c>
      <c r="C33" s="437"/>
      <c r="D33" s="437"/>
      <c r="E33" s="438">
        <f t="shared" si="0"/>
        <v>0</v>
      </c>
      <c r="F33" s="437"/>
      <c r="G33" s="437"/>
      <c r="H33" s="439">
        <f t="shared" si="1"/>
        <v>0</v>
      </c>
    </row>
    <row r="34" spans="1:8">
      <c r="A34" s="436">
        <v>9.4</v>
      </c>
      <c r="B34" s="441" t="s">
        <v>830</v>
      </c>
      <c r="C34" s="437"/>
      <c r="D34" s="437"/>
      <c r="E34" s="438">
        <f t="shared" si="0"/>
        <v>0</v>
      </c>
      <c r="F34" s="437"/>
      <c r="G34" s="437"/>
      <c r="H34" s="439">
        <f t="shared" si="1"/>
        <v>0</v>
      </c>
    </row>
    <row r="35" spans="1:8">
      <c r="A35" s="436">
        <v>9.5</v>
      </c>
      <c r="B35" s="441" t="s">
        <v>831</v>
      </c>
      <c r="C35" s="437"/>
      <c r="D35" s="437"/>
      <c r="E35" s="438">
        <f t="shared" si="0"/>
        <v>0</v>
      </c>
      <c r="F35" s="437"/>
      <c r="G35" s="437"/>
      <c r="H35" s="439">
        <f t="shared" si="1"/>
        <v>0</v>
      </c>
    </row>
    <row r="36" spans="1:8" ht="27.6">
      <c r="A36" s="436">
        <v>9.6</v>
      </c>
      <c r="B36" s="441" t="s">
        <v>832</v>
      </c>
      <c r="C36" s="437"/>
      <c r="D36" s="437"/>
      <c r="E36" s="438">
        <f t="shared" si="0"/>
        <v>0</v>
      </c>
      <c r="F36" s="437"/>
      <c r="G36" s="437"/>
      <c r="H36" s="439">
        <f t="shared" si="1"/>
        <v>0</v>
      </c>
    </row>
    <row r="37" spans="1:8" ht="27.6">
      <c r="A37" s="436">
        <v>9.6999999999999993</v>
      </c>
      <c r="B37" s="441" t="s">
        <v>833</v>
      </c>
      <c r="C37" s="437"/>
      <c r="D37" s="437"/>
      <c r="E37" s="438">
        <f t="shared" si="0"/>
        <v>0</v>
      </c>
      <c r="F37" s="437"/>
      <c r="G37" s="437"/>
      <c r="H37" s="439">
        <f t="shared" si="1"/>
        <v>0</v>
      </c>
    </row>
    <row r="38" spans="1:8">
      <c r="A38" s="436">
        <v>10</v>
      </c>
      <c r="B38" s="442" t="s">
        <v>834</v>
      </c>
      <c r="C38" s="675">
        <f>C41+C42</f>
        <v>274180226</v>
      </c>
      <c r="D38" s="675">
        <f>D41+D42</f>
        <v>5375145</v>
      </c>
      <c r="E38" s="438">
        <f t="shared" si="0"/>
        <v>279555371</v>
      </c>
      <c r="F38" s="675">
        <f>F41+F42</f>
        <v>146639615.06919998</v>
      </c>
      <c r="G38" s="675">
        <f>G41+G42</f>
        <v>1821288.6732700027</v>
      </c>
      <c r="H38" s="439">
        <f t="shared" si="1"/>
        <v>148460903.74247</v>
      </c>
    </row>
    <row r="39" spans="1:8">
      <c r="A39" s="436">
        <v>10.1</v>
      </c>
      <c r="B39" s="441" t="s">
        <v>835</v>
      </c>
      <c r="C39" s="437">
        <v>10188425.719999997</v>
      </c>
      <c r="D39" s="437"/>
      <c r="E39" s="438">
        <f t="shared" si="0"/>
        <v>10188425.719999997</v>
      </c>
      <c r="F39" s="437">
        <v>11805726.83</v>
      </c>
      <c r="G39" s="437">
        <v>7841</v>
      </c>
      <c r="H39" s="439">
        <f t="shared" si="1"/>
        <v>11813567.83</v>
      </c>
    </row>
    <row r="40" spans="1:8" ht="27.6">
      <c r="A40" s="436">
        <v>10.199999999999999</v>
      </c>
      <c r="B40" s="441" t="s">
        <v>836</v>
      </c>
      <c r="C40" s="437">
        <v>6488127.6000000229</v>
      </c>
      <c r="D40" s="437">
        <v>34053.819770000009</v>
      </c>
      <c r="E40" s="438">
        <f t="shared" si="0"/>
        <v>6522181.4197700229</v>
      </c>
      <c r="F40" s="437">
        <v>6437543.3299999796</v>
      </c>
      <c r="G40" s="437">
        <v>33979</v>
      </c>
      <c r="H40" s="439">
        <f t="shared" si="1"/>
        <v>6471522.3299999796</v>
      </c>
    </row>
    <row r="41" spans="1:8" ht="27.6">
      <c r="A41" s="436">
        <v>10.3</v>
      </c>
      <c r="B41" s="441" t="s">
        <v>837</v>
      </c>
      <c r="C41" s="437">
        <v>165510685</v>
      </c>
      <c r="D41" s="437">
        <v>3442921</v>
      </c>
      <c r="E41" s="438">
        <f t="shared" si="0"/>
        <v>168953606</v>
      </c>
      <c r="F41" s="437">
        <v>90157978.389200032</v>
      </c>
      <c r="G41" s="437">
        <v>239382.81606300152</v>
      </c>
      <c r="H41" s="439">
        <f t="shared" si="1"/>
        <v>90397361.205263034</v>
      </c>
    </row>
    <row r="42" spans="1:8" ht="27.6">
      <c r="A42" s="436">
        <v>10.4</v>
      </c>
      <c r="B42" s="441" t="s">
        <v>838</v>
      </c>
      <c r="C42" s="437">
        <v>108669541</v>
      </c>
      <c r="D42" s="437">
        <v>1932224</v>
      </c>
      <c r="E42" s="438">
        <f t="shared" si="0"/>
        <v>110601765</v>
      </c>
      <c r="F42" s="437">
        <v>56481636.679999962</v>
      </c>
      <c r="G42" s="437">
        <v>1581905.8572070012</v>
      </c>
      <c r="H42" s="439">
        <f t="shared" si="1"/>
        <v>58063542.537206963</v>
      </c>
    </row>
    <row r="43" spans="1:8">
      <c r="A43" s="436">
        <v>11</v>
      </c>
      <c r="B43" s="446" t="s">
        <v>187</v>
      </c>
      <c r="C43" s="437"/>
      <c r="D43" s="437"/>
      <c r="E43" s="438">
        <f t="shared" si="0"/>
        <v>0</v>
      </c>
      <c r="F43" s="437"/>
      <c r="G43" s="437"/>
      <c r="H43" s="439">
        <f t="shared" si="1"/>
        <v>0</v>
      </c>
    </row>
    <row r="44" spans="1:8">
      <c r="C44" s="448"/>
      <c r="D44" s="448"/>
      <c r="E44" s="448"/>
      <c r="F44" s="448"/>
      <c r="G44" s="448"/>
      <c r="H44" s="448"/>
    </row>
    <row r="45" spans="1:8">
      <c r="C45" s="448"/>
      <c r="D45" s="448"/>
      <c r="E45" s="448"/>
      <c r="F45" s="448"/>
      <c r="G45" s="448"/>
      <c r="H45" s="448"/>
    </row>
    <row r="46" spans="1:8">
      <c r="C46" s="448"/>
      <c r="D46" s="448"/>
      <c r="E46" s="448"/>
      <c r="F46" s="448"/>
      <c r="G46" s="448"/>
      <c r="H46" s="448"/>
    </row>
    <row r="47" spans="1:8">
      <c r="C47" s="448"/>
      <c r="D47" s="448"/>
      <c r="E47" s="448"/>
      <c r="F47" s="448"/>
      <c r="G47" s="448"/>
      <c r="H47" s="44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15" sqref="B15"/>
    </sheetView>
  </sheetViews>
  <sheetFormatPr defaultColWidth="9.21875" defaultRowHeight="13.8"/>
  <cols>
    <col min="1" max="1" width="9.5546875" style="1" bestFit="1" customWidth="1"/>
    <col min="2" max="2" width="93.5546875" style="1" customWidth="1"/>
    <col min="3" max="3" width="12.77734375" style="1" customWidth="1"/>
    <col min="4" max="4" width="12.33203125" style="1" bestFit="1" customWidth="1"/>
    <col min="5" max="7" width="12.33203125" style="8" bestFit="1" customWidth="1"/>
    <col min="8" max="11" width="9.77734375" style="8" customWidth="1"/>
    <col min="12" max="16384" width="9.21875" style="8"/>
  </cols>
  <sheetData>
    <row r="1" spans="1:7">
      <c r="A1" s="12" t="s">
        <v>109</v>
      </c>
      <c r="B1" s="11" t="str">
        <f>Info!C2</f>
        <v>კრედო</v>
      </c>
      <c r="C1" s="11"/>
    </row>
    <row r="2" spans="1:7">
      <c r="A2" s="12" t="s">
        <v>110</v>
      </c>
      <c r="B2" s="335">
        <f>'1. key ratios'!B2</f>
        <v>45657</v>
      </c>
      <c r="C2" s="11"/>
    </row>
    <row r="3" spans="1:7">
      <c r="A3" s="12"/>
      <c r="B3" s="11"/>
      <c r="C3" s="11"/>
    </row>
    <row r="4" spans="1:7" ht="15" customHeight="1" thickBot="1">
      <c r="A4" s="143" t="s">
        <v>254</v>
      </c>
      <c r="B4" s="144" t="s">
        <v>108</v>
      </c>
      <c r="C4" s="145" t="s">
        <v>88</v>
      </c>
    </row>
    <row r="5" spans="1:7" ht="15" customHeight="1">
      <c r="A5" s="141" t="s">
        <v>26</v>
      </c>
      <c r="B5" s="142"/>
      <c r="C5" s="324" t="str">
        <f>INT((MONTH($B$2))/3)&amp;"Q"&amp;"-"&amp;YEAR($B$2)</f>
        <v>4Q-2024</v>
      </c>
      <c r="D5" s="324" t="str">
        <f>IF(INT(MONTH($B$2))=3, "4"&amp;"Q"&amp;"-"&amp;YEAR($B$2)-1, IF(INT(MONTH($B$2))=6, "1"&amp;"Q"&amp;"-"&amp;YEAR($B$2), IF(INT(MONTH($B$2))=9, "2"&amp;"Q"&amp;"-"&amp;YEAR($B$2),IF(INT(MONTH($B$2))=12, "3"&amp;"Q"&amp;"-"&amp;YEAR($B$2), 0))))</f>
        <v>3Q-2024</v>
      </c>
      <c r="E5" s="324" t="str">
        <f>IF(INT(MONTH($B$2))=3, "3"&amp;"Q"&amp;"-"&amp;YEAR($B$2)-1, IF(INT(MONTH($B$2))=6, "4"&amp;"Q"&amp;"-"&amp;YEAR($B$2)-1, IF(INT(MONTH($B$2))=9, "1"&amp;"Q"&amp;"-"&amp;YEAR($B$2),IF(INT(MONTH($B$2))=12, "2"&amp;"Q"&amp;"-"&amp;YEAR($B$2), 0))))</f>
        <v>2Q-2024</v>
      </c>
      <c r="F5" s="324" t="str">
        <f>IF(INT(MONTH($B$2))=3, "2"&amp;"Q"&amp;"-"&amp;YEAR($B$2)-1, IF(INT(MONTH($B$2))=6, "3"&amp;"Q"&amp;"-"&amp;YEAR($B$2)-1, IF(INT(MONTH($B$2))=9, "4"&amp;"Q"&amp;"-"&amp;YEAR($B$2)-1,IF(INT(MONTH($B$2))=12, "1"&amp;"Q"&amp;"-"&amp;YEAR($B$2), 0))))</f>
        <v>1Q-2024</v>
      </c>
      <c r="G5" s="324" t="str">
        <f>IF(INT(MONTH($B$2))=3, "1"&amp;"Q"&amp;"-"&amp;YEAR($B$2)-1, IF(INT(MONTH($B$2))=6, "2"&amp;"Q"&amp;"-"&amp;YEAR($B$2)-1, IF(INT(MONTH($B$2))=9, "3"&amp;"Q"&amp;"-"&amp;YEAR($B$2)-1,IF(INT(MONTH($B$2))=12, "4"&amp;"Q"&amp;"-"&amp;YEAR($B$2)-1, 0))))</f>
        <v>4Q-2023</v>
      </c>
    </row>
    <row r="6" spans="1:7" ht="15" customHeight="1">
      <c r="A6" s="260">
        <v>1</v>
      </c>
      <c r="B6" s="312" t="s">
        <v>113</v>
      </c>
      <c r="C6" s="261">
        <f>C7+C9+C10</f>
        <v>2056136249.6177859</v>
      </c>
      <c r="D6" s="314">
        <f>D7+D9+D10</f>
        <v>1909219821.9494481</v>
      </c>
      <c r="E6" s="262">
        <f t="shared" ref="E6:G6" si="0">E7+E9+E10</f>
        <v>1827465908.5889337</v>
      </c>
      <c r="F6" s="261">
        <f t="shared" si="0"/>
        <v>1690471624.9109747</v>
      </c>
      <c r="G6" s="315">
        <f t="shared" si="0"/>
        <v>1644867891.5247724</v>
      </c>
    </row>
    <row r="7" spans="1:7" ht="15" customHeight="1">
      <c r="A7" s="260">
        <v>1.1000000000000001</v>
      </c>
      <c r="B7" s="263" t="s">
        <v>436</v>
      </c>
      <c r="C7" s="264">
        <v>2005870754.2077861</v>
      </c>
      <c r="D7" s="661">
        <v>1869413263.9154482</v>
      </c>
      <c r="E7" s="662">
        <v>1794066642.9262829</v>
      </c>
      <c r="F7" s="661">
        <v>1660720984.2457247</v>
      </c>
      <c r="G7" s="661">
        <v>1619083852.9935224</v>
      </c>
    </row>
    <row r="8" spans="1:7" ht="27.6">
      <c r="A8" s="260" t="s">
        <v>158</v>
      </c>
      <c r="B8" s="265" t="s">
        <v>251</v>
      </c>
      <c r="C8" s="264">
        <v>2463673.85</v>
      </c>
      <c r="D8" s="661"/>
      <c r="E8" s="662"/>
      <c r="F8" s="661"/>
      <c r="G8" s="661"/>
    </row>
    <row r="9" spans="1:7" ht="15" customHeight="1">
      <c r="A9" s="260">
        <v>1.2</v>
      </c>
      <c r="B9" s="263" t="s">
        <v>22</v>
      </c>
      <c r="C9" s="264">
        <v>44874370.850000001</v>
      </c>
      <c r="D9" s="661">
        <v>35505361.174999997</v>
      </c>
      <c r="E9" s="662">
        <v>28999508.322650995</v>
      </c>
      <c r="F9" s="661">
        <v>24688313.446249999</v>
      </c>
      <c r="G9" s="661">
        <v>21165112.041249998</v>
      </c>
    </row>
    <row r="10" spans="1:7" ht="15" customHeight="1">
      <c r="A10" s="260">
        <v>1.3</v>
      </c>
      <c r="B10" s="313" t="s">
        <v>75</v>
      </c>
      <c r="C10" s="264">
        <v>5391124.5600000005</v>
      </c>
      <c r="D10" s="661">
        <v>4301196.8590000002</v>
      </c>
      <c r="E10" s="662">
        <v>4399757.34</v>
      </c>
      <c r="F10" s="661">
        <v>5062327.2189999996</v>
      </c>
      <c r="G10" s="661">
        <v>4618926.49</v>
      </c>
    </row>
    <row r="11" spans="1:7" ht="15" customHeight="1">
      <c r="A11" s="260">
        <v>2</v>
      </c>
      <c r="B11" s="312" t="s">
        <v>114</v>
      </c>
      <c r="C11" s="264">
        <v>991776</v>
      </c>
      <c r="D11" s="661">
        <v>712359.72000208776</v>
      </c>
      <c r="E11" s="662">
        <v>2411779</v>
      </c>
      <c r="F11" s="661">
        <v>786633.70000243757</v>
      </c>
      <c r="G11" s="661">
        <v>2524980</v>
      </c>
    </row>
    <row r="12" spans="1:7" ht="15" customHeight="1">
      <c r="A12" s="260">
        <v>3</v>
      </c>
      <c r="B12" s="312" t="s">
        <v>112</v>
      </c>
      <c r="C12" s="264">
        <v>559691583.66043723</v>
      </c>
      <c r="D12" s="661">
        <v>497590830.13999999</v>
      </c>
      <c r="E12" s="662">
        <v>497590830.13999999</v>
      </c>
      <c r="F12" s="661">
        <v>497590830.13999999</v>
      </c>
      <c r="G12" s="661">
        <v>497590830.13999999</v>
      </c>
    </row>
    <row r="13" spans="1:7" ht="15" customHeight="1" thickBot="1">
      <c r="A13" s="75">
        <v>4</v>
      </c>
      <c r="B13" s="318" t="s">
        <v>159</v>
      </c>
      <c r="C13" s="163">
        <f>C6+C11+C12</f>
        <v>2616819609.278223</v>
      </c>
      <c r="D13" s="316">
        <f>D6+D11+D12</f>
        <v>2407523011.8094501</v>
      </c>
      <c r="E13" s="164">
        <f t="shared" ref="E13:G13" si="1">E6+E11+E12</f>
        <v>2327468517.7289338</v>
      </c>
      <c r="F13" s="163">
        <f t="shared" si="1"/>
        <v>2188849088.750977</v>
      </c>
      <c r="G13" s="317">
        <f t="shared" si="1"/>
        <v>2144983701.6647725</v>
      </c>
    </row>
    <row r="14" spans="1:7">
      <c r="B14" s="16"/>
    </row>
    <row r="15" spans="1:7">
      <c r="B15" s="16"/>
    </row>
    <row r="16" spans="1:7">
      <c r="B16" s="16"/>
    </row>
    <row r="17" spans="2:2">
      <c r="B17" s="16"/>
    </row>
    <row r="18" spans="2:2">
      <c r="B18"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6"/>
  <sheetViews>
    <sheetView showGridLines="0" zoomScale="80" zoomScaleNormal="80" workbookViewId="0">
      <pane xSplit="1" ySplit="4" topLeftCell="B22" activePane="bottomRight" state="frozen"/>
      <selection pane="topRight" activeCell="B1" sqref="B1"/>
      <selection pane="bottomLeft" activeCell="A4" sqref="A4"/>
      <selection pane="bottomRight" activeCell="A33" sqref="A33:A36"/>
    </sheetView>
  </sheetViews>
  <sheetFormatPr defaultRowHeight="14.4"/>
  <cols>
    <col min="1" max="1" width="9.5546875" style="1" bestFit="1" customWidth="1"/>
    <col min="2" max="2" width="58.77734375" style="1" customWidth="1"/>
    <col min="3" max="3" width="40.21875" style="1" bestFit="1" customWidth="1"/>
  </cols>
  <sheetData>
    <row r="1" spans="1:3">
      <c r="A1" s="1" t="s">
        <v>109</v>
      </c>
      <c r="B1" s="1" t="str">
        <f>Info!C2</f>
        <v>კრედო</v>
      </c>
    </row>
    <row r="2" spans="1:3">
      <c r="A2" s="1" t="s">
        <v>110</v>
      </c>
      <c r="B2" s="335">
        <f>'1. key ratios'!B2</f>
        <v>45657</v>
      </c>
    </row>
    <row r="4" spans="1:3" ht="25.5" customHeight="1" thickBot="1">
      <c r="A4" s="157" t="s">
        <v>255</v>
      </c>
      <c r="B4" s="23" t="s">
        <v>92</v>
      </c>
      <c r="C4" s="9"/>
    </row>
    <row r="5" spans="1:3">
      <c r="A5" s="7"/>
      <c r="B5" s="308" t="s">
        <v>93</v>
      </c>
      <c r="C5" s="322" t="s">
        <v>447</v>
      </c>
    </row>
    <row r="6" spans="1:3" ht="15">
      <c r="A6" s="10">
        <v>1</v>
      </c>
      <c r="B6" s="24" t="s">
        <v>1005</v>
      </c>
      <c r="C6" s="319" t="s">
        <v>1006</v>
      </c>
    </row>
    <row r="7" spans="1:3" ht="15">
      <c r="A7" s="10">
        <v>2</v>
      </c>
      <c r="B7" s="24" t="s">
        <v>1007</v>
      </c>
      <c r="C7" s="319" t="s">
        <v>1008</v>
      </c>
    </row>
    <row r="8" spans="1:3" ht="15">
      <c r="A8" s="10">
        <v>3</v>
      </c>
      <c r="B8" s="24" t="s">
        <v>1009</v>
      </c>
      <c r="C8" s="319" t="s">
        <v>1008</v>
      </c>
    </row>
    <row r="9" spans="1:3" ht="15">
      <c r="A9" s="10">
        <v>4</v>
      </c>
      <c r="B9" s="24" t="s">
        <v>1010</v>
      </c>
      <c r="C9" s="319" t="s">
        <v>1008</v>
      </c>
    </row>
    <row r="10" spans="1:3" ht="15">
      <c r="A10" s="10">
        <v>5</v>
      </c>
      <c r="B10" s="24" t="s">
        <v>1011</v>
      </c>
      <c r="C10" s="319" t="s">
        <v>1012</v>
      </c>
    </row>
    <row r="11" spans="1:3" ht="15">
      <c r="A11" s="10">
        <v>6</v>
      </c>
      <c r="B11" s="24" t="s">
        <v>1013</v>
      </c>
      <c r="C11" s="319" t="s">
        <v>1012</v>
      </c>
    </row>
    <row r="12" spans="1:3" ht="15">
      <c r="A12" s="10"/>
      <c r="B12" s="813"/>
      <c r="C12" s="814"/>
    </row>
    <row r="13" spans="1:3" ht="41.4">
      <c r="A13" s="10"/>
      <c r="B13" s="309" t="s">
        <v>94</v>
      </c>
      <c r="C13" s="323" t="s">
        <v>448</v>
      </c>
    </row>
    <row r="14" spans="1:3">
      <c r="A14" s="10">
        <v>1</v>
      </c>
      <c r="B14" s="20" t="s">
        <v>1003</v>
      </c>
      <c r="C14" s="320" t="s">
        <v>1014</v>
      </c>
    </row>
    <row r="15" spans="1:3">
      <c r="A15" s="10">
        <v>2</v>
      </c>
      <c r="B15" s="20" t="s">
        <v>1015</v>
      </c>
      <c r="C15" s="320" t="s">
        <v>1016</v>
      </c>
    </row>
    <row r="16" spans="1:3">
      <c r="A16" s="10">
        <v>3</v>
      </c>
      <c r="B16" s="20" t="s">
        <v>1017</v>
      </c>
      <c r="C16" s="320" t="s">
        <v>1018</v>
      </c>
    </row>
    <row r="17" spans="1:3">
      <c r="A17" s="10">
        <v>4</v>
      </c>
      <c r="B17" s="20" t="s">
        <v>1019</v>
      </c>
      <c r="C17" s="320" t="s">
        <v>1020</v>
      </c>
    </row>
    <row r="18" spans="1:3">
      <c r="A18" s="10">
        <v>5</v>
      </c>
      <c r="B18" s="20" t="s">
        <v>1021</v>
      </c>
      <c r="C18" s="320" t="s">
        <v>1022</v>
      </c>
    </row>
    <row r="19" spans="1:3">
      <c r="A19" s="10">
        <v>6</v>
      </c>
      <c r="B19" s="20" t="s">
        <v>1023</v>
      </c>
      <c r="C19" s="320" t="s">
        <v>1024</v>
      </c>
    </row>
    <row r="20" spans="1:3" ht="15.75" customHeight="1">
      <c r="A20" s="10"/>
      <c r="B20" s="20"/>
      <c r="C20" s="321"/>
    </row>
    <row r="21" spans="1:3" ht="15.75" customHeight="1">
      <c r="A21" s="10"/>
      <c r="B21" s="20"/>
      <c r="C21" s="21"/>
    </row>
    <row r="22" spans="1:3" ht="30" customHeight="1">
      <c r="A22" s="10"/>
      <c r="B22" s="815" t="s">
        <v>95</v>
      </c>
      <c r="C22" s="816"/>
    </row>
    <row r="23" spans="1:3" ht="15">
      <c r="A23" s="10">
        <v>1</v>
      </c>
      <c r="B23" s="764" t="s">
        <v>1036</v>
      </c>
      <c r="C23" s="766">
        <v>0.50549999999999995</v>
      </c>
    </row>
    <row r="24" spans="1:3" ht="15">
      <c r="A24" s="763">
        <v>2</v>
      </c>
      <c r="B24" s="764" t="s">
        <v>1028</v>
      </c>
      <c r="C24" s="766">
        <v>0.16789999999999999</v>
      </c>
    </row>
    <row r="25" spans="1:3" ht="28.8">
      <c r="A25" s="10">
        <v>3</v>
      </c>
      <c r="B25" s="764" t="s">
        <v>1027</v>
      </c>
      <c r="C25" s="766">
        <v>0.14779999999999999</v>
      </c>
    </row>
    <row r="26" spans="1:3" ht="15">
      <c r="A26" s="763">
        <v>4</v>
      </c>
      <c r="B26" s="764" t="s">
        <v>1025</v>
      </c>
      <c r="C26" s="765">
        <v>8.3099999999999993E-2</v>
      </c>
    </row>
    <row r="27" spans="1:3" ht="15">
      <c r="A27" s="10">
        <v>5</v>
      </c>
      <c r="B27" s="764" t="s">
        <v>1026</v>
      </c>
      <c r="C27" s="765">
        <v>8.3099999999999993E-2</v>
      </c>
    </row>
    <row r="28" spans="1:3" ht="15.75" customHeight="1">
      <c r="A28" s="10"/>
      <c r="B28" s="24"/>
      <c r="C28" s="25"/>
    </row>
    <row r="29" spans="1:3" ht="29.25" customHeight="1">
      <c r="A29" s="10"/>
      <c r="B29" s="815" t="s">
        <v>175</v>
      </c>
      <c r="C29" s="816"/>
    </row>
    <row r="30" spans="1:3" ht="15">
      <c r="A30" s="10">
        <v>1</v>
      </c>
      <c r="B30" s="24" t="s">
        <v>1029</v>
      </c>
      <c r="C30" s="769">
        <v>5.9792287999999999E-2</v>
      </c>
    </row>
    <row r="31" spans="1:3" ht="15">
      <c r="A31" s="767">
        <v>2</v>
      </c>
      <c r="B31" s="768" t="s">
        <v>1030</v>
      </c>
      <c r="C31" s="770">
        <v>5.9792287999999999E-2</v>
      </c>
    </row>
    <row r="32" spans="1:3" ht="15">
      <c r="A32" s="10">
        <v>3</v>
      </c>
      <c r="B32" s="768" t="s">
        <v>1031</v>
      </c>
      <c r="C32" s="770">
        <v>7.5212927999999998E-2</v>
      </c>
    </row>
    <row r="33" spans="1:3" ht="15">
      <c r="A33" s="767">
        <v>4</v>
      </c>
      <c r="B33" s="768" t="s">
        <v>1032</v>
      </c>
      <c r="C33" s="770">
        <v>6.4269248000000001E-2</v>
      </c>
    </row>
    <row r="34" spans="1:3" ht="15">
      <c r="A34" s="10">
        <v>5</v>
      </c>
      <c r="B34" s="768" t="s">
        <v>1033</v>
      </c>
      <c r="C34" s="770">
        <v>0.12018150400000001</v>
      </c>
    </row>
    <row r="35" spans="1:3" ht="15">
      <c r="A35" s="767">
        <v>6</v>
      </c>
      <c r="B35" s="768" t="s">
        <v>1034</v>
      </c>
      <c r="C35" s="770">
        <v>5.6708160000000001E-2</v>
      </c>
    </row>
    <row r="36" spans="1:3" ht="15.6" thickBot="1">
      <c r="A36" s="10">
        <v>7</v>
      </c>
      <c r="B36" s="26" t="s">
        <v>1035</v>
      </c>
      <c r="C36" s="771">
        <v>0.12540000000000001</v>
      </c>
    </row>
  </sheetData>
  <mergeCells count="3">
    <mergeCell ref="B12:C12"/>
    <mergeCell ref="B29:C29"/>
    <mergeCell ref="B22:C22"/>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18" activePane="bottomRight" state="frozen"/>
      <selection activeCell="H6" sqref="H6"/>
      <selection pane="topRight" activeCell="H6" sqref="H6"/>
      <selection pane="bottomLeft" activeCell="H6" sqref="H6"/>
      <selection pane="bottomRight" activeCell="C34" sqref="C34"/>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2" t="s">
        <v>109</v>
      </c>
      <c r="B1" s="11" t="str">
        <f>Info!C2</f>
        <v>კრედო</v>
      </c>
    </row>
    <row r="2" spans="1:5" s="12" customFormat="1" ht="15.75" customHeight="1">
      <c r="A2" s="12" t="s">
        <v>110</v>
      </c>
      <c r="B2" s="335">
        <f>'1. key ratios'!B2</f>
        <v>45657</v>
      </c>
    </row>
    <row r="3" spans="1:5" s="12" customFormat="1" ht="15.75" customHeight="1"/>
    <row r="4" spans="1:5" s="12" customFormat="1" ht="15.75" customHeight="1" thickBot="1">
      <c r="A4" s="158" t="s">
        <v>256</v>
      </c>
      <c r="B4" s="159" t="s">
        <v>169</v>
      </c>
      <c r="C4" s="123"/>
      <c r="D4" s="123"/>
      <c r="E4" s="124" t="s">
        <v>88</v>
      </c>
    </row>
    <row r="5" spans="1:5" s="71" customFormat="1" ht="17.55" customHeight="1">
      <c r="A5" s="238"/>
      <c r="B5" s="239"/>
      <c r="C5" s="122" t="s">
        <v>0</v>
      </c>
      <c r="D5" s="122" t="s">
        <v>1</v>
      </c>
      <c r="E5" s="240" t="s">
        <v>2</v>
      </c>
    </row>
    <row r="6" spans="1:5" ht="14.55" customHeight="1">
      <c r="A6" s="241"/>
      <c r="B6" s="817" t="s">
        <v>145</v>
      </c>
      <c r="C6" s="817" t="s">
        <v>852</v>
      </c>
      <c r="D6" s="818" t="s">
        <v>144</v>
      </c>
      <c r="E6" s="819"/>
    </row>
    <row r="7" spans="1:5" ht="99.6" customHeight="1">
      <c r="A7" s="241"/>
      <c r="B7" s="817"/>
      <c r="C7" s="817"/>
      <c r="D7" s="236" t="s">
        <v>143</v>
      </c>
      <c r="E7" s="237" t="s">
        <v>354</v>
      </c>
    </row>
    <row r="8" spans="1:5" ht="22.5" customHeight="1">
      <c r="A8" s="450">
        <v>1</v>
      </c>
      <c r="B8" s="397" t="s">
        <v>839</v>
      </c>
      <c r="C8" s="680">
        <f>SUM(C9:C11)</f>
        <v>387769774.25640655</v>
      </c>
      <c r="D8" s="451">
        <f t="shared" ref="D8:E8" si="0">SUM(D9:D11)</f>
        <v>0</v>
      </c>
      <c r="E8" s="680">
        <f t="shared" si="0"/>
        <v>387769774.25640655</v>
      </c>
    </row>
    <row r="9" spans="1:5">
      <c r="A9" s="450">
        <v>1.1000000000000001</v>
      </c>
      <c r="B9" s="398" t="s">
        <v>97</v>
      </c>
      <c r="C9" s="451">
        <v>108924484.53</v>
      </c>
      <c r="D9" s="451"/>
      <c r="E9" s="451">
        <f>C9-D9</f>
        <v>108924484.53</v>
      </c>
    </row>
    <row r="10" spans="1:5">
      <c r="A10" s="450">
        <v>1.2</v>
      </c>
      <c r="B10" s="398" t="s">
        <v>98</v>
      </c>
      <c r="C10" s="451">
        <v>184108026.08000001</v>
      </c>
      <c r="D10" s="451"/>
      <c r="E10" s="451">
        <f t="shared" ref="E10:E36" si="1">C10-D10</f>
        <v>184108026.08000001</v>
      </c>
    </row>
    <row r="11" spans="1:5">
      <c r="A11" s="450">
        <v>1.3</v>
      </c>
      <c r="B11" s="398" t="s">
        <v>99</v>
      </c>
      <c r="C11" s="451">
        <v>94737263.646406531</v>
      </c>
      <c r="D11" s="451"/>
      <c r="E11" s="451">
        <f t="shared" si="1"/>
        <v>94737263.646406531</v>
      </c>
    </row>
    <row r="12" spans="1:5">
      <c r="A12" s="450">
        <v>2</v>
      </c>
      <c r="B12" s="399" t="s">
        <v>726</v>
      </c>
      <c r="C12" s="680">
        <v>566676.57999999996</v>
      </c>
      <c r="D12" s="451"/>
      <c r="E12" s="680">
        <f t="shared" si="1"/>
        <v>566676.57999999996</v>
      </c>
    </row>
    <row r="13" spans="1:5">
      <c r="A13" s="450">
        <v>2.1</v>
      </c>
      <c r="B13" s="400" t="s">
        <v>727</v>
      </c>
      <c r="C13" s="451">
        <v>566676.57999999996</v>
      </c>
      <c r="D13" s="451"/>
      <c r="E13" s="451">
        <f t="shared" si="1"/>
        <v>566676.57999999996</v>
      </c>
    </row>
    <row r="14" spans="1:5" ht="34.049999999999997" customHeight="1">
      <c r="A14" s="450">
        <v>3</v>
      </c>
      <c r="B14" s="401" t="s">
        <v>728</v>
      </c>
      <c r="C14" s="451"/>
      <c r="D14" s="451"/>
      <c r="E14" s="451">
        <f t="shared" si="1"/>
        <v>0</v>
      </c>
    </row>
    <row r="15" spans="1:5" ht="32.549999999999997" customHeight="1">
      <c r="A15" s="450">
        <v>4</v>
      </c>
      <c r="B15" s="402" t="s">
        <v>729</v>
      </c>
      <c r="C15" s="451"/>
      <c r="D15" s="451"/>
      <c r="E15" s="451">
        <f t="shared" si="1"/>
        <v>0</v>
      </c>
    </row>
    <row r="16" spans="1:5" ht="22.95" customHeight="1">
      <c r="A16" s="450">
        <v>5</v>
      </c>
      <c r="B16" s="402" t="s">
        <v>730</v>
      </c>
      <c r="C16" s="680">
        <f>SUM(C17:C19)</f>
        <v>0</v>
      </c>
      <c r="D16" s="451">
        <f t="shared" ref="D16:E16" si="2">SUM(D17:D19)</f>
        <v>0</v>
      </c>
      <c r="E16" s="680">
        <f t="shared" si="2"/>
        <v>0</v>
      </c>
    </row>
    <row r="17" spans="1:5">
      <c r="A17" s="450">
        <v>5.0999999999999996</v>
      </c>
      <c r="B17" s="403" t="s">
        <v>731</v>
      </c>
      <c r="C17" s="451"/>
      <c r="D17" s="451"/>
      <c r="E17" s="451">
        <f t="shared" si="1"/>
        <v>0</v>
      </c>
    </row>
    <row r="18" spans="1:5">
      <c r="A18" s="450">
        <v>5.2</v>
      </c>
      <c r="B18" s="403" t="s">
        <v>566</v>
      </c>
      <c r="C18" s="451"/>
      <c r="D18" s="451"/>
      <c r="E18" s="451">
        <f t="shared" si="1"/>
        <v>0</v>
      </c>
    </row>
    <row r="19" spans="1:5">
      <c r="A19" s="450">
        <v>5.3</v>
      </c>
      <c r="B19" s="403" t="s">
        <v>732</v>
      </c>
      <c r="C19" s="451"/>
      <c r="D19" s="451"/>
      <c r="E19" s="451">
        <f t="shared" si="1"/>
        <v>0</v>
      </c>
    </row>
    <row r="20" spans="1:5" ht="20.399999999999999">
      <c r="A20" s="450">
        <v>6</v>
      </c>
      <c r="B20" s="401" t="s">
        <v>733</v>
      </c>
      <c r="C20" s="680">
        <f>SUM(C21:C22)</f>
        <v>2547406147.7876034</v>
      </c>
      <c r="D20" s="451">
        <f t="shared" ref="D20:E20" si="3">SUM(D21:D22)</f>
        <v>0</v>
      </c>
      <c r="E20" s="680">
        <f t="shared" si="3"/>
        <v>2547406147.7876034</v>
      </c>
    </row>
    <row r="21" spans="1:5">
      <c r="A21" s="450">
        <v>6.1</v>
      </c>
      <c r="B21" s="403" t="s">
        <v>566</v>
      </c>
      <c r="C21" s="452">
        <v>57522454.370000005</v>
      </c>
      <c r="D21" s="452"/>
      <c r="E21" s="451">
        <f t="shared" si="1"/>
        <v>57522454.370000005</v>
      </c>
    </row>
    <row r="22" spans="1:5">
      <c r="A22" s="450">
        <v>6.2</v>
      </c>
      <c r="B22" s="403" t="s">
        <v>732</v>
      </c>
      <c r="C22" s="452">
        <v>2489883693.4176035</v>
      </c>
      <c r="D22" s="452"/>
      <c r="E22" s="451">
        <f t="shared" si="1"/>
        <v>2489883693.4176035</v>
      </c>
    </row>
    <row r="23" spans="1:5" ht="20.399999999999999">
      <c r="A23" s="450">
        <v>7</v>
      </c>
      <c r="B23" s="404" t="s">
        <v>734</v>
      </c>
      <c r="C23" s="453">
        <v>2463673.85</v>
      </c>
      <c r="D23" s="453"/>
      <c r="E23" s="680">
        <f t="shared" si="1"/>
        <v>2463673.85</v>
      </c>
    </row>
    <row r="24" spans="1:5" ht="20.399999999999999">
      <c r="A24" s="450">
        <v>8</v>
      </c>
      <c r="B24" s="405" t="s">
        <v>735</v>
      </c>
      <c r="C24" s="453"/>
      <c r="D24" s="453"/>
      <c r="E24" s="451">
        <f t="shared" si="1"/>
        <v>0</v>
      </c>
    </row>
    <row r="25" spans="1:5">
      <c r="A25" s="450">
        <v>9</v>
      </c>
      <c r="B25" s="402" t="s">
        <v>736</v>
      </c>
      <c r="C25" s="453">
        <f>SUM(C26:C27)</f>
        <v>50821188.330000006</v>
      </c>
      <c r="D25" s="453">
        <f t="shared" ref="D25:E25" si="4">SUM(D26:D27)</f>
        <v>0</v>
      </c>
      <c r="E25" s="681">
        <f t="shared" si="4"/>
        <v>50821188.330000006</v>
      </c>
    </row>
    <row r="26" spans="1:5">
      <c r="A26" s="450">
        <v>9.1</v>
      </c>
      <c r="B26" s="406" t="s">
        <v>737</v>
      </c>
      <c r="C26" s="453">
        <v>50821188.330000006</v>
      </c>
      <c r="D26" s="453"/>
      <c r="E26" s="451">
        <f t="shared" si="1"/>
        <v>50821188.330000006</v>
      </c>
    </row>
    <row r="27" spans="1:5">
      <c r="A27" s="450">
        <v>9.1999999999999993</v>
      </c>
      <c r="B27" s="406" t="s">
        <v>738</v>
      </c>
      <c r="C27" s="453"/>
      <c r="D27" s="453"/>
      <c r="E27" s="451">
        <f t="shared" si="1"/>
        <v>0</v>
      </c>
    </row>
    <row r="28" spans="1:5">
      <c r="A28" s="450">
        <v>10</v>
      </c>
      <c r="B28" s="402" t="s">
        <v>37</v>
      </c>
      <c r="C28" s="453">
        <f>SUM(C29:C30)</f>
        <v>29954496.670000006</v>
      </c>
      <c r="D28" s="453">
        <f t="shared" ref="D28:E28" si="5">SUM(D29:D30)</f>
        <v>29954496.670000006</v>
      </c>
      <c r="E28" s="681">
        <f t="shared" si="5"/>
        <v>0</v>
      </c>
    </row>
    <row r="29" spans="1:5">
      <c r="A29" s="450">
        <v>10.1</v>
      </c>
      <c r="B29" s="406" t="s">
        <v>739</v>
      </c>
      <c r="C29" s="453"/>
      <c r="D29" s="453"/>
      <c r="E29" s="451">
        <f t="shared" si="1"/>
        <v>0</v>
      </c>
    </row>
    <row r="30" spans="1:5">
      <c r="A30" s="450">
        <v>10.199999999999999</v>
      </c>
      <c r="B30" s="406" t="s">
        <v>740</v>
      </c>
      <c r="C30" s="453">
        <v>29954496.670000006</v>
      </c>
      <c r="D30" s="453">
        <v>29954496.670000006</v>
      </c>
      <c r="E30" s="451">
        <f t="shared" si="1"/>
        <v>0</v>
      </c>
    </row>
    <row r="31" spans="1:5">
      <c r="A31" s="450">
        <v>11</v>
      </c>
      <c r="B31" s="402" t="s">
        <v>741</v>
      </c>
      <c r="C31" s="453">
        <f>SUM(C32:C33)</f>
        <v>0</v>
      </c>
      <c r="D31" s="453">
        <f t="shared" ref="D31:E31" si="6">SUM(D32:D33)</f>
        <v>0</v>
      </c>
      <c r="E31" s="681">
        <f t="shared" si="6"/>
        <v>0</v>
      </c>
    </row>
    <row r="32" spans="1:5">
      <c r="A32" s="450">
        <v>11.1</v>
      </c>
      <c r="B32" s="406" t="s">
        <v>742</v>
      </c>
      <c r="C32" s="453"/>
      <c r="D32" s="453"/>
      <c r="E32" s="451">
        <f t="shared" si="1"/>
        <v>0</v>
      </c>
    </row>
    <row r="33" spans="1:7">
      <c r="A33" s="450">
        <v>11.2</v>
      </c>
      <c r="B33" s="406" t="s">
        <v>743</v>
      </c>
      <c r="C33" s="453"/>
      <c r="D33" s="453"/>
      <c r="E33" s="451">
        <f t="shared" si="1"/>
        <v>0</v>
      </c>
    </row>
    <row r="34" spans="1:7">
      <c r="A34" s="450">
        <v>13</v>
      </c>
      <c r="B34" s="402" t="s">
        <v>100</v>
      </c>
      <c r="C34" s="452">
        <v>49991803.88000001</v>
      </c>
      <c r="D34" s="452"/>
      <c r="E34" s="451">
        <f t="shared" si="1"/>
        <v>49991803.88000001</v>
      </c>
    </row>
    <row r="35" spans="1:7">
      <c r="A35" s="450">
        <v>13.1</v>
      </c>
      <c r="B35" s="407" t="s">
        <v>744</v>
      </c>
      <c r="C35" s="452">
        <v>19110000.68</v>
      </c>
      <c r="D35" s="452"/>
      <c r="E35" s="451">
        <f t="shared" si="1"/>
        <v>19110000.68</v>
      </c>
    </row>
    <row r="36" spans="1:7">
      <c r="A36" s="450">
        <v>13.2</v>
      </c>
      <c r="B36" s="407" t="s">
        <v>745</v>
      </c>
      <c r="C36" s="452"/>
      <c r="D36" s="452"/>
      <c r="E36" s="451">
        <f t="shared" si="1"/>
        <v>0</v>
      </c>
    </row>
    <row r="37" spans="1:7" ht="42" thickBot="1">
      <c r="A37" s="242"/>
      <c r="B37" s="243" t="s">
        <v>321</v>
      </c>
      <c r="C37" s="203">
        <f>SUM(C8,C12,C14,C15,C16,C20,C23,C24,C25,C28,C31,C34)</f>
        <v>3068973761.3540101</v>
      </c>
      <c r="D37" s="203">
        <f t="shared" ref="D37:E37" si="7">SUM(D8,D12,D14,D15,D16,D20,D23,D24,D25,D28,D31,D34)</f>
        <v>29954496.670000006</v>
      </c>
      <c r="E37" s="203">
        <f t="shared" si="7"/>
        <v>3039019264.68401</v>
      </c>
    </row>
    <row r="38" spans="1:7">
      <c r="A38"/>
      <c r="B38"/>
      <c r="C38"/>
      <c r="D38"/>
      <c r="E38"/>
    </row>
    <row r="39" spans="1:7">
      <c r="A39"/>
      <c r="B39"/>
      <c r="C39"/>
      <c r="D39"/>
      <c r="E39"/>
    </row>
    <row r="41" spans="1:7" s="1" customFormat="1">
      <c r="B41" s="28"/>
      <c r="F41"/>
      <c r="G41"/>
    </row>
    <row r="42" spans="1:7" s="1" customFormat="1">
      <c r="B42" s="29"/>
      <c r="F42"/>
      <c r="G42"/>
    </row>
    <row r="43" spans="1:7" s="1" customFormat="1">
      <c r="B43" s="28"/>
      <c r="F43"/>
      <c r="G43"/>
    </row>
    <row r="44" spans="1:7" s="1" customFormat="1">
      <c r="B44" s="28"/>
      <c r="F44"/>
      <c r="G44"/>
    </row>
    <row r="45" spans="1:7" s="1" customFormat="1">
      <c r="B45" s="28"/>
      <c r="F45"/>
      <c r="G45"/>
    </row>
    <row r="46" spans="1:7" s="1" customFormat="1">
      <c r="B46" s="28"/>
      <c r="F46"/>
      <c r="G46"/>
    </row>
    <row r="47" spans="1:7" s="1" customFormat="1">
      <c r="B47" s="28"/>
      <c r="F47"/>
      <c r="G47"/>
    </row>
    <row r="48" spans="1:7"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15" sqref="B15"/>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2" t="s">
        <v>109</v>
      </c>
      <c r="B1" s="11" t="str">
        <f>Info!C2</f>
        <v>კრედო</v>
      </c>
    </row>
    <row r="2" spans="1:6" s="12" customFormat="1" ht="15.75" customHeight="1">
      <c r="A2" s="12" t="s">
        <v>110</v>
      </c>
      <c r="B2" s="335">
        <f>'1. key ratios'!B2</f>
        <v>45657</v>
      </c>
      <c r="C2"/>
      <c r="D2"/>
      <c r="E2"/>
      <c r="F2"/>
    </row>
    <row r="3" spans="1:6" s="12" customFormat="1" ht="15.75" customHeight="1">
      <c r="C3"/>
      <c r="D3"/>
      <c r="E3"/>
      <c r="F3"/>
    </row>
    <row r="4" spans="1:6" s="12" customFormat="1" ht="28.2" thickBot="1">
      <c r="A4" s="12" t="s">
        <v>257</v>
      </c>
      <c r="B4" s="130" t="s">
        <v>172</v>
      </c>
      <c r="C4" s="124" t="s">
        <v>88</v>
      </c>
      <c r="D4"/>
      <c r="E4"/>
      <c r="F4"/>
    </row>
    <row r="5" spans="1:6">
      <c r="A5" s="125">
        <v>1</v>
      </c>
      <c r="B5" s="126" t="s">
        <v>723</v>
      </c>
      <c r="C5" s="165">
        <f>'7. LI1'!E37</f>
        <v>3039019264.68401</v>
      </c>
    </row>
    <row r="6" spans="1:6">
      <c r="A6" s="70">
        <v>2.1</v>
      </c>
      <c r="B6" s="132" t="s">
        <v>857</v>
      </c>
      <c r="C6" s="166">
        <f>178305901.8-494655</f>
        <v>177811246.80000001</v>
      </c>
    </row>
    <row r="7" spans="1:6" s="2" customFormat="1" ht="27.6" outlineLevel="1">
      <c r="A7" s="131">
        <v>2.2000000000000002</v>
      </c>
      <c r="B7" s="127" t="s">
        <v>858</v>
      </c>
      <c r="C7" s="167">
        <v>269556228</v>
      </c>
    </row>
    <row r="8" spans="1:6" s="2" customFormat="1" ht="27.6">
      <c r="A8" s="131">
        <v>3</v>
      </c>
      <c r="B8" s="128" t="s">
        <v>724</v>
      </c>
      <c r="C8" s="168">
        <f>SUM(C5:C7)</f>
        <v>3486386739.4840102</v>
      </c>
    </row>
    <row r="9" spans="1:6">
      <c r="A9" s="70">
        <v>4</v>
      </c>
      <c r="B9" s="135" t="s">
        <v>170</v>
      </c>
      <c r="C9" s="166"/>
    </row>
    <row r="10" spans="1:6" s="2" customFormat="1" ht="27.6" outlineLevel="1">
      <c r="A10" s="131">
        <v>5.0999999999999996</v>
      </c>
      <c r="B10" s="127" t="s">
        <v>176</v>
      </c>
      <c r="C10" s="167">
        <v>-120838402.00000001</v>
      </c>
    </row>
    <row r="11" spans="1:6" s="2" customFormat="1" ht="27.6" outlineLevel="1">
      <c r="A11" s="131">
        <v>5.2</v>
      </c>
      <c r="B11" s="127" t="s">
        <v>177</v>
      </c>
      <c r="C11" s="167">
        <v>-264165103.44</v>
      </c>
    </row>
    <row r="12" spans="1:6" s="2" customFormat="1">
      <c r="A12" s="131">
        <v>6</v>
      </c>
      <c r="B12" s="133" t="s">
        <v>437</v>
      </c>
      <c r="C12" s="167"/>
    </row>
    <row r="13" spans="1:6" s="2" customFormat="1" ht="15" thickBot="1">
      <c r="A13" s="134">
        <v>7</v>
      </c>
      <c r="B13" s="129" t="s">
        <v>171</v>
      </c>
      <c r="C13" s="169">
        <f>SUM(C8:C12)</f>
        <v>3101383234.0440102</v>
      </c>
    </row>
    <row r="15" spans="1:6">
      <c r="B15" s="16"/>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zemV7moDEOjd1L5k/8ls2fn8A85gLkqmt/HbdyJlN1I=</DigestValue>
    </Reference>
    <Reference Type="http://www.w3.org/2000/09/xmldsig#Object" URI="#idOfficeObject">
      <DigestMethod Algorithm="http://www.w3.org/2001/04/xmlenc#sha256"/>
      <DigestValue>wVLkf/oxyQGHZYDa6bsG8uFiXDJhU0DnmR1C56gpQPM=</DigestValue>
    </Reference>
    <Reference Type="http://uri.etsi.org/01903#SignedProperties" URI="#idSignedProperties">
      <Transforms>
        <Transform Algorithm="http://www.w3.org/TR/2001/REC-xml-c14n-20010315"/>
      </Transforms>
      <DigestMethod Algorithm="http://www.w3.org/2001/04/xmlenc#sha256"/>
      <DigestValue>oS9iZkpNE3wCkAXtnr592qIJCRKvVuOHCGmMBTgPdkE=</DigestValue>
    </Reference>
  </SignedInfo>
  <SignatureValue>MQI1OS/pUTxFm8O6QypY8H28M3zK0aswaNnP3/Y9xtBYd3vkpkFla+ZF9PKiw5QqL2HIpevPMJhn
MJ6DzLFnwEbLsb+UBX5GqeNR1jIskqqmjtRyNlO1SA1Gba8Bt+dEntOwEiWdidGRg15HJVXp4v+y
5090GFc9unaKmKr29dTYY59ZX3et/9QgpRSkk3sBveCV9SNaTgoIH7Jq+0S5Q2hekJ5Z4WHbSaXu
MV7qCNJK5u0CT/IoUW9kI8MXrDRIzdKfGY2r4IQAA8mqlPHO3HcXVibJbjJ4esN0BHNp9ydejWd1
SQHigQ0yubkzrf+kq4iza9tZZaB91gDvrQm+GA==</SignatureValue>
  <KeyInfo>
    <X509Data>
      <X509Certificate>MIIGRDCCBSygAwIBAgIKKy7S3QADAAI3djANBgkqhkiG9w0BAQsFADBKMRIwEAYKCZImiZPyLGQBGRYCZ2UxEzARBgoJkiaJk/IsZAEZFgNuYmcxHzAdBgNVBAMTFk5CRyBDbGFzcyAyIElOVCBTdWIgQ0EwHhcNMjMwNjE2MDgwNTQ3WhcNMjUwNjE1MDgwNTQ3WjBCMRcwFQYDVQQKEw5KU0MgQ3JlZG8gQmFuazEnMCUGA1UEAxMeQkNEIC0gS29uc3RhbnRpbmUgR2hhbWJhc2hpZHplMIIBIjANBgkqhkiG9w0BAQEFAAOCAQ8AMIIBCgKCAQEA6ySQjPOg9/Hc3sXzEa+Xn08LVLkXyQ8+37IBPE5kJfn0YFTtHGxqxbzj/MZwdyV31c9SCE/kHVWpIRT7MF0kGbgoZNF0pTNYcmhOQU03ebGJ9yyDds8HgYVzoM7e2S8NSNyq2JPsKpyb72FyjHKD7VVBrUJM3WCsC2chjipvYizU9gMwxNzTPz9kT7zn4LuM6TSyrYSYB/oD+ooh0MKP7EE/4oJWz5UoVrmMbZIJc+R7MyabgDD53h7Tzpn+7SI4e65TwEBB/5zDmtuTNW/Inp7OPsoFD05atAPJFkdN1NEF7jfoNAa84UF2kOd5uU46gostlnPN/sqTyaWIX9as3QIDAQABo4IDMjCCAy4wPAYJKwYBBAGCNxUHBC8wLQYlKwYBBAGCNxUI5rJgg431RIaBmQmDuKFKg76EcQSDxJEzhIOIXQIBZAIBIzAdBgNVHSUEFjAUBggrBgEFBQcDAgYIKwYBBQUHAwQwCwYDVR0PBAQDAgeAMCcGCSsGAQQBgjcVCgQaMBgwCgYIKwYBBQUHAwIwCgYIKwYBBQUHAwQwHQYDVR0OBBYEFL/irtUv844KPAED+zVmPWx7bSH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qwWQesdOFPXG0FBpAJfwknFIxKrgyTWXse6yDOtyHX7S7PR7ukyysbO8MMscJiumA7ImwDZ0iOddUffSQFEgiqB04NvklRhElfN4KM+QbucgqDCL2ydHQtO+S6gH5nck01KkQIrRwcy+yItrvImdGaMquD+gMcdarX2zqxHpYfotlfPCbtDyS+cUKBNqU77U5O1stwjKZ41NDwBROc+//hfDWTWI+B+0zXlr2ikHaRmIBXIQhvlmG+YbEB7SIz/EacBWA0HKlm6HeEhqaiZxn3bR1knRZ3FxSqZpOGf/TZp3ZU9PNDDdIpBDgBqDHDHRHFxigo9bMuUIJ4nTSKmA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s0k7k0zd8qAJcwFjwJVZgfYkiMghqpKwHHm2MOe7xrw=</DigestValue>
      </Reference>
      <Reference URI="/xl/calcChain.xml?ContentType=application/vnd.openxmlformats-officedocument.spreadsheetml.calcChain+xml">
        <DigestMethod Algorithm="http://www.w3.org/2001/04/xmlenc#sha256"/>
        <DigestValue>0o6CRoKSgRWRzVJ3MlrQXpLtR4GhBlasEd03n1wZANw=</DigestValue>
      </Reference>
      <Reference URI="/xl/drawings/drawing1.xml?ContentType=application/vnd.openxmlformats-officedocument.drawing+xml">
        <DigestMethod Algorithm="http://www.w3.org/2001/04/xmlenc#sha256"/>
        <DigestValue>R1LJm+AhlNP5akpTq67x0rdMG+aWVkGYuvUF1YgTbNw=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ze+MZOtihPj9dKeV/Dz5QESpeY6Fdwmnkxhrh69STxA=</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TCPV3L+9vZ0YjILBZb92K/qz3toWJgPDzRh633jeM1s=</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RUJZ4yNNw1cy9ZT5FTUcniasu++/pcHLsRC3+UWiXyk=</DigestValue>
      </Reference>
      <Reference URI="/xl/styles.xml?ContentType=application/vnd.openxmlformats-officedocument.spreadsheetml.styles+xml">
        <DigestMethod Algorithm="http://www.w3.org/2001/04/xmlenc#sha256"/>
        <DigestValue>qN/euCPL7ZKKq7yi7TowxTFp8a/acJE6gBwQdPMorIc=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nhi1VUyyehfXWL5VXSfph3e0YvSN1Oy+ZyARUxLNjIk=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XvmSDsOmYM3kFJXG22edW/dIO9tDg7MJ5yNhu90kKk4=</DigestValue>
      </Reference>
      <Reference URI="/xl/worksheets/sheet10.xml?ContentType=application/vnd.openxmlformats-officedocument.spreadsheetml.worksheet+xml">
        <DigestMethod Algorithm="http://www.w3.org/2001/04/xmlenc#sha256"/>
        <DigestValue>Ohj0H/ZVc1deZggXFQhH4l12HiPVhkQFzzKE0IWtG+Q=</DigestValue>
      </Reference>
      <Reference URI="/xl/worksheets/sheet11.xml?ContentType=application/vnd.openxmlformats-officedocument.spreadsheetml.worksheet+xml">
        <DigestMethod Algorithm="http://www.w3.org/2001/04/xmlenc#sha256"/>
        <DigestValue>uyr4okyMduDdLOmOOhydtv4antkjJEVrnhxSPMbbNEU=</DigestValue>
      </Reference>
      <Reference URI="/xl/worksheets/sheet12.xml?ContentType=application/vnd.openxmlformats-officedocument.spreadsheetml.worksheet+xml">
        <DigestMethod Algorithm="http://www.w3.org/2001/04/xmlenc#sha256"/>
        <DigestValue>NYCTBfxFK6fsGZkOPuPT2vTb/GE31hSY1Ne8HnuWPRI=</DigestValue>
      </Reference>
      <Reference URI="/xl/worksheets/sheet13.xml?ContentType=application/vnd.openxmlformats-officedocument.spreadsheetml.worksheet+xml">
        <DigestMethod Algorithm="http://www.w3.org/2001/04/xmlenc#sha256"/>
        <DigestValue>olCfs9wAbwo0zLmTBisiyl33FlBOxecR/q9lowuPFd0=</DigestValue>
      </Reference>
      <Reference URI="/xl/worksheets/sheet14.xml?ContentType=application/vnd.openxmlformats-officedocument.spreadsheetml.worksheet+xml">
        <DigestMethod Algorithm="http://www.w3.org/2001/04/xmlenc#sha256"/>
        <DigestValue>4B4WUE6xNXFd74PexfRvMMranJ+LQIPJyydBuWlqZQ4=</DigestValue>
      </Reference>
      <Reference URI="/xl/worksheets/sheet15.xml?ContentType=application/vnd.openxmlformats-officedocument.spreadsheetml.worksheet+xml">
        <DigestMethod Algorithm="http://www.w3.org/2001/04/xmlenc#sha256"/>
        <DigestValue>WMHB1LpsarnjSso1+z6G67VOoxf5w86xWnwoF5RMNEQ=</DigestValue>
      </Reference>
      <Reference URI="/xl/worksheets/sheet16.xml?ContentType=application/vnd.openxmlformats-officedocument.spreadsheetml.worksheet+xml">
        <DigestMethod Algorithm="http://www.w3.org/2001/04/xmlenc#sha256"/>
        <DigestValue>SVoVEQAcbYiUTlwgy9cfMf2yHsC7Z9UAjtCZE37hZKQ=</DigestValue>
      </Reference>
      <Reference URI="/xl/worksheets/sheet17.xml?ContentType=application/vnd.openxmlformats-officedocument.spreadsheetml.worksheet+xml">
        <DigestMethod Algorithm="http://www.w3.org/2001/04/xmlenc#sha256"/>
        <DigestValue>+vFdlAsfeQ+1qzzGH9IQkodKCUQdyfBb9wIwrz9W/YI=</DigestValue>
      </Reference>
      <Reference URI="/xl/worksheets/sheet18.xml?ContentType=application/vnd.openxmlformats-officedocument.spreadsheetml.worksheet+xml">
        <DigestMethod Algorithm="http://www.w3.org/2001/04/xmlenc#sha256"/>
        <DigestValue>TkLRGxQ8UJdnL70QMg9u7Agk+GDAj78pi76kghq03t8=</DigestValue>
      </Reference>
      <Reference URI="/xl/worksheets/sheet19.xml?ContentType=application/vnd.openxmlformats-officedocument.spreadsheetml.worksheet+xml">
        <DigestMethod Algorithm="http://www.w3.org/2001/04/xmlenc#sha256"/>
        <DigestValue>SBbjC9O6TsFPAuwFc4n3kC+JIPpS0JhwznUWLXUPF/U=</DigestValue>
      </Reference>
      <Reference URI="/xl/worksheets/sheet2.xml?ContentType=application/vnd.openxmlformats-officedocument.spreadsheetml.worksheet+xml">
        <DigestMethod Algorithm="http://www.w3.org/2001/04/xmlenc#sha256"/>
        <DigestValue>ELfKUCxyHb1UtJ1umV57tBCPnWdjxIh3BZ+JLUzTCcQ=</DigestValue>
      </Reference>
      <Reference URI="/xl/worksheets/sheet20.xml?ContentType=application/vnd.openxmlformats-officedocument.spreadsheetml.worksheet+xml">
        <DigestMethod Algorithm="http://www.w3.org/2001/04/xmlenc#sha256"/>
        <DigestValue>S83DqItnKHiBqcibQ0jSLPfPPm2j4qvmYSQIOHvVkpI=</DigestValue>
      </Reference>
      <Reference URI="/xl/worksheets/sheet21.xml?ContentType=application/vnd.openxmlformats-officedocument.spreadsheetml.worksheet+xml">
        <DigestMethod Algorithm="http://www.w3.org/2001/04/xmlenc#sha256"/>
        <DigestValue>iN0A/AvXOoxjH50McfCLtAmm/Kw+vKhBkZO6Fv8nnMg=</DigestValue>
      </Reference>
      <Reference URI="/xl/worksheets/sheet22.xml?ContentType=application/vnd.openxmlformats-officedocument.spreadsheetml.worksheet+xml">
        <DigestMethod Algorithm="http://www.w3.org/2001/04/xmlenc#sha256"/>
        <DigestValue>+OOtEgEMuM9Z/PGuz3q3nhYy0/HhIse6YCMPNYdOmSw=</DigestValue>
      </Reference>
      <Reference URI="/xl/worksheets/sheet23.xml?ContentType=application/vnd.openxmlformats-officedocument.spreadsheetml.worksheet+xml">
        <DigestMethod Algorithm="http://www.w3.org/2001/04/xmlenc#sha256"/>
        <DigestValue>H5Q05OnPnvmf/Ky76C0OyRzP50tNjT+opkRjzMFtOXs=</DigestValue>
      </Reference>
      <Reference URI="/xl/worksheets/sheet24.xml?ContentType=application/vnd.openxmlformats-officedocument.spreadsheetml.worksheet+xml">
        <DigestMethod Algorithm="http://www.w3.org/2001/04/xmlenc#sha256"/>
        <DigestValue>2ysbHoYqNmAdCudMdtjZ7IZ0W6Behn/gRtlZX+8GG1Q=</DigestValue>
      </Reference>
      <Reference URI="/xl/worksheets/sheet25.xml?ContentType=application/vnd.openxmlformats-officedocument.spreadsheetml.worksheet+xml">
        <DigestMethod Algorithm="http://www.w3.org/2001/04/xmlenc#sha256"/>
        <DigestValue>2Ry2QlNfqMaiIwhyhppRXP5Uy53AsM57an89iSIMl4k=</DigestValue>
      </Reference>
      <Reference URI="/xl/worksheets/sheet26.xml?ContentType=application/vnd.openxmlformats-officedocument.spreadsheetml.worksheet+xml">
        <DigestMethod Algorithm="http://www.w3.org/2001/04/xmlenc#sha256"/>
        <DigestValue>xoe/vgCF1brT8gwpfyMGtVzbnEAZpfLvyWNudAszynw=</DigestValue>
      </Reference>
      <Reference URI="/xl/worksheets/sheet27.xml?ContentType=application/vnd.openxmlformats-officedocument.spreadsheetml.worksheet+xml">
        <DigestMethod Algorithm="http://www.w3.org/2001/04/xmlenc#sha256"/>
        <DigestValue>6YZBzM98ZUwk2BETI7RZtPKEqWx5JGTaOafX4Dtqx4c=</DigestValue>
      </Reference>
      <Reference URI="/xl/worksheets/sheet28.xml?ContentType=application/vnd.openxmlformats-officedocument.spreadsheetml.worksheet+xml">
        <DigestMethod Algorithm="http://www.w3.org/2001/04/xmlenc#sha256"/>
        <DigestValue>jIa+upqpttErWaGpXD2nqrGaNu/8VxX9SNbzhQqZtmc=</DigestValue>
      </Reference>
      <Reference URI="/xl/worksheets/sheet29.xml?ContentType=application/vnd.openxmlformats-officedocument.spreadsheetml.worksheet+xml">
        <DigestMethod Algorithm="http://www.w3.org/2001/04/xmlenc#sha256"/>
        <DigestValue>MHw0ajUu7jwj2oTpdI38tHlqhriYJUdVaknZOzx32x8=</DigestValue>
      </Reference>
      <Reference URI="/xl/worksheets/sheet3.xml?ContentType=application/vnd.openxmlformats-officedocument.spreadsheetml.worksheet+xml">
        <DigestMethod Algorithm="http://www.w3.org/2001/04/xmlenc#sha256"/>
        <DigestValue>MS1cWcI+hZp1GW0m+AfEXRVSVVhtxL1suyWleoBgirs=</DigestValue>
      </Reference>
      <Reference URI="/xl/worksheets/sheet30.xml?ContentType=application/vnd.openxmlformats-officedocument.spreadsheetml.worksheet+xml">
        <DigestMethod Algorithm="http://www.w3.org/2001/04/xmlenc#sha256"/>
        <DigestValue>09hryqWReSb99Lde1GEPRhV7dW172IRGjG7/EgtKU0M=</DigestValue>
      </Reference>
      <Reference URI="/xl/worksheets/sheet31.xml?ContentType=application/vnd.openxmlformats-officedocument.spreadsheetml.worksheet+xml">
        <DigestMethod Algorithm="http://www.w3.org/2001/04/xmlenc#sha256"/>
        <DigestValue>BmtPlpXzBMlWA8OqH976vQpnQRk8Lu/WWdKauMAOqV4=</DigestValue>
      </Reference>
      <Reference URI="/xl/worksheets/sheet32.xml?ContentType=application/vnd.openxmlformats-officedocument.spreadsheetml.worksheet+xml">
        <DigestMethod Algorithm="http://www.w3.org/2001/04/xmlenc#sha256"/>
        <DigestValue>aESHPNvZd2cZCO1MigVBIZmFZ/+lfxzt9a7Rnj6/+mY=</DigestValue>
      </Reference>
      <Reference URI="/xl/worksheets/sheet4.xml?ContentType=application/vnd.openxmlformats-officedocument.spreadsheetml.worksheet+xml">
        <DigestMethod Algorithm="http://www.w3.org/2001/04/xmlenc#sha256"/>
        <DigestValue>HGMK1NEN68d2WYoUtW5lFb0KZ94Yz2Jw4lA82GKFGeM=</DigestValue>
      </Reference>
      <Reference URI="/xl/worksheets/sheet5.xml?ContentType=application/vnd.openxmlformats-officedocument.spreadsheetml.worksheet+xml">
        <DigestMethod Algorithm="http://www.w3.org/2001/04/xmlenc#sha256"/>
        <DigestValue>ZP4r27S8kZvCFYp0cYoanFD7+q95WxylBx3vB0qZrrQ=</DigestValue>
      </Reference>
      <Reference URI="/xl/worksheets/sheet6.xml?ContentType=application/vnd.openxmlformats-officedocument.spreadsheetml.worksheet+xml">
        <DigestMethod Algorithm="http://www.w3.org/2001/04/xmlenc#sha256"/>
        <DigestValue>JhDi3bxKg2bZSctYW9f0kGO5tRbLGfJkxqODsqskSIk=</DigestValue>
      </Reference>
      <Reference URI="/xl/worksheets/sheet7.xml?ContentType=application/vnd.openxmlformats-officedocument.spreadsheetml.worksheet+xml">
        <DigestMethod Algorithm="http://www.w3.org/2001/04/xmlenc#sha256"/>
        <DigestValue>aJh9GPsh++MDPp9NVqsZyjtJTIgEorDEx4826K88Ncw=</DigestValue>
      </Reference>
      <Reference URI="/xl/worksheets/sheet8.xml?ContentType=application/vnd.openxmlformats-officedocument.spreadsheetml.worksheet+xml">
        <DigestMethod Algorithm="http://www.w3.org/2001/04/xmlenc#sha256"/>
        <DigestValue>t8IRn1CO4RUxmwEoRMR4HLtliEGzeF6iaQUH/YwmfiA=</DigestValue>
      </Reference>
      <Reference URI="/xl/worksheets/sheet9.xml?ContentType=application/vnd.openxmlformats-officedocument.spreadsheetml.worksheet+xml">
        <DigestMethod Algorithm="http://www.w3.org/2001/04/xmlenc#sha256"/>
        <DigestValue>wjV590HMtMZ4Eu9uyWB6rdBdniYXsKjfE713ZYqck34=</DigestValue>
      </Reference>
    </Manifest>
    <SignatureProperties>
      <SignatureProperty Id="idSignatureTime" Target="#idPackageSignature">
        <mdssi:SignatureTime xmlns:mdssi="http://schemas.openxmlformats.org/package/2006/digital-signature">
          <mdssi:Format>YYYY-MM-DDThh:mm:ssTZD</mdssi:Format>
          <mdssi:Value>2025-04-29T08:49:04Z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2025-04-29T08:49:04Z</xd:SigningTime>
          <xd:SigningCertificate>
            <xd:Cert>
              <xd:CertDigest>
                <DigestMethod Algorithm="http://www.w3.org/2001/04/xmlenc#sha256"/>
                <DigestValue>1hSUnl0NOjl6jE3hV5+Dc2J11ZVMOhetdT0CqbpWONA=</DigestValue>
              </xd:CertDigest>
              <xd:IssuerSerial>
                <X509IssuerName>CN=NBG Class 2 INT Sub CA, DC=nbg, DC=ge</X509IssuerName>
                <X509SerialNumber>203925503291516086531958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atoZnFGbyWfzsPkHk3xW0Hse27p+XeUUWFLYHiWDQWo=</DigestValue>
    </Reference>
    <Reference Type="http://www.w3.org/2000/09/xmldsig#Object" URI="#idOfficeObject">
      <DigestMethod Algorithm="http://www.w3.org/2001/04/xmlenc#sha256"/>
      <DigestValue>H1kkXv+Yfv+5NAlBYYo6jDMCpgI0h4mQHhMJovkp+mE=</DigestValue>
    </Reference>
    <Reference Type="http://uri.etsi.org/01903#SignedProperties" URI="#idSignedProperties">
      <Transforms>
        <Transform Algorithm="http://www.w3.org/TR/2001/REC-xml-c14n-20010315"/>
      </Transforms>
      <DigestMethod Algorithm="http://www.w3.org/2001/04/xmlenc#sha256"/>
      <DigestValue>ZsXhDBDRXmHQh6HFfqHM6P/LW+zewbNsjAHeOBlph9s=</DigestValue>
    </Reference>
  </SignedInfo>
  <SignatureValue>t0O7wmFeTSphtmK5juQvYpKuhTDj+CsKOukJLU+Lj4aLDOUc3tocnCXxelc1HM31sR4U2Hc8jmnP
BaSfcW9Tmslc5rvAr0EXclIaAXi7ehCX4OIiWqJ6JHbvKkNFArZ24t+Kn2s9ZW8xUmDg5Tz/kDAb
DLS069cZMUsV7uOQ5ZHB8oZE6v1KjGxo2iItYIUyNIxg2S3xHUWBCYxiLa9buMb1cZ0h8GQL9jV/
wnq4rTjbwOL2FeY5JITgzn9BM9gpc43llnADeOVB654OZUWLIKwWww81zc72ZuOT1f7g9mTv2ogZ
py0XfsdCZxdDV1nw2LcxKd7wb7F/bLBFiTws0g==</SignatureValue>
  <KeyInfo>
    <X509Data>
      <X509Certificate>MIIGPjCCBSagAwIBAgIKHZPGBwADAAI4wTANBgkqhkiG9w0BAQsFADBKMRIwEAYKCZImiZPyLGQBGRYCZ2UxEzARBgoJkiaJk/IsZAEZFgNuYmcxHzAdBgNVBAMTFk5CRyBDbGFzcyAyIElOVCBTdWIgQ0EwHhcNMjMwNzA1MTAzOTU0WhcNMjUwNzA0MTAzOTU0WjA8MRcwFQYDVQQKEw5KU0MgQ3JlZG8gQmFuazEhMB8GA1UEAxMYQkNEIC0gRXJla2xlIFphdGlhc2h2aWxpMIIBIjANBgkqhkiG9w0BAQEFAAOCAQ8AMIIBCgKCAQEA7bW9DMX0iR7EsqQh8o9bvXr+aEeGQUtJMsEIJWF0lP9zeqiRwv2angsCuy2ME7xPbjJFDEVTITO6/38aRqyaSOb1TdfSqzLgahOa3jgsXhSQlHozTrmWwmzHCWTSuIUol71hGTNGa9T7ejbvDVtgwlMpcDA0NZsi4qZ/oHdiJOTfZ7oz3oHxZABAXYTJZ0ZZ2BXUI+4Kc5f+kJzK+9UhM9Tsy2ooqi+QK4wlHw67pyARFbRd3XV8/i9T/MyANYm0QM0a+t3RH9wRS1bLeBRBA8NoHiX9bap7unfJp6ZliqliavAW94bzNLN4cQ+00HdVArGg/oGjWf7lCY9387WtJwIDAQABo4IDMjCCAy4wPAYJKwYBBAGCNxUHBC8wLQYlKwYBBAGCNxUI5rJgg431RIaBmQmDuKFKg76EcQSDxJEzhIOIXQIBZAIBIzAdBgNVHSUEFjAUBggrBgEFBQcDAgYIKwYBBQUHAwQwCwYDVR0PBAQDAgeAMCcGCSsGAQQBgjcVCgQaMBgwCgYIKwYBBQUHAwIwCgYIKwYBBQUHAwQwHQYDVR0OBBYEFHSZPQMxSyXM6nGWbGTe4BJpWb+j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dPUuhza/HiypApCKI1cfD7a+gExMdmv2a/4NS0lQi07qAlHGcXd5Y76MGOj4UCe98Ge9/hFoe0V9jgaGOdv/1Y5F88jdCaQLVcVhFlCk7lfBcQCmjTg7DDv9CjuQyhhG4pmLtm8EiJSuxpR9d+TnsgIvrQOEjpvJi3rRMl4IQ4HZJD5+Od0sZGMmLX7BhZN0WgpFwpmwIoUV1o2+ohcN5CMeYTmxPyi8jkfuyEetSHJdfyVVo5h3lz69+9q0OVz5AO2ztYi0cLnZDX11jHoJVHyTqkMtcMTeSmEZsLH/Xm0AsZSeo9JYf/bZcWaRf16/Qj7SiAd3Ozw2H1QwDtGk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s0k7k0zd8qAJcwFjwJVZgfYkiMghqpKwHHm2MOe7xrw=</DigestValue>
      </Reference>
      <Reference URI="/xl/calcChain.xml?ContentType=application/vnd.openxmlformats-officedocument.spreadsheetml.calcChain+xml">
        <DigestMethod Algorithm="http://www.w3.org/2001/04/xmlenc#sha256"/>
        <DigestValue>0o6CRoKSgRWRzVJ3MlrQXpLtR4GhBlasEd03n1wZANw=</DigestValue>
      </Reference>
      <Reference URI="/xl/drawings/drawing1.xml?ContentType=application/vnd.openxmlformats-officedocument.drawing+xml">
        <DigestMethod Algorithm="http://www.w3.org/2001/04/xmlenc#sha256"/>
        <DigestValue>R1LJm+AhlNP5akpTq67x0rdMG+aWVkGYuvUF1YgTbNw=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ze+MZOtihPj9dKeV/Dz5QESpeY6Fdwmnkxhrh69STxA=</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TCPV3L+9vZ0YjILBZb92K/qz3toWJgPDzRh633jeM1s=</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RUJZ4yNNw1cy9ZT5FTUcniasu++/pcHLsRC3+UWiXyk=</DigestValue>
      </Reference>
      <Reference URI="/xl/styles.xml?ContentType=application/vnd.openxmlformats-officedocument.spreadsheetml.styles+xml">
        <DigestMethod Algorithm="http://www.w3.org/2001/04/xmlenc#sha256"/>
        <DigestValue>qN/euCPL7ZKKq7yi7TowxTFp8a/acJE6gBwQdPMorIc=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nhi1VUyyehfXWL5VXSfph3e0YvSN1Oy+ZyARUxLNjIk=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XvmSDsOmYM3kFJXG22edW/dIO9tDg7MJ5yNhu90kKk4=</DigestValue>
      </Reference>
      <Reference URI="/xl/worksheets/sheet10.xml?ContentType=application/vnd.openxmlformats-officedocument.spreadsheetml.worksheet+xml">
        <DigestMethod Algorithm="http://www.w3.org/2001/04/xmlenc#sha256"/>
        <DigestValue>Ohj0H/ZVc1deZggXFQhH4l12HiPVhkQFzzKE0IWtG+Q=</DigestValue>
      </Reference>
      <Reference URI="/xl/worksheets/sheet11.xml?ContentType=application/vnd.openxmlformats-officedocument.spreadsheetml.worksheet+xml">
        <DigestMethod Algorithm="http://www.w3.org/2001/04/xmlenc#sha256"/>
        <DigestValue>uyr4okyMduDdLOmOOhydtv4antkjJEVrnhxSPMbbNEU=</DigestValue>
      </Reference>
      <Reference URI="/xl/worksheets/sheet12.xml?ContentType=application/vnd.openxmlformats-officedocument.spreadsheetml.worksheet+xml">
        <DigestMethod Algorithm="http://www.w3.org/2001/04/xmlenc#sha256"/>
        <DigestValue>NYCTBfxFK6fsGZkOPuPT2vTb/GE31hSY1Ne8HnuWPRI=</DigestValue>
      </Reference>
      <Reference URI="/xl/worksheets/sheet13.xml?ContentType=application/vnd.openxmlformats-officedocument.spreadsheetml.worksheet+xml">
        <DigestMethod Algorithm="http://www.w3.org/2001/04/xmlenc#sha256"/>
        <DigestValue>olCfs9wAbwo0zLmTBisiyl33FlBOxecR/q9lowuPFd0=</DigestValue>
      </Reference>
      <Reference URI="/xl/worksheets/sheet14.xml?ContentType=application/vnd.openxmlformats-officedocument.spreadsheetml.worksheet+xml">
        <DigestMethod Algorithm="http://www.w3.org/2001/04/xmlenc#sha256"/>
        <DigestValue>4B4WUE6xNXFd74PexfRvMMranJ+LQIPJyydBuWlqZQ4=</DigestValue>
      </Reference>
      <Reference URI="/xl/worksheets/sheet15.xml?ContentType=application/vnd.openxmlformats-officedocument.spreadsheetml.worksheet+xml">
        <DigestMethod Algorithm="http://www.w3.org/2001/04/xmlenc#sha256"/>
        <DigestValue>WMHB1LpsarnjSso1+z6G67VOoxf5w86xWnwoF5RMNEQ=</DigestValue>
      </Reference>
      <Reference URI="/xl/worksheets/sheet16.xml?ContentType=application/vnd.openxmlformats-officedocument.spreadsheetml.worksheet+xml">
        <DigestMethod Algorithm="http://www.w3.org/2001/04/xmlenc#sha256"/>
        <DigestValue>SVoVEQAcbYiUTlwgy9cfMf2yHsC7Z9UAjtCZE37hZKQ=</DigestValue>
      </Reference>
      <Reference URI="/xl/worksheets/sheet17.xml?ContentType=application/vnd.openxmlformats-officedocument.spreadsheetml.worksheet+xml">
        <DigestMethod Algorithm="http://www.w3.org/2001/04/xmlenc#sha256"/>
        <DigestValue>+vFdlAsfeQ+1qzzGH9IQkodKCUQdyfBb9wIwrz9W/YI=</DigestValue>
      </Reference>
      <Reference URI="/xl/worksheets/sheet18.xml?ContentType=application/vnd.openxmlformats-officedocument.spreadsheetml.worksheet+xml">
        <DigestMethod Algorithm="http://www.w3.org/2001/04/xmlenc#sha256"/>
        <DigestValue>TkLRGxQ8UJdnL70QMg9u7Agk+GDAj78pi76kghq03t8=</DigestValue>
      </Reference>
      <Reference URI="/xl/worksheets/sheet19.xml?ContentType=application/vnd.openxmlformats-officedocument.spreadsheetml.worksheet+xml">
        <DigestMethod Algorithm="http://www.w3.org/2001/04/xmlenc#sha256"/>
        <DigestValue>SBbjC9O6TsFPAuwFc4n3kC+JIPpS0JhwznUWLXUPF/U=</DigestValue>
      </Reference>
      <Reference URI="/xl/worksheets/sheet2.xml?ContentType=application/vnd.openxmlformats-officedocument.spreadsheetml.worksheet+xml">
        <DigestMethod Algorithm="http://www.w3.org/2001/04/xmlenc#sha256"/>
        <DigestValue>ELfKUCxyHb1UtJ1umV57tBCPnWdjxIh3BZ+JLUzTCcQ=</DigestValue>
      </Reference>
      <Reference URI="/xl/worksheets/sheet20.xml?ContentType=application/vnd.openxmlformats-officedocument.spreadsheetml.worksheet+xml">
        <DigestMethod Algorithm="http://www.w3.org/2001/04/xmlenc#sha256"/>
        <DigestValue>S83DqItnKHiBqcibQ0jSLPfPPm2j4qvmYSQIOHvVkpI=</DigestValue>
      </Reference>
      <Reference URI="/xl/worksheets/sheet21.xml?ContentType=application/vnd.openxmlformats-officedocument.spreadsheetml.worksheet+xml">
        <DigestMethod Algorithm="http://www.w3.org/2001/04/xmlenc#sha256"/>
        <DigestValue>iN0A/AvXOoxjH50McfCLtAmm/Kw+vKhBkZO6Fv8nnMg=</DigestValue>
      </Reference>
      <Reference URI="/xl/worksheets/sheet22.xml?ContentType=application/vnd.openxmlformats-officedocument.spreadsheetml.worksheet+xml">
        <DigestMethod Algorithm="http://www.w3.org/2001/04/xmlenc#sha256"/>
        <DigestValue>+OOtEgEMuM9Z/PGuz3q3nhYy0/HhIse6YCMPNYdOmSw=</DigestValue>
      </Reference>
      <Reference URI="/xl/worksheets/sheet23.xml?ContentType=application/vnd.openxmlformats-officedocument.spreadsheetml.worksheet+xml">
        <DigestMethod Algorithm="http://www.w3.org/2001/04/xmlenc#sha256"/>
        <DigestValue>H5Q05OnPnvmf/Ky76C0OyRzP50tNjT+opkRjzMFtOXs=</DigestValue>
      </Reference>
      <Reference URI="/xl/worksheets/sheet24.xml?ContentType=application/vnd.openxmlformats-officedocument.spreadsheetml.worksheet+xml">
        <DigestMethod Algorithm="http://www.w3.org/2001/04/xmlenc#sha256"/>
        <DigestValue>2ysbHoYqNmAdCudMdtjZ7IZ0W6Behn/gRtlZX+8GG1Q=</DigestValue>
      </Reference>
      <Reference URI="/xl/worksheets/sheet25.xml?ContentType=application/vnd.openxmlformats-officedocument.spreadsheetml.worksheet+xml">
        <DigestMethod Algorithm="http://www.w3.org/2001/04/xmlenc#sha256"/>
        <DigestValue>2Ry2QlNfqMaiIwhyhppRXP5Uy53AsM57an89iSIMl4k=</DigestValue>
      </Reference>
      <Reference URI="/xl/worksheets/sheet26.xml?ContentType=application/vnd.openxmlformats-officedocument.spreadsheetml.worksheet+xml">
        <DigestMethod Algorithm="http://www.w3.org/2001/04/xmlenc#sha256"/>
        <DigestValue>xoe/vgCF1brT8gwpfyMGtVzbnEAZpfLvyWNudAszynw=</DigestValue>
      </Reference>
      <Reference URI="/xl/worksheets/sheet27.xml?ContentType=application/vnd.openxmlformats-officedocument.spreadsheetml.worksheet+xml">
        <DigestMethod Algorithm="http://www.w3.org/2001/04/xmlenc#sha256"/>
        <DigestValue>6YZBzM98ZUwk2BETI7RZtPKEqWx5JGTaOafX4Dtqx4c=</DigestValue>
      </Reference>
      <Reference URI="/xl/worksheets/sheet28.xml?ContentType=application/vnd.openxmlformats-officedocument.spreadsheetml.worksheet+xml">
        <DigestMethod Algorithm="http://www.w3.org/2001/04/xmlenc#sha256"/>
        <DigestValue>jIa+upqpttErWaGpXD2nqrGaNu/8VxX9SNbzhQqZtmc=</DigestValue>
      </Reference>
      <Reference URI="/xl/worksheets/sheet29.xml?ContentType=application/vnd.openxmlformats-officedocument.spreadsheetml.worksheet+xml">
        <DigestMethod Algorithm="http://www.w3.org/2001/04/xmlenc#sha256"/>
        <DigestValue>MHw0ajUu7jwj2oTpdI38tHlqhriYJUdVaknZOzx32x8=</DigestValue>
      </Reference>
      <Reference URI="/xl/worksheets/sheet3.xml?ContentType=application/vnd.openxmlformats-officedocument.spreadsheetml.worksheet+xml">
        <DigestMethod Algorithm="http://www.w3.org/2001/04/xmlenc#sha256"/>
        <DigestValue>MS1cWcI+hZp1GW0m+AfEXRVSVVhtxL1suyWleoBgirs=</DigestValue>
      </Reference>
      <Reference URI="/xl/worksheets/sheet30.xml?ContentType=application/vnd.openxmlformats-officedocument.spreadsheetml.worksheet+xml">
        <DigestMethod Algorithm="http://www.w3.org/2001/04/xmlenc#sha256"/>
        <DigestValue>09hryqWReSb99Lde1GEPRhV7dW172IRGjG7/EgtKU0M=</DigestValue>
      </Reference>
      <Reference URI="/xl/worksheets/sheet31.xml?ContentType=application/vnd.openxmlformats-officedocument.spreadsheetml.worksheet+xml">
        <DigestMethod Algorithm="http://www.w3.org/2001/04/xmlenc#sha256"/>
        <DigestValue>BmtPlpXzBMlWA8OqH976vQpnQRk8Lu/WWdKauMAOqV4=</DigestValue>
      </Reference>
      <Reference URI="/xl/worksheets/sheet32.xml?ContentType=application/vnd.openxmlformats-officedocument.spreadsheetml.worksheet+xml">
        <DigestMethod Algorithm="http://www.w3.org/2001/04/xmlenc#sha256"/>
        <DigestValue>aESHPNvZd2cZCO1MigVBIZmFZ/+lfxzt9a7Rnj6/+mY=</DigestValue>
      </Reference>
      <Reference URI="/xl/worksheets/sheet4.xml?ContentType=application/vnd.openxmlformats-officedocument.spreadsheetml.worksheet+xml">
        <DigestMethod Algorithm="http://www.w3.org/2001/04/xmlenc#sha256"/>
        <DigestValue>HGMK1NEN68d2WYoUtW5lFb0KZ94Yz2Jw4lA82GKFGeM=</DigestValue>
      </Reference>
      <Reference URI="/xl/worksheets/sheet5.xml?ContentType=application/vnd.openxmlformats-officedocument.spreadsheetml.worksheet+xml">
        <DigestMethod Algorithm="http://www.w3.org/2001/04/xmlenc#sha256"/>
        <DigestValue>ZP4r27S8kZvCFYp0cYoanFD7+q95WxylBx3vB0qZrrQ=</DigestValue>
      </Reference>
      <Reference URI="/xl/worksheets/sheet6.xml?ContentType=application/vnd.openxmlformats-officedocument.spreadsheetml.worksheet+xml">
        <DigestMethod Algorithm="http://www.w3.org/2001/04/xmlenc#sha256"/>
        <DigestValue>JhDi3bxKg2bZSctYW9f0kGO5tRbLGfJkxqODsqskSIk=</DigestValue>
      </Reference>
      <Reference URI="/xl/worksheets/sheet7.xml?ContentType=application/vnd.openxmlformats-officedocument.spreadsheetml.worksheet+xml">
        <DigestMethod Algorithm="http://www.w3.org/2001/04/xmlenc#sha256"/>
        <DigestValue>aJh9GPsh++MDPp9NVqsZyjtJTIgEorDEx4826K88Ncw=</DigestValue>
      </Reference>
      <Reference URI="/xl/worksheets/sheet8.xml?ContentType=application/vnd.openxmlformats-officedocument.spreadsheetml.worksheet+xml">
        <DigestMethod Algorithm="http://www.w3.org/2001/04/xmlenc#sha256"/>
        <DigestValue>t8IRn1CO4RUxmwEoRMR4HLtliEGzeF6iaQUH/YwmfiA=</DigestValue>
      </Reference>
      <Reference URI="/xl/worksheets/sheet9.xml?ContentType=application/vnd.openxmlformats-officedocument.spreadsheetml.worksheet+xml">
        <DigestMethod Algorithm="http://www.w3.org/2001/04/xmlenc#sha256"/>
        <DigestValue>wjV590HMtMZ4Eu9uyWB6rdBdniYXsKjfE713ZYqck34=</DigestValue>
      </Reference>
    </Manifest>
    <SignatureProperties>
      <SignatureProperty Id="idSignatureTime" Target="#idPackageSignature">
        <mdssi:SignatureTime xmlns:mdssi="http://schemas.openxmlformats.org/package/2006/digital-signature">
          <mdssi:Format>YYYY-MM-DDThh:mm:ssTZD</mdssi:Format>
          <mdssi:Value>2025-04-29T14:53:36Z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16.0.18623/26</OfficeVersion>
          <ApplicationVersion>16.0.18623</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2025-04-29T14:53:36Z</xd:SigningTime>
          <xd:SigningCertificate>
            <xd:Cert>
              <xd:CertDigest>
                <DigestMethod Algorithm="http://www.w3.org/2001/04/xmlenc#sha256"/>
                <DigestValue>9CqlcYZU+h+a6OEYsaDhcKSas65fQf4/qf+iXcOEqSc=</DigestValue>
              </xd:CertDigest>
              <xd:IssuerSerial>
                <X509IssuerName>CN=NBG Class 2 INT Sub CA, DC=nbg, DC=ge</X509IssuerName>
                <X509SerialNumber>139674568756012247038145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04CC19C4-6FB6-4E82-B7BC-E1EF13F3444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2025-04-29T08:31:56Z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6841e2b4-6949-47da-ab68-923866022c78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