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8_{0668FECA-193F-4257-9091-12C767C8BE05}" xr6:coauthVersionLast="47" xr6:coauthVersionMax="47" xr10:uidLastSave="{00000000-0000-0000-0000-000000000000}"/>
  <bookViews>
    <workbookView xWindow="-108" yWindow="-108" windowWidth="23256" windowHeight="12576" tabRatio="951"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96" l="1"/>
  <c r="C22" i="96" l="1"/>
  <c r="C19" i="6" l="1"/>
  <c r="C20" i="6"/>
  <c r="C18" i="6"/>
  <c r="C17" i="77" l="1"/>
  <c r="C16" i="77"/>
  <c r="C15" i="77"/>
  <c r="H20" i="104" l="1"/>
  <c r="M20" i="104"/>
  <c r="R13" i="104" l="1"/>
  <c r="R19" i="104" s="1"/>
  <c r="Q13" i="104"/>
  <c r="Q19" i="104" s="1"/>
  <c r="P13" i="104"/>
  <c r="P19" i="104" s="1"/>
  <c r="O13" i="104"/>
  <c r="O19" i="104" s="1"/>
  <c r="N13" i="104"/>
  <c r="N19" i="104" s="1"/>
  <c r="M18" i="104"/>
  <c r="M17" i="104"/>
  <c r="M16" i="104"/>
  <c r="M15" i="104"/>
  <c r="M14" i="104"/>
  <c r="M13" i="104"/>
  <c r="M12" i="104"/>
  <c r="M11" i="104"/>
  <c r="M10" i="104"/>
  <c r="M9" i="104"/>
  <c r="M8" i="104"/>
  <c r="M7" i="104"/>
  <c r="H7" i="104"/>
  <c r="H8" i="104"/>
  <c r="H9" i="104"/>
  <c r="H10" i="104"/>
  <c r="H11" i="104"/>
  <c r="H12" i="104"/>
  <c r="H13" i="104"/>
  <c r="H19" i="104" s="1"/>
  <c r="I13" i="104"/>
  <c r="I19" i="104" s="1"/>
  <c r="J13" i="104"/>
  <c r="J19" i="104" s="1"/>
  <c r="K13" i="104"/>
  <c r="K19" i="104" s="1"/>
  <c r="H14" i="104"/>
  <c r="H15" i="104"/>
  <c r="H16" i="104"/>
  <c r="H17" i="104"/>
  <c r="H18" i="104"/>
  <c r="L13" i="104"/>
  <c r="L19" i="104" s="1"/>
  <c r="C7" i="104"/>
  <c r="C8" i="104"/>
  <c r="C9" i="104"/>
  <c r="C10" i="104"/>
  <c r="C11" i="104"/>
  <c r="C12" i="104"/>
  <c r="D13" i="104"/>
  <c r="D19" i="104" s="1"/>
  <c r="E13" i="104"/>
  <c r="E19" i="104" s="1"/>
  <c r="F13" i="104"/>
  <c r="F19" i="104" s="1"/>
  <c r="C14" i="104"/>
  <c r="C15" i="104"/>
  <c r="C16" i="104"/>
  <c r="C17" i="104"/>
  <c r="C18" i="104"/>
  <c r="G13" i="104"/>
  <c r="G19" i="104" s="1"/>
  <c r="C20" i="104"/>
  <c r="C13" i="104" l="1"/>
  <c r="C19" i="104" s="1"/>
  <c r="M19" i="104"/>
  <c r="G8" i="103" l="1"/>
  <c r="G36" i="80" l="1"/>
  <c r="G35" i="80"/>
  <c r="G34" i="80"/>
  <c r="G31" i="80"/>
  <c r="G30" i="80"/>
  <c r="G29" i="80"/>
  <c r="G26" i="80"/>
  <c r="G15" i="80" l="1"/>
  <c r="G10" i="80"/>
  <c r="G9" i="80"/>
  <c r="G13" i="80"/>
  <c r="C12" i="80"/>
  <c r="G12" i="80" s="1"/>
  <c r="E29" i="92" l="1"/>
  <c r="E20" i="92"/>
  <c r="E21" i="92"/>
  <c r="E17" i="72" l="1"/>
  <c r="E18" i="72"/>
  <c r="E19" i="72"/>
  <c r="E21" i="72"/>
  <c r="E22" i="72"/>
  <c r="E23" i="72"/>
  <c r="E24" i="72"/>
  <c r="E26" i="72"/>
  <c r="E27" i="72"/>
  <c r="E29" i="72"/>
  <c r="E30" i="72"/>
  <c r="E32" i="72"/>
  <c r="E33" i="72"/>
  <c r="E34" i="72"/>
  <c r="E35" i="72"/>
  <c r="E36" i="72"/>
  <c r="E10" i="72"/>
  <c r="E11" i="72"/>
  <c r="E12" i="72"/>
  <c r="E13" i="72"/>
  <c r="E14" i="72"/>
  <c r="E15" i="72"/>
  <c r="E9" i="72"/>
  <c r="H9" i="74"/>
  <c r="H10" i="74"/>
  <c r="H11" i="74"/>
  <c r="H12" i="74"/>
  <c r="H13" i="74"/>
  <c r="H14" i="74"/>
  <c r="H15" i="74"/>
  <c r="H16" i="74"/>
  <c r="H17" i="74"/>
  <c r="H18" i="74"/>
  <c r="H19" i="74"/>
  <c r="H20" i="74"/>
  <c r="H21" i="74"/>
  <c r="H8" i="74"/>
  <c r="D15" i="74"/>
  <c r="D14" i="74"/>
  <c r="C22" i="74"/>
  <c r="D15" i="95"/>
  <c r="E32" i="6" l="1"/>
  <c r="F32" i="6" l="1"/>
  <c r="G32" i="6" l="1"/>
  <c r="G42" i="94" l="1"/>
  <c r="F42" i="94"/>
  <c r="F17" i="94" l="1"/>
  <c r="D32" i="6" l="1"/>
  <c r="D21" i="101" l="1"/>
  <c r="C8" i="101" l="1"/>
  <c r="D10" i="101" l="1"/>
  <c r="E10" i="101"/>
  <c r="F10" i="101"/>
  <c r="G10" i="101"/>
  <c r="H10" i="101"/>
  <c r="I10" i="101"/>
  <c r="J10" i="101"/>
  <c r="K10" i="101"/>
  <c r="L10" i="101"/>
  <c r="M10" i="101"/>
  <c r="N10" i="101"/>
  <c r="O10" i="101"/>
  <c r="P10" i="101"/>
  <c r="Q10" i="101"/>
  <c r="R10" i="101"/>
  <c r="S10" i="101"/>
  <c r="T10" i="101"/>
  <c r="U10" i="101"/>
  <c r="V10" i="101"/>
  <c r="W10" i="101"/>
  <c r="X10" i="101"/>
  <c r="Y10" i="101"/>
  <c r="Z10" i="101"/>
  <c r="AA10" i="101"/>
  <c r="C10" i="101"/>
  <c r="L33" i="102" l="1"/>
  <c r="K33" i="102"/>
  <c r="J33" i="102"/>
  <c r="I33" i="102"/>
  <c r="E33" i="102"/>
  <c r="C33" i="102" s="1"/>
  <c r="F33" i="102"/>
  <c r="G33" i="102"/>
  <c r="D33" i="102"/>
  <c r="H8" i="102"/>
  <c r="H9" i="102"/>
  <c r="H10" i="102"/>
  <c r="H11" i="102"/>
  <c r="H12" i="102"/>
  <c r="H13" i="102"/>
  <c r="H14" i="102"/>
  <c r="H15" i="102"/>
  <c r="H16" i="102"/>
  <c r="H17" i="102"/>
  <c r="H18" i="102"/>
  <c r="H19" i="102"/>
  <c r="H20" i="102"/>
  <c r="H21" i="102"/>
  <c r="H22" i="102"/>
  <c r="H23" i="102"/>
  <c r="H24" i="102"/>
  <c r="H25" i="102"/>
  <c r="H26" i="102"/>
  <c r="H27" i="102"/>
  <c r="H28" i="102"/>
  <c r="H29" i="102"/>
  <c r="H30" i="102"/>
  <c r="H31" i="102"/>
  <c r="H32" i="102"/>
  <c r="H33" i="102"/>
  <c r="H7"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32" i="102"/>
  <c r="C7" i="102"/>
  <c r="D27" i="100" l="1"/>
  <c r="C27" i="100" s="1"/>
  <c r="C22" i="100" s="1"/>
  <c r="E15" i="100" l="1"/>
  <c r="F15" i="100"/>
  <c r="G15" i="100"/>
  <c r="H15" i="100"/>
  <c r="I15" i="100"/>
  <c r="J15" i="100"/>
  <c r="K15" i="100"/>
  <c r="L15" i="100"/>
  <c r="M15" i="100"/>
  <c r="N15" i="100"/>
  <c r="O15" i="100"/>
  <c r="P15" i="100"/>
  <c r="Q15" i="100"/>
  <c r="R15" i="100"/>
  <c r="S15" i="100"/>
  <c r="T15" i="100"/>
  <c r="U15" i="100"/>
  <c r="V15" i="100"/>
  <c r="W15" i="100"/>
  <c r="X15" i="100"/>
  <c r="Y15" i="100"/>
  <c r="Z15" i="100"/>
  <c r="AA15" i="100"/>
  <c r="D15" i="100"/>
  <c r="C15" i="100" s="1"/>
  <c r="C21" i="100"/>
  <c r="C16" i="100"/>
  <c r="C17" i="100"/>
  <c r="C18" i="100"/>
  <c r="C19" i="100"/>
  <c r="C20" i="100"/>
  <c r="E8" i="100" l="1"/>
  <c r="F8" i="100"/>
  <c r="G8" i="100"/>
  <c r="I8" i="100"/>
  <c r="J8" i="100"/>
  <c r="K8" i="100"/>
  <c r="M8" i="100"/>
  <c r="N8" i="100"/>
  <c r="O8" i="100"/>
  <c r="P8" i="100"/>
  <c r="Q8" i="100"/>
  <c r="R8" i="100"/>
  <c r="S8" i="100"/>
  <c r="U8" i="100"/>
  <c r="V8" i="100"/>
  <c r="W8" i="100"/>
  <c r="X8" i="100"/>
  <c r="Y8" i="100"/>
  <c r="Z8" i="100"/>
  <c r="AA8" i="100"/>
  <c r="C13" i="100"/>
  <c r="T8" i="100"/>
  <c r="L14" i="100"/>
  <c r="L8" i="100" s="1"/>
  <c r="H14" i="100"/>
  <c r="D14" i="100"/>
  <c r="D13" i="100"/>
  <c r="D8" i="100" s="1"/>
  <c r="C14" i="100" l="1"/>
  <c r="C8" i="100" s="1"/>
  <c r="H8" i="100"/>
  <c r="H31" i="97"/>
  <c r="C8" i="95" l="1"/>
  <c r="C7" i="37" l="1"/>
  <c r="G24" i="36"/>
  <c r="F24" i="36"/>
  <c r="H24" i="36" s="1"/>
  <c r="J23" i="36"/>
  <c r="I23" i="36"/>
  <c r="K23" i="36" s="1"/>
  <c r="G23" i="36"/>
  <c r="G25" i="36" s="1"/>
  <c r="F23" i="36"/>
  <c r="H23" i="36" s="1"/>
  <c r="H25" i="36" s="1"/>
  <c r="K21" i="36"/>
  <c r="J21" i="36"/>
  <c r="I21" i="36"/>
  <c r="G21" i="36"/>
  <c r="F21" i="36"/>
  <c r="D21" i="36"/>
  <c r="C21" i="36"/>
  <c r="K19" i="36"/>
  <c r="H19" i="36"/>
  <c r="H21" i="36" s="1"/>
  <c r="E19" i="36"/>
  <c r="E21" i="36" s="1"/>
  <c r="J16" i="36"/>
  <c r="J24" i="36" s="1"/>
  <c r="I16" i="36"/>
  <c r="I24" i="36" s="1"/>
  <c r="K24" i="36" s="1"/>
  <c r="G16" i="36"/>
  <c r="F16" i="36"/>
  <c r="D16" i="36"/>
  <c r="C16" i="36"/>
  <c r="K11" i="36"/>
  <c r="K12" i="36"/>
  <c r="K13" i="36"/>
  <c r="K14" i="36"/>
  <c r="K15" i="36"/>
  <c r="K10" i="36"/>
  <c r="K16" i="36" s="1"/>
  <c r="H11" i="36"/>
  <c r="H12" i="36"/>
  <c r="H13" i="36"/>
  <c r="H14" i="36"/>
  <c r="H15" i="36"/>
  <c r="H10" i="36"/>
  <c r="H16" i="36" s="1"/>
  <c r="E11" i="36"/>
  <c r="E12" i="36"/>
  <c r="E13" i="36"/>
  <c r="E14" i="36"/>
  <c r="E15" i="36"/>
  <c r="E10" i="36"/>
  <c r="E16" i="36" s="1"/>
  <c r="K8" i="36"/>
  <c r="H8" i="36"/>
  <c r="J25" i="36" l="1"/>
  <c r="K25" i="36"/>
  <c r="F25" i="36"/>
  <c r="I25" i="36"/>
  <c r="B1" i="94" l="1"/>
  <c r="B1" i="93"/>
  <c r="B1" i="92"/>
  <c r="B1" i="104" l="1"/>
  <c r="B1" i="103"/>
  <c r="B1" i="102"/>
  <c r="B1" i="101"/>
  <c r="B1" i="100"/>
  <c r="B1" i="99"/>
  <c r="B1" i="98"/>
  <c r="B1" i="97"/>
  <c r="B1" i="96"/>
  <c r="B1" i="95"/>
  <c r="C10" i="99" l="1"/>
  <c r="C18" i="99" s="1"/>
  <c r="C7" i="98"/>
  <c r="D7" i="98"/>
  <c r="C10" i="98"/>
  <c r="D10" i="98"/>
  <c r="D15" i="98"/>
  <c r="H7" i="97"/>
  <c r="H8" i="97"/>
  <c r="H9" i="97"/>
  <c r="H10" i="97"/>
  <c r="H11" i="97"/>
  <c r="H12" i="97"/>
  <c r="H13" i="97"/>
  <c r="H14" i="97"/>
  <c r="H15" i="97"/>
  <c r="H16" i="97"/>
  <c r="H17" i="97"/>
  <c r="H18" i="97"/>
  <c r="H19" i="97"/>
  <c r="H20" i="97"/>
  <c r="H21" i="97"/>
  <c r="H22" i="97"/>
  <c r="H23" i="97"/>
  <c r="H24" i="97"/>
  <c r="H25" i="97"/>
  <c r="H26" i="97"/>
  <c r="H27" i="97"/>
  <c r="H28" i="97"/>
  <c r="H29" i="97"/>
  <c r="H30"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H21" i="95"/>
  <c r="C22" i="95"/>
  <c r="D22" i="95"/>
  <c r="E22" i="95"/>
  <c r="F22" i="95"/>
  <c r="G22" i="95"/>
  <c r="C15" i="98" l="1"/>
  <c r="H34" i="97"/>
  <c r="H21" i="96"/>
  <c r="H22" i="95"/>
  <c r="C62" i="69"/>
  <c r="C58" i="69"/>
  <c r="C67" i="69" s="1"/>
  <c r="C46" i="69"/>
  <c r="C40" i="69"/>
  <c r="C29" i="69"/>
  <c r="C26" i="69"/>
  <c r="C23" i="69"/>
  <c r="C18" i="69"/>
  <c r="C14" i="69"/>
  <c r="C6" i="69"/>
  <c r="D8" i="72"/>
  <c r="E8" i="72"/>
  <c r="D16" i="72"/>
  <c r="D20" i="72"/>
  <c r="D25" i="72"/>
  <c r="D28" i="72"/>
  <c r="D31" i="72"/>
  <c r="C31" i="72"/>
  <c r="E31" i="72" s="1"/>
  <c r="C28" i="72"/>
  <c r="C25" i="72"/>
  <c r="C20" i="72"/>
  <c r="C16" i="72"/>
  <c r="C8" i="72"/>
  <c r="C37" i="72" l="1"/>
  <c r="E28" i="72"/>
  <c r="D37" i="72"/>
  <c r="E16" i="72"/>
  <c r="E37" i="72" s="1"/>
  <c r="E20" i="72"/>
  <c r="E25" i="72"/>
  <c r="C52" i="69"/>
  <c r="C68" i="69" s="1"/>
  <c r="C35" i="69"/>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H37" i="93"/>
  <c r="D37" i="93"/>
  <c r="C37" i="93"/>
  <c r="H36" i="93"/>
  <c r="E36" i="93"/>
  <c r="H35" i="93"/>
  <c r="E35" i="93"/>
  <c r="G34" i="93"/>
  <c r="F34" i="93"/>
  <c r="H34" i="93" s="1"/>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 i="93"/>
  <c r="F6" i="93"/>
  <c r="D6" i="93"/>
  <c r="C6" i="93"/>
  <c r="G68" i="92"/>
  <c r="F68" i="92"/>
  <c r="H67" i="92"/>
  <c r="E67" i="92"/>
  <c r="H66" i="92"/>
  <c r="E66" i="92"/>
  <c r="H65" i="92"/>
  <c r="E65" i="92"/>
  <c r="H64" i="92"/>
  <c r="E64" i="92"/>
  <c r="H63" i="92"/>
  <c r="D63" i="92"/>
  <c r="C63" i="92"/>
  <c r="E63" i="92" s="1"/>
  <c r="H62" i="92"/>
  <c r="E62" i="92"/>
  <c r="H61" i="92"/>
  <c r="E61" i="92"/>
  <c r="H60" i="92"/>
  <c r="E60" i="92"/>
  <c r="H59" i="92"/>
  <c r="D59" i="92"/>
  <c r="E59" i="92" s="1"/>
  <c r="C59" i="92"/>
  <c r="H58" i="92"/>
  <c r="E58" i="92"/>
  <c r="H57" i="92"/>
  <c r="E57" i="92"/>
  <c r="H56" i="92"/>
  <c r="E56" i="92"/>
  <c r="H55" i="92"/>
  <c r="E55" i="92"/>
  <c r="H52" i="92"/>
  <c r="E52" i="92"/>
  <c r="H51" i="92"/>
  <c r="E51" i="92"/>
  <c r="H50" i="92"/>
  <c r="E50" i="92"/>
  <c r="H49" i="92"/>
  <c r="E49" i="92"/>
  <c r="H48" i="92"/>
  <c r="E48" i="92"/>
  <c r="G47" i="92"/>
  <c r="F47" i="92"/>
  <c r="D47" i="92"/>
  <c r="C47" i="92"/>
  <c r="E47" i="92" s="1"/>
  <c r="H46" i="92"/>
  <c r="E46" i="92"/>
  <c r="H45" i="92"/>
  <c r="E45" i="92"/>
  <c r="H44" i="92"/>
  <c r="E44" i="92"/>
  <c r="H43" i="92"/>
  <c r="E43" i="92"/>
  <c r="H42" i="92"/>
  <c r="E42" i="92"/>
  <c r="G41" i="92"/>
  <c r="F41" i="92"/>
  <c r="D41" i="92"/>
  <c r="D53" i="92" s="1"/>
  <c r="C41" i="92"/>
  <c r="H40" i="92"/>
  <c r="E40" i="92"/>
  <c r="H39" i="92"/>
  <c r="E39" i="92"/>
  <c r="H38" i="92"/>
  <c r="E38" i="92"/>
  <c r="H35" i="92"/>
  <c r="E35" i="92"/>
  <c r="H34" i="92"/>
  <c r="E34" i="92"/>
  <c r="H33" i="92"/>
  <c r="E33" i="92"/>
  <c r="H32" i="92"/>
  <c r="E32" i="92"/>
  <c r="H31" i="92"/>
  <c r="E31" i="92"/>
  <c r="G30" i="92"/>
  <c r="F30" i="92"/>
  <c r="H30" i="92" s="1"/>
  <c r="D30" i="92"/>
  <c r="C30" i="92"/>
  <c r="H29" i="92"/>
  <c r="H28" i="92"/>
  <c r="E28" i="92"/>
  <c r="G27" i="92"/>
  <c r="F27" i="92"/>
  <c r="D27" i="92"/>
  <c r="C27" i="92"/>
  <c r="H26" i="92"/>
  <c r="E26" i="92"/>
  <c r="H25" i="92"/>
  <c r="E25" i="92"/>
  <c r="G24" i="92"/>
  <c r="F24" i="92"/>
  <c r="D24" i="92"/>
  <c r="C24" i="92"/>
  <c r="E24" i="92" s="1"/>
  <c r="H23" i="92"/>
  <c r="E23" i="92"/>
  <c r="H22" i="92"/>
  <c r="E22" i="92"/>
  <c r="H21" i="92"/>
  <c r="H20" i="92"/>
  <c r="G19" i="92"/>
  <c r="F19" i="92"/>
  <c r="D19" i="92"/>
  <c r="C19" i="92"/>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D7" i="92"/>
  <c r="C7" i="92"/>
  <c r="E27" i="92" l="1"/>
  <c r="E37" i="93"/>
  <c r="E13" i="93"/>
  <c r="C43" i="93"/>
  <c r="C45" i="93" s="1"/>
  <c r="E41" i="92"/>
  <c r="E38" i="94"/>
  <c r="H13" i="93"/>
  <c r="H41" i="92"/>
  <c r="H27" i="92"/>
  <c r="H19" i="92"/>
  <c r="H7" i="92"/>
  <c r="E19" i="92"/>
  <c r="C68" i="92"/>
  <c r="E6" i="93"/>
  <c r="F36" i="92"/>
  <c r="D68" i="92"/>
  <c r="D69" i="92" s="1"/>
  <c r="F43" i="93"/>
  <c r="F45" i="93" s="1"/>
  <c r="G43" i="93"/>
  <c r="G45" i="93" s="1"/>
  <c r="G36" i="92"/>
  <c r="C36" i="92"/>
  <c r="G53" i="92"/>
  <c r="G69" i="92" s="1"/>
  <c r="D36" i="92"/>
  <c r="E30" i="92"/>
  <c r="H47" i="92"/>
  <c r="H8" i="94"/>
  <c r="E8" i="94"/>
  <c r="E14" i="94"/>
  <c r="H38" i="94"/>
  <c r="E30" i="94"/>
  <c r="E11" i="94"/>
  <c r="E17" i="94"/>
  <c r="H11" i="94"/>
  <c r="H14" i="94"/>
  <c r="H6" i="93"/>
  <c r="D43" i="93"/>
  <c r="D45" i="93" s="1"/>
  <c r="H69" i="92"/>
  <c r="C53" i="92"/>
  <c r="H68" i="92"/>
  <c r="F53" i="92"/>
  <c r="F69" i="92" s="1"/>
  <c r="E7" i="92"/>
  <c r="H24" i="92"/>
  <c r="H45" i="93" l="1"/>
  <c r="H43" i="93"/>
  <c r="E36" i="92"/>
  <c r="H36" i="92"/>
  <c r="H53" i="92"/>
  <c r="E68" i="92"/>
  <c r="E45" i="93"/>
  <c r="E43" i="93"/>
  <c r="C69" i="92"/>
  <c r="E69" i="92" s="1"/>
  <c r="E53" i="92"/>
  <c r="B1" i="80"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C12" i="79" s="1"/>
  <c r="C18" i="79" s="1"/>
  <c r="N7" i="37"/>
  <c r="N21" i="37" s="1"/>
  <c r="K7" i="37"/>
  <c r="K21" i="37" s="1"/>
  <c r="C36" i="79" l="1"/>
  <c r="C38" i="79" s="1"/>
  <c r="C5" i="73"/>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<sst xmlns="http://schemas.openxmlformats.org/spreadsheetml/2006/main" count="1600" uniqueCount="1003">
  <si>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</si>
  <si>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</si>
  <si>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</si>
  <si>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</si>
  <si>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</si>
  <si>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</si>
  <si>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</si>
  <si>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</si>
  <si>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</si>
  <si>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</si>
  <si>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</si>
  <si>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</si>
  <si>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</si>
  <si>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</si>
  <si>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</si>
  <si>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</si>
  <si>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</si>
  <si>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</si>
  <si>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</si>
  <si>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</si>
  <si>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</si>
  <si>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</si>
  <si>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</si>
  <si>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</si>
  <si>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</si>
  <si>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</si>
  <si>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</si>
  <si>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</si>
  <si>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</si>
  <si>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</si>
  <si>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</si>
  <si>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</si>
  <si>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</si>
  <si>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</si>
  <si>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</si>
  <si>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</si>
  <si>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</si>
  <si>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</si>
  <si>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</si>
  <si>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</si>
  <si>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</si>
  <si>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</si>
  <si>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</si>
  <si>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</si>
  <si>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</si>
  <si>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</si>
  <si>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</si>
  <si>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</si>
  <si>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</si>
  <si>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</si>
  <si>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</si>
  <si>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</si>
  <si>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</si>
  <si>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</si>
  <si>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</si>
  <si>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</si>
  <si>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</si>
  <si>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</si>
  <si>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</si>
  <si>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</si>
  <si>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</si>
  <si>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</si>
  <si>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</si>
  <si>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</si>
  <si>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</si>
  <si>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</si>
  <si>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</si>
  <si>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</si>
  <si>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</si>
  <si>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</si>
  <si>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</si>
  <si>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</si>
  <si>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</si>
  <si>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</si>
  <si>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</si>
  <si>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</si>
  <si>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</si>
  <si>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</si>
  <si>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</si>
  <si>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</si>
  <si>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</si>
  <si>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</si>
  <si>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</si>
  <si>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</si>
  <si>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</si>
  <si>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</si>
  <si>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</si>
  <si>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</si>
  <si>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</si>
  <si>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</si>
  <si>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</si>
  <si>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</si>
  <si>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</si>
  <si>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</si>
  <si>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</si>
  <si>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</si>
  <si>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</si>
  <si>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</si>
  <si>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</si>
  <si>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</si>
  <si>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</si>
  <si>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</si>
  <si>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</si>
  <si>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</si>
  <si>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</si>
  <si>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</si>
  <si>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</si>
  <si>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</si>
  <si>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</si>
  <si>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</si>
  <si>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</si>
  <si>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</si>
  <si>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</si>
  <si>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</si>
  <si>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</si>
  <si>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</si>
  <si>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</si>
  <si>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</si>
  <si>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</si>
  <si>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</si>
  <si>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</si>
  <si>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</si>
  <si>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</si>
  <si>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</si>
  <si>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</si>
  <si>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</si>
  <si>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</si>
  <si>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</si>
  <si>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</si>
  <si>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</si>
  <si>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</si>
  <si>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</si>
  <si>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</si>
  <si>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</si>
  <si>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</si>
  <si>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</si>
  <si>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</si>
  <si>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</si>
  <si>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</si>
  <si>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</si>
  <si>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</si>
  <si>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</si>
  <si>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</si>
  <si>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</si>
  <si>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</si>
  <si>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</si>
  <si>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</si>
  <si>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</si>
  <si>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</si>
  <si>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</si>
  <si>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</si>
  <si>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</si>
  <si>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</si>
  <si>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</si>
  <si>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</si>
  <si>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</si>
  <si>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</si>
  <si>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</si>
  <si>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</si>
  <si>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</si>
  <si>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</si>
  <si>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</si>
  <si>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</si>
  <si>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</si>
  <si>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</si>
  <si>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</si>
  <si>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</si>
  <si>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</si>
  <si>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</si>
  <si>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</si>
  <si>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</si>
  <si>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</si>
  <si>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</si>
  <si>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</si>
  <si>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</si>
  <si>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</si>
  <si>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</si>
  <si>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</si>
  <si>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</si>
  <si>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</si>
  <si>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</si>
  <si>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</si>
  <si>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</si>
  <si>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</si>
  <si>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</si>
  <si>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</si>
  <si>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</si>
  <si>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</si>
  <si>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</si>
  <si>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</si>
  <si>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</si>
  <si>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</si>
  <si>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</si>
  <si>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</si>
  <si>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</si>
  <si>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</si>
  <si>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</si>
  <si>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</si>
  <si>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</si>
  <si>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</si>
  <si>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</si>
  <si>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</si>
  <si>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</si>
  <si>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</si>
  <si>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</si>
  <si>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</si>
  <si>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</si>
  <si>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</si>
  <si>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</si>
  <si>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</si>
  <si>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</si>
  <si>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</si>
  <si>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</si>
  <si>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</si>
  <si>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</si>
  <si>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</si>
  <si>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</si>
  <si>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</si>
  <si>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</si>
  <si>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</si>
  <si>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</si>
  <si>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</si>
  <si>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</si>
  <si>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</si>
  <si>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</si>
  <si>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</si>
  <si>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</si>
  <si>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</si>
  <si>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</si>
  <si>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</si>
  <si>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</si>
  <si>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</si>
  <si>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</si>
  <si>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</si>
  <si>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</si>
  <si>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</si>
  <si>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</si>
  <si>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</si>
  <si>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</si>
  <si>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</si>
  <si>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</si>
  <si>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</si>
  <si>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</si>
  <si>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</si>
  <si>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</si>
  <si>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</si>
  <si>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</si>
  <si>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</si>
  <si>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</si>
  <si>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</si>
  <si>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</si>
  <si>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</si>
  <si>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</si>
  <si>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</si>
  <si>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</si>
  <si>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</si>
  <si>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</si>
  <si>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</si>
  <si>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</si>
  <si>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</si>
  <si>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</si>
  <si>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</si>
  <si>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</si>
  <si>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</si>
  <si>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</si>
  <si>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</si>
  <si>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</si>
  <si>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</si>
  <si>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</si>
  <si>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</si>
  <si>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</si>
  <si>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</si>
  <si>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</si>
  <si>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</si>
  <si>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</si>
  <si>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</si>
  <si>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</si>
  <si>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</si>
  <si>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</si>
  <si>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</si>
  <si>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</si>
  <si>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</si>
  <si>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</si>
  <si>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</si>
  <si>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</si>
  <si>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</si>
  <si>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</si>
  <si>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</si>
  <si>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</si>
  <si>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</si>
  <si>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</si>
  <si>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</si>
  <si>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</si>
  <si>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</si>
  <si>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</si>
  <si>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</si>
  <si>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</si>
  <si>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</si>
  <si>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</si>
  <si>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</si>
  <si>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</si>
  <si>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</si>
  <si>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</si>
  <si>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</si>
  <si>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</si>
  <si>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</si>
  <si>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</si>
  <si>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</si>
  <si>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</si>
  <si>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</si>
  <si>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</si>
  <si>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</si>
  <si>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</si>
  <si>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</si>
  <si>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</si>
  <si>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</si>
  <si>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</si>
  <si>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</si>
  <si>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</si>
  <si>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</si>
  <si>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</si>
  <si>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</si>
  <si>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</si>
  <si>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</si>
  <si>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</si>
  <si>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</si>
  <si>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</si>
  <si>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</si>
  <si>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</si>
  <si>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</si>
  <si>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</si>
  <si>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</si>
  <si>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</si>
  <si>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</si>
  <si>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</si>
  <si>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</si>
  <si>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</si>
  <si>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</si>
  <si>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</si>
  <si>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</si>
  <si>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</si>
  <si>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</si>
  <si>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</si>
  <si>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</si>
  <si>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</si>
  <si>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</si>
  <si>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</si>
  <si>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</si>
  <si>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</si>
  <si>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</si>
  <si>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</si>
  <si>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</si>
  <si>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</si>
  <si>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</si>
  <si>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</si>
  <si>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</si>
  <si>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</si>
  <si>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</si>
  <si>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</si>
  <si>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</si>
  <si>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</si>
  <si>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</si>
  <si>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</si>
  <si>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</si>
  <si>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</si>
  <si>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</si>
  <si>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</si>
  <si>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</si>
  <si>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</si>
  <si>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</si>
  <si>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</si>
  <si>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</si>
  <si>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</si>
  <si>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</si>
  <si>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</si>
  <si>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</si>
  <si>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</si>
  <si>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</si>
  <si>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</si>
  <si>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</si>
  <si>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</si>
  <si>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</si>
  <si>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</si>
  <si>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</si>
  <si>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</si>
  <si>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</si>
  <si>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</si>
  <si>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</si>
  <si>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</si>
  <si>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</si>
  <si>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</si>
  <si>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</si>
  <si>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</si>
  <si>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</si>
  <si>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</si>
  <si>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</si>
  <si>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</si>
  <si>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</si>
  <si>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</si>
  <si>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</si>
  <si>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</si>
  <si>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</si>
  <si>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</si>
  <si>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</si>
  <si>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</si>
  <si>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</si>
  <si>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</si>
  <si>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</si>
  <si>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</si>
  <si>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</si>
  <si>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</si>
  <si>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</si>
  <si>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</si>
  <si>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</si>
  <si>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</si>
  <si>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</si>
  <si>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</si>
  <si>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</si>
  <si>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</si>
  <si>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</si>
  <si>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</si>
  <si>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</si>
  <si>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</si>
  <si>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</si>
  <si>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</si>
  <si>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</si>
  <si>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</si>
  <si>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</si>
  <si>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</si>
  <si>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</si>
  <si>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</si>
  <si>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</si>
  <si>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</si>
  <si>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</si>
  <si>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</si>
  <si>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</si>
  <si>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</si>
  <si>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</si>
  <si>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</si>
  <si>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</si>
  <si>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</si>
  <si>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</si>
  <si>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</si>
  <si>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</si>
  <si>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</si>
  <si>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</si>
  <si>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</si>
  <si>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</si>
  <si>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</si>
  <si>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</si>
  <si>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</si>
  <si>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</si>
  <si>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</si>
  <si>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</si>
  <si>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</si>
  <si>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</si>
  <si>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</si>
  <si>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</si>
  <si>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</si>
  <si>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</si>
  <si>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</si>
  <si>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</si>
  <si>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</si>
  <si>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</si>
  <si>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</si>
  <si>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</si>
  <si>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</si>
  <si>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</si>
  <si>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</si>
  <si>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</si>
  <si>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</si>
  <si>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</si>
  <si>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</si>
  <si>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</si>
  <si>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</si>
  <si>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</si>
  <si>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</si>
  <si>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</si>
  <si>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</si>
  <si>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</si>
  <si>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</si>
  <si>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</si>
  <si>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</si>
  <si>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</si>
  <si>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</si>
  <si>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</si>
  <si>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</si>
  <si>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</si>
  <si>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</si>
  <si>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</si>
  <si>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</si>
  <si>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</si>
  <si>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</si>
  <si>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</si>
  <si>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</si>
  <si>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</si>
  <si>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</si>
  <si>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</si>
  <si>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</si>
  <si>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</si>
  <si>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</si>
  <si>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</si>
  <si>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</si>
  <si>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</si>
  <si>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</si>
  <si>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</si>
  <si>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</si>
  <si>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</si>
  <si>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</si>
  <si>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</si>
  <si>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</si>
  <si>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</si>
  <si>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</si>
  <si>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</si>
  <si>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</si>
  <si>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</si>
  <si>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</si>
  <si>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</si>
  <si>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</si>
  <si>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</si>
  <si>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</si>
  <si>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</si>
  <si>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</si>
  <si>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</si>
  <si>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</si>
  <si>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</si>
  <si>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</si>
  <si>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</si>
  <si>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</si>
  <si>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</si>
  <si>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</si>
  <si>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</si>
  <si>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</si>
  <si>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</si>
  <si>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</si>
  <si>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</si>
  <si>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</si>
  <si>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</si>
  <si>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</si>
  <si>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</si>
  <si>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</si>
  <si>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</si>
  <si>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</si>
  <si>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</si>
  <si>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</si>
  <si>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</si>
  <si>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</si>
  <si>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</si>
  <si>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</si>
  <si>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</si>
  <si>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</si>
  <si>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</si>
  <si>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</si>
  <si>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</si>
  <si>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</si>
  <si>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</si>
  <si>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</si>
  <si>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</si>
  <si>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</si>
  <si>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</si>
  <si>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</si>
  <si>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</si>
  <si>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</si>
  <si>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</si>
  <si>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</si>
  <si>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</si>
  <si>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</si>
  <si>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</si>
  <si>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</si>
  <si>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</si>
  <si>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</si>
  <si>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</si>
  <si>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</si>
  <si>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</si>
  <si>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</si>
  <si>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</si>
  <si>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</si>
  <si>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</si>
  <si>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</si>
  <si>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</si>
  <si>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</si>
  <si>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</si>
  <si>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</si>
  <si>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</si>
  <si>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</si>
  <si>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</si>
  <si>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</si>
  <si>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</si>
  <si>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</si>
  <si>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</si>
  <si>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</si>
  <si>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</si>
  <si>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</si>
  <si>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</si>
  <si>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</si>
  <si>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</si>
  <si>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</si>
  <si>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</si>
  <si>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</si>
  <si>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</si>
  <si>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</si>
  <si>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</si>
  <si>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</si>
  <si>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</si>
  <si>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</si>
  <si>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</si>
  <si>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</si>
  <si>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</si>
  <si>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</si>
  <si>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</si>
  <si>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</si>
  <si>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</si>
  <si>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</si>
  <si>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</si>
  <si>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</si>
  <si>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</si>
  <si>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</si>
  <si>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</si>
  <si>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</si>
  <si>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</si>
  <si>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</si>
  <si>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</si>
  <si>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</si>
  <si>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</si>
  <si>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</si>
  <si>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</si>
  <si>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</si>
  <si>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</si>
  <si>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</si>
  <si>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</si>
  <si>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</si>
  <si>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</si>
  <si>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</si>
  <si>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</si>
  <si>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</si>
  <si>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</si>
  <si>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</si>
  <si>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</si>
  <si>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</si>
  <si>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</si>
  <si>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</si>
  <si>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</si>
  <si>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</si>
  <si>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</si>
  <si>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</si>
  <si>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</si>
  <si>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</si>
  <si>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</si>
  <si>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</si>
  <si>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</si>
  <si>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</si>
  <si>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</si>
  <si>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</si>
  <si>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</si>
  <si>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</si>
  <si>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</si>
  <si>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</si>
  <si>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</si>
  <si>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</si>
  <si>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</si>
  <si>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</si>
  <si>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</si>
  <si>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</si>
  <si>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</si>
  <si>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</si>
  <si>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</si>
  <si>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</si>
  <si>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</si>
  <si>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</si>
  <si>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</si>
  <si>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</si>
  <si>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</si>
  <si>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</si>
  <si>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</si>
  <si>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</si>
  <si>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</si>
  <si>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</si>
  <si>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</si>
  <si>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</si>
  <si>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</si>
  <si>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</si>
  <si>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</si>
  <si>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</si>
  <si>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</si>
  <si>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</si>
  <si>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</si>
  <si>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</si>
  <si>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</si>
  <si>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</si>
  <si>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</si>
  <si>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</si>
  <si>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</si>
  <si>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</si>
  <si>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</si>
  <si>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</si>
  <si>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</si>
  <si>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</si>
  <si>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</si>
  <si>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</si>
  <si>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</si>
  <si>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</si>
  <si>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</si>
  <si>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</si>
  <si>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</si>
  <si>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</si>
  <si>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</si>
  <si>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</si>
  <si>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</si>
  <si>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</si>
  <si>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</si>
  <si>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</si>
  <si>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</si>
  <si>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</si>
  <si>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</si>
  <si>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</si>
  <si>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</si>
  <si>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</si>
  <si>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</si>
  <si>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</si>
  <si>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</si>
  <si>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</si>
  <si>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</si>
  <si>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</si>
  <si>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</si>
  <si>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</si>
  <si>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</si>
  <si>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</si>
  <si>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</si>
  <si>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</si>
  <si>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</si>
  <si>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</si>
  <si>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</si>
  <si>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</si>
  <si>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</si>
  <si>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</si>
  <si>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</si>
  <si>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</si>
  <si>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</si>
  <si>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</si>
  <si>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</si>
  <si>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</si>
  <si>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</si>
  <si>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</si>
  <si>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</si>
  <si>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</si>
  <si>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</si>
  <si>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</si>
  <si>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</si>
  <si>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</si>
  <si>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</si>
  <si>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</si>
  <si>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</si>
  <si>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</si>
  <si>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</si>
  <si>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</si>
  <si>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</si>
  <si>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</si>
  <si>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</si>
  <si>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</si>
  <si>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</si>
  <si>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</si>
  <si>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</si>
  <si>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</si>
  <si>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</si>
  <si>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</si>
  <si>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</si>
  <si>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</si>
  <si>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</si>
  <si>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</si>
  <si>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</si>
  <si>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</si>
  <si>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</si>
  <si>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</si>
  <si>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</si>
  <si>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</si>
  <si>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</si>
  <si>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</si>
  <si>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</si>
  <si>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</si>
  <si>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</si>
  <si>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</si>
  <si>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</si>
  <si>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</si>
  <si>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</si>
  <si>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</si>
  <si>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</si>
  <si>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</si>
  <si>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</si>
  <si>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</si>
  <si>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</si>
  <si>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</si>
  <si>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</si>
  <si>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</si>
  <si>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</si>
  <si>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</si>
  <si>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</si>
  <si>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</si>
  <si>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</si>
  <si>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</si>
  <si>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</si>
  <si>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</si>
  <si>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</si>
  <si>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</si>
  <si>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</si>
  <si>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</si>
  <si>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</si>
  <si>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</si>
  <si>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</si>
  <si>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</si>
  <si>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</si>
  <si>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</si>
  <si>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</si>
  <si>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</si>
  <si>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</si>
  <si>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</si>
  <si>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</si>
  <si>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</si>
  <si>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</si>
  <si>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</si>
  <si>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</si>
  <si>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</si>
  <si>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</si>
  <si>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</si>
  <si>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</si>
  <si>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</si>
  <si>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</si>
  <si>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</si>
  <si>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</si>
  <si>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</si>
  <si>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</si>
  <si>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</si>
  <si>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</si>
  <si>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</si>
  <si>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</si>
  <si>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</si>
  <si>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</si>
  <si>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</si>
  <si>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</si>
  <si>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</si>
  <si>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</si>
  <si>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</si>
  <si>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</si>
  <si>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</si>
  <si>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</si>
  <si>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</si>
  <si>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</si>
  <si>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</si>
  <si>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</si>
  <si>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</si>
  <si>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</si>
  <si>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</si>
  <si>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</si>
  <si>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</si>
  <si>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</si>
  <si>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</si>
  <si>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</si>
  <si>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</si>
  <si>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</si>
  <si>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</si>
  <si>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</si>
  <si>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</si>
  <si>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</si>
  <si>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</si>
  <si>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</si>
  <si>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</si>
  <si>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</si>
  <si>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</si>
  <si>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</si>
  <si>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</si>
  <si>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</si>
  <si>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</si>
  <si>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</si>
  <si>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</si>
  <si>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</si>
  <si>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</si>
  <si>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</si>
  <si>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</si>
  <si>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</si>
  <si>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</si>
  <si>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</si>
  <si>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</si>
  <si>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</si>
  <si>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</si>
  <si>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</si>
  <si>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</si>
  <si>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</si>
  <si>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</si>
  <si>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</si>
  <si>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</si>
  <si>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</si>
  <si>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</si>
  <si>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</si>
  <si>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</si>
  <si>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</si>
  <si>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</si>
  <si>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</si>
  <si>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</si>
  <si>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</si>
  <si>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</si>
  <si>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</si>
  <si>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</si>
  <si>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</si>
  <si>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</si>
  <si>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</si>
  <si>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</si>
  <si>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</si>
  <si>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მოსლაოდნელი საკრედიტო ზარალი</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</si>
  <si>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</si>
  <si>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</si>
  <si>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</si>
  <si>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</si>
  <si>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</si>
  <si>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</si>
  <si>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</si>
  <si>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</si>
  <si>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</si>
  <si>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</si>
  <si>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</si>
  <si>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</si>
  <si>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მოსალოდნელი საკრედიტო ზარალი IFRS 9-ის შესაბამისად</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</si>
  <si>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</si>
  <si>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</si>
  <si>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</si>
  <si>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IFRS 9-ის შესაბამისად.</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</si>
  <si>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</si>
  <si>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</si>
  <si>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1.1 ველში შემავალი უზრუნველყოფილი სესხების მოსალოდნელი საკრედიტო ზარალი IFRS 9-ის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</si>
  <si>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</si>
  <si>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</si>
  <si>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</si>
  <si>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</si>
  <si>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</si>
  <si>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</si>
  <si>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</si>
  <si>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</si>
  <si>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</si>
  <si>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</si>
  <si>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</si>
  <si>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</si>
  <si>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</si>
  <si>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</si>
  <si>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</si>
  <si>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</si>
  <si>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</si>
  <si>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</si>
  <si>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</si>
  <si>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</si>
  <si>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</si>
  <si>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</si>
  <si>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</si>
  <si>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</si>
  <si>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</si>
  <si>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</si>
  <si>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</si>
  <si>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</si>
  <si>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</si>
  <si>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</si>
  <si>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4575916</t>
  </si>
  <si>
    <t>738 597 599</t>
  </si>
  <si>
    <t>Thomas Engelhardt (Germany)</t>
  </si>
  <si>
    <t>Access Microfinance Holding AG</t>
  </si>
  <si>
    <t>Farah, Katia Chams (Netherlands)</t>
  </si>
  <si>
    <t>Triodos Fund</t>
  </si>
  <si>
    <t>Paul-Catalin Panciu (Romania)</t>
  </si>
  <si>
    <t>დამოუკიდებელი წევრი</t>
  </si>
  <si>
    <t>Johannes Mainhardt (Germany)</t>
  </si>
  <si>
    <t>Andrew Pospielovsky (Great Britain)</t>
  </si>
  <si>
    <t>Olga Tomash (Ukraine)</t>
  </si>
  <si>
    <t>ზაალ ფირცხელავა</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</si>
  <si>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</si>
  <si>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</si>
  <si>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</si>
  <si>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</si>
  <si>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</si>
  <si>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</si>
  <si>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</si>
  <si>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</si>
  <si>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</si>
  <si>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გიორგი ნადარეიშვილი</t>
  </si>
  <si>
    <t>რისკების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</si>
  <si>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</si>
  <si>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</si>
  <si>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</si>
  <si>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</si>
  <si>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</si>
  <si>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</si>
  <si>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</si>
  <si>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</si>
  <si>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</si>
  <si>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</si>
  <si>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</si>
  <si>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</si>
  <si>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</si>
  <si>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</si>
  <si>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</si>
  <si>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</si>
  <si>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</si>
  <si>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</si>
  <si>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</si>
  <si>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</si>
  <si>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სს "კრედობანკი"</t>
  </si>
  <si>
    <t>ტომას ენგელჰარდტი</t>
  </si>
  <si>
    <t>www.credo.ge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</si>
</sst>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 numFmtId="195" formatCode="_(* #,##0.0_);_(* \(#,##0.0\);_(* &quot;-&quot;??_);_(@_)"/>
    <numFmt numFmtId="196" formatCode="_(* #,##0.0000000_);_(* \(#,##0.0000000\);_(* &quot;-&quot;??_);_(@_)"/>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
      <b/>
      <sz val="11"/>
      <color theme="1"/>
      <name val="Sylfaen"/>
      <family val="1"/>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9"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9"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9"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68"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9"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72">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4" fillId="0" borderId="20" xfId="0" applyNumberFormat="1" applyFont="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2" xfId="20" applyBorder="1"/>
    <xf numFmtId="0" fontId="4" fillId="0" borderId="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69" fontId="26" fillId="37" borderId="29" xfId="20" applyBorder="1"/>
    <xf numFmtId="169" fontId="26" fillId="37" borderId="109" xfId="20" applyBorder="1"/>
    <xf numFmtId="169" fontId="26" fillId="37" borderId="100"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6"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98" xfId="0" applyFont="1" applyBorder="1" applyAlignment="1">
      <alignment horizontal="center" vertical="center" wrapText="1"/>
    </xf>
    <xf numFmtId="0" fontId="106" fillId="0" borderId="86" xfId="0" applyFont="1" applyBorder="1" applyAlignment="1">
      <alignment horizontal="right" vertical="center"/>
    </xf>
    <xf numFmtId="0" fontId="4" fillId="0" borderId="112" xfId="0" applyFont="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Border="1" applyAlignment="1">
      <alignment horizontal="center" vertical="center"/>
    </xf>
    <xf numFmtId="0" fontId="4" fillId="0" borderId="112" xfId="0" applyFont="1" applyBorder="1" applyAlignment="1">
      <alignment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4" xfId="0" applyBorder="1"/>
    <xf numFmtId="0" fontId="0" fillId="0" borderId="22" xfId="0" applyBorder="1"/>
    <xf numFmtId="0" fontId="6" fillId="36" borderId="115"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4"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98"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3" fontId="21" fillId="0" borderId="98" xfId="0" applyNumberFormat="1" applyFont="1" applyBorder="1" applyAlignment="1">
      <alignment vertical="center" wrapText="1"/>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4"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4"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4" fontId="113" fillId="79" borderId="98" xfId="948" applyNumberFormat="1" applyFont="1" applyFill="1" applyBorder="1" applyAlignment="1" applyProtection="1">
      <alignment horizontal="right" vertical="center"/>
    </xf>
    <xf numFmtId="164"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4" fontId="112" fillId="78" borderId="97" xfId="948" applyNumberFormat="1" applyFont="1" applyFill="1" applyBorder="1" applyAlignment="1" applyProtection="1">
      <alignment horizontal="right" vertical="center"/>
      <protection locked="0"/>
    </xf>
    <xf numFmtId="164"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4"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1" fillId="36" borderId="99"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9"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2" xfId="0" applyFont="1" applyBorder="1"/>
    <xf numFmtId="0" fontId="4" fillId="0" borderId="24" xfId="0" applyFont="1" applyBorder="1"/>
    <xf numFmtId="0" fontId="9" fillId="0" borderId="112" xfId="0" applyFont="1" applyBorder="1"/>
    <xf numFmtId="0" fontId="9" fillId="0" borderId="112" xfId="0" applyFont="1" applyBorder="1" applyAlignment="1">
      <alignment wrapText="1"/>
    </xf>
    <xf numFmtId="0" fontId="10" fillId="0" borderId="18" xfId="0" applyFont="1" applyBorder="1" applyAlignment="1">
      <alignment horizontal="center"/>
    </xf>
    <xf numFmtId="0" fontId="10" fillId="0" borderId="112"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4"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3" fontId="7" fillId="0" borderId="98" xfId="0" applyNumberFormat="1" applyFont="1" applyBorder="1" applyAlignment="1" applyProtection="1">
      <alignment vertical="center" wrapText="1"/>
      <protection locked="0"/>
    </xf>
    <xf numFmtId="193" fontId="4" fillId="0" borderId="98" xfId="0" applyNumberFormat="1" applyFont="1" applyBorder="1" applyAlignment="1" applyProtection="1">
      <alignment vertical="center" wrapText="1"/>
      <protection locked="0"/>
    </xf>
    <xf numFmtId="193" fontId="4" fillId="0" borderId="112" xfId="0" applyNumberFormat="1" applyFont="1" applyBorder="1" applyAlignment="1" applyProtection="1">
      <alignment vertical="center" wrapText="1"/>
      <protection locked="0"/>
    </xf>
    <xf numFmtId="193" fontId="7" fillId="0" borderId="98" xfId="0" applyNumberFormat="1" applyFont="1" applyBorder="1" applyAlignment="1" applyProtection="1">
      <alignment horizontal="right" vertical="center" wrapText="1"/>
      <protection locked="0"/>
    </xf>
    <xf numFmtId="0" fontId="9" fillId="2" borderId="114"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10" fontId="4" fillId="0" borderId="98" xfId="20961" applyNumberFormat="1" applyFont="1" applyBorder="1" applyAlignment="1" applyProtection="1">
      <alignment vertical="center" wrapText="1"/>
      <protection locked="0"/>
    </xf>
    <xf numFmtId="10" fontId="4" fillId="0" borderId="112" xfId="20961" applyNumberFormat="1" applyFont="1" applyBorder="1" applyAlignment="1" applyProtection="1">
      <alignment vertical="center" wrapText="1"/>
      <protection locked="0"/>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4" xfId="0" applyFont="1" applyBorder="1"/>
    <xf numFmtId="0" fontId="4" fillId="0" borderId="98" xfId="0" applyFont="1" applyBorder="1" applyAlignment="1">
      <alignment wrapText="1"/>
    </xf>
    <xf numFmtId="164" fontId="4" fillId="0" borderId="98" xfId="7" applyNumberFormat="1" applyFont="1" applyBorder="1"/>
    <xf numFmtId="164" fontId="4" fillId="0" borderId="112" xfId="7" applyNumberFormat="1" applyFont="1" applyBorder="1"/>
    <xf numFmtId="0" fontId="14" fillId="0" borderId="98" xfId="0" applyFont="1" applyBorder="1" applyAlignment="1">
      <alignment horizontal="left" wrapText="1" indent="2"/>
    </xf>
    <xf numFmtId="169" fontId="26" fillId="37" borderId="98" xfId="20" applyBorder="1"/>
    <xf numFmtId="164" fontId="4" fillId="0" borderId="98" xfId="7" applyNumberFormat="1" applyFont="1" applyBorder="1" applyAlignment="1">
      <alignment vertical="center"/>
    </xf>
    <xf numFmtId="0" fontId="6" fillId="0" borderId="114" xfId="0" applyFont="1" applyBorder="1"/>
    <xf numFmtId="0" fontId="6" fillId="0" borderId="98" xfId="0" applyFont="1" applyBorder="1" applyAlignment="1">
      <alignment wrapText="1"/>
    </xf>
    <xf numFmtId="164" fontId="6" fillId="0" borderId="112"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5"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8" xfId="0" applyFont="1" applyBorder="1" applyAlignment="1">
      <alignment horizontal="left" vertical="center" wrapText="1"/>
    </xf>
    <xf numFmtId="0" fontId="125" fillId="0" borderId="0" xfId="0" applyFont="1"/>
    <xf numFmtId="49" fontId="106" fillId="0" borderId="98"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2" xfId="2" applyNumberFormat="1" applyFont="1" applyFill="1" applyBorder="1" applyAlignment="1" applyProtection="1">
      <alignment vertical="top" wrapText="1"/>
      <protection locked="0"/>
    </xf>
    <xf numFmtId="0" fontId="9" fillId="0" borderId="98" xfId="0" applyFont="1" applyBorder="1" applyAlignment="1">
      <alignment horizontal="center" vertical="center"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5" xfId="0" applyFont="1" applyBorder="1" applyAlignment="1">
      <alignment horizontal="left" vertical="center" wrapText="1"/>
    </xf>
    <xf numFmtId="0" fontId="132" fillId="0" borderId="135" xfId="0" applyFont="1" applyBorder="1" applyAlignment="1">
      <alignment horizontal="left" vertical="center" wrapText="1"/>
    </xf>
    <xf numFmtId="0" fontId="133" fillId="3"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xf>
    <xf numFmtId="0" fontId="132" fillId="3" borderId="136" xfId="0" applyFont="1" applyFill="1" applyBorder="1" applyAlignment="1">
      <alignment horizontal="left" vertical="center" wrapText="1"/>
    </xf>
    <xf numFmtId="0" fontId="133" fillId="0" borderId="135"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7" xfId="0" applyFont="1" applyFill="1" applyBorder="1" applyAlignment="1">
      <alignment horizontal="left" vertical="center" wrapText="1"/>
    </xf>
    <xf numFmtId="0" fontId="0" fillId="36" borderId="138" xfId="0" applyFill="1" applyBorder="1"/>
    <xf numFmtId="0" fontId="131" fillId="3" borderId="138"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5" xfId="0" applyFont="1" applyBorder="1" applyAlignment="1">
      <alignment horizontal="left" vertical="center" wrapText="1" indent="1"/>
    </xf>
    <xf numFmtId="0" fontId="131" fillId="0" borderId="136" xfId="0" applyFont="1" applyBorder="1" applyAlignment="1">
      <alignment horizontal="left" vertical="center" wrapText="1" indent="1"/>
    </xf>
    <xf numFmtId="0" fontId="132" fillId="0" borderId="138" xfId="21414" applyFont="1" applyBorder="1" applyAlignment="1">
      <alignment horizontal="left" vertical="center" wrapText="1"/>
    </xf>
    <xf numFmtId="0" fontId="132" fillId="3" borderId="138" xfId="21414" applyFont="1" applyFill="1" applyBorder="1" applyAlignment="1">
      <alignment horizontal="left" vertical="center" wrapText="1"/>
    </xf>
    <xf numFmtId="0" fontId="134" fillId="0" borderId="138" xfId="21414" applyFont="1" applyBorder="1" applyAlignment="1">
      <alignment horizontal="center" vertical="center" wrapText="1"/>
    </xf>
    <xf numFmtId="0" fontId="135" fillId="0" borderId="138" xfId="0" applyFont="1" applyBorder="1" applyAlignment="1">
      <alignment horizontal="left"/>
    </xf>
    <xf numFmtId="0" fontId="132" fillId="0" borderId="138" xfId="0" applyFont="1" applyBorder="1" applyAlignment="1">
      <alignment horizontal="left" vertical="center" wrapText="1"/>
    </xf>
    <xf numFmtId="0" fontId="0" fillId="0" borderId="0" xfId="0" applyAlignment="1">
      <alignment horizontal="left" vertical="center"/>
    </xf>
    <xf numFmtId="0" fontId="9" fillId="0" borderId="138" xfId="0" applyFont="1" applyBorder="1" applyAlignment="1">
      <alignment horizontal="center" vertical="center" wrapText="1"/>
    </xf>
    <xf numFmtId="0" fontId="132" fillId="0" borderId="143" xfId="0" applyFont="1" applyBorder="1" applyAlignment="1">
      <alignment horizontal="justify" vertical="center" wrapText="1"/>
    </xf>
    <xf numFmtId="0" fontId="131" fillId="0" borderId="137" xfId="0" applyFont="1" applyBorder="1" applyAlignment="1">
      <alignment horizontal="left" vertical="center" wrapText="1" indent="1"/>
    </xf>
    <xf numFmtId="0" fontId="132" fillId="0" borderId="135" xfId="0" applyFont="1" applyBorder="1" applyAlignment="1">
      <alignment horizontal="justify" vertical="center" wrapText="1"/>
    </xf>
    <xf numFmtId="0" fontId="130" fillId="0" borderId="135" xfId="0" applyFont="1" applyBorder="1" applyAlignment="1">
      <alignment horizontal="justify" vertical="center" wrapText="1"/>
    </xf>
    <xf numFmtId="0" fontId="132" fillId="3" borderId="135" xfId="0" applyFont="1" applyFill="1" applyBorder="1" applyAlignment="1">
      <alignment horizontal="justify" vertical="center" wrapText="1"/>
    </xf>
    <xf numFmtId="0" fontId="132" fillId="0" borderId="136" xfId="0" applyFont="1" applyBorder="1" applyAlignment="1">
      <alignment horizontal="justify" vertical="center" wrapText="1"/>
    </xf>
    <xf numFmtId="0" fontId="132" fillId="0" borderId="137" xfId="0" applyFont="1" applyBorder="1" applyAlignment="1">
      <alignment horizontal="justify" vertical="center" wrapText="1"/>
    </xf>
    <xf numFmtId="0" fontId="132" fillId="0" borderId="138" xfId="21414" applyFont="1" applyBorder="1" applyAlignment="1">
      <alignment horizontal="justify" vertical="center" wrapText="1"/>
    </xf>
    <xf numFmtId="0" fontId="133" fillId="0" borderId="129" xfId="0" applyFont="1" applyBorder="1" applyAlignment="1">
      <alignment horizontal="left" vertical="center" wrapText="1" indent="1"/>
    </xf>
    <xf numFmtId="0" fontId="130" fillId="0" borderId="135" xfId="0" applyFont="1" applyBorder="1" applyAlignment="1">
      <alignment vertical="center" wrapText="1"/>
    </xf>
    <xf numFmtId="0" fontId="132" fillId="0" borderId="135" xfId="0" applyFont="1" applyBorder="1" applyAlignment="1">
      <alignment vertical="center" wrapText="1"/>
    </xf>
    <xf numFmtId="0" fontId="132" fillId="0" borderId="138" xfId="21414" applyFont="1" applyBorder="1" applyAlignment="1">
      <alignment vertical="center" wrapText="1"/>
    </xf>
    <xf numFmtId="0" fontId="9" fillId="0" borderId="112" xfId="0" applyFont="1" applyBorder="1" applyAlignment="1">
      <alignment horizontal="center" vertical="center" wrapText="1"/>
    </xf>
    <xf numFmtId="0" fontId="0" fillId="0" borderId="138" xfId="0" applyBorder="1" applyAlignment="1">
      <alignment horizontal="center"/>
    </xf>
    <xf numFmtId="0" fontId="15" fillId="83" borderId="138" xfId="0" applyFont="1" applyFill="1" applyBorder="1" applyAlignment="1">
      <alignment vertical="center" wrapText="1"/>
    </xf>
    <xf numFmtId="193" fontId="9" fillId="0" borderId="138" xfId="0" applyNumberFormat="1" applyFont="1" applyBorder="1" applyAlignment="1">
      <alignment horizontal="right"/>
    </xf>
    <xf numFmtId="193" fontId="9" fillId="36" borderId="138" xfId="0" applyNumberFormat="1" applyFont="1" applyFill="1" applyBorder="1" applyAlignment="1">
      <alignment horizontal="right"/>
    </xf>
    <xf numFmtId="193" fontId="9" fillId="36" borderId="112" xfId="0" applyNumberFormat="1" applyFont="1" applyFill="1" applyBorder="1" applyAlignment="1">
      <alignment horizontal="right"/>
    </xf>
    <xf numFmtId="0" fontId="15" fillId="0" borderId="138" xfId="0" applyFont="1" applyBorder="1" applyAlignment="1">
      <alignment vertical="center" wrapText="1"/>
    </xf>
    <xf numFmtId="0" fontId="7" fillId="0" borderId="138" xfId="0" applyFont="1" applyBorder="1" applyAlignment="1">
      <alignment horizontal="left" vertical="center" wrapText="1" indent="1"/>
    </xf>
    <xf numFmtId="0" fontId="3" fillId="0" borderId="138" xfId="0" applyFont="1" applyBorder="1" applyAlignment="1">
      <alignment vertical="center"/>
    </xf>
    <xf numFmtId="0" fontId="136" fillId="0" borderId="138" xfId="0" applyFont="1" applyBorder="1" applyAlignment="1" applyProtection="1">
      <alignment horizontal="left" vertical="center" indent="1"/>
      <protection locked="0"/>
    </xf>
    <xf numFmtId="0" fontId="137" fillId="0" borderId="138" xfId="0" applyFont="1" applyBorder="1" applyAlignment="1" applyProtection="1">
      <alignment horizontal="left" vertical="center" indent="3"/>
      <protection locked="0"/>
    </xf>
    <xf numFmtId="0" fontId="138" fillId="0" borderId="138" xfId="0" applyFont="1" applyBorder="1" applyAlignment="1" applyProtection="1">
      <alignment horizontal="left" vertical="center" indent="3"/>
      <protection locked="0"/>
    </xf>
    <xf numFmtId="0" fontId="3" fillId="0" borderId="138"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8" xfId="0" applyNumberFormat="1" applyFont="1" applyBorder="1" applyAlignment="1">
      <alignment horizontal="right" vertical="center"/>
    </xf>
    <xf numFmtId="0" fontId="0" fillId="0" borderId="138" xfId="0" applyBorder="1" applyAlignment="1">
      <alignment horizontal="center" vertical="center"/>
    </xf>
    <xf numFmtId="43" fontId="4" fillId="0" borderId="138" xfId="7" applyFont="1" applyFill="1" applyBorder="1" applyAlignment="1">
      <alignment vertical="center" wrapText="1"/>
    </xf>
    <xf numFmtId="43" fontId="4" fillId="0" borderId="98" xfId="7" applyFont="1" applyBorder="1" applyAlignment="1">
      <alignment vertical="center"/>
    </xf>
    <xf numFmtId="43" fontId="4" fillId="0" borderId="138" xfId="7" applyFont="1" applyBorder="1" applyAlignment="1">
      <alignment vertical="center"/>
    </xf>
    <xf numFmtId="0" fontId="0" fillId="0" borderId="142" xfId="0" applyBorder="1" applyAlignment="1">
      <alignment horizontal="center"/>
    </xf>
    <xf numFmtId="0" fontId="131" fillId="0" borderId="142" xfId="21414" applyFont="1" applyBorder="1" applyAlignment="1">
      <alignment horizontal="left" vertical="center" wrapText="1" indent="1"/>
    </xf>
    <xf numFmtId="0" fontId="131" fillId="3" borderId="138" xfId="0" applyFont="1" applyFill="1" applyBorder="1" applyAlignment="1">
      <alignment horizontal="left" vertical="center" wrapText="1" indent="1"/>
    </xf>
    <xf numFmtId="167" fontId="23" fillId="0" borderId="138" xfId="0" applyNumberFormat="1" applyFont="1" applyBorder="1" applyAlignment="1">
      <alignment horizontal="center"/>
    </xf>
    <xf numFmtId="0" fontId="23" fillId="0" borderId="138" xfId="0" applyFont="1" applyBorder="1"/>
    <xf numFmtId="0" fontId="131" fillId="0" borderId="138" xfId="0" applyFont="1" applyBorder="1" applyAlignment="1">
      <alignment horizontal="left" vertical="center" wrapText="1" indent="1"/>
    </xf>
    <xf numFmtId="0" fontId="133" fillId="3" borderId="138" xfId="0" applyFont="1" applyFill="1" applyBorder="1" applyAlignment="1">
      <alignment horizontal="left" vertical="center" wrapText="1" indent="1"/>
    </xf>
    <xf numFmtId="0" fontId="133" fillId="0" borderId="138"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Border="1" applyAlignment="1">
      <alignment horizontal="center" vertical="center"/>
    </xf>
    <xf numFmtId="193" fontId="23" fillId="0" borderId="138" xfId="0" applyNumberFormat="1" applyFont="1" applyBorder="1" applyAlignment="1">
      <alignment horizontal="center" vertical="center"/>
    </xf>
    <xf numFmtId="0" fontId="23" fillId="0" borderId="138" xfId="0" applyFont="1" applyBorder="1" applyAlignment="1">
      <alignment horizontal="center"/>
    </xf>
    <xf numFmtId="0" fontId="23" fillId="0" borderId="138" xfId="0" applyFont="1" applyBorder="1" applyAlignment="1">
      <alignment horizontal="center" vertical="center"/>
    </xf>
    <xf numFmtId="193" fontId="22" fillId="0" borderId="30"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22" fillId="0" borderId="138" xfId="0" applyNumberFormat="1" applyFont="1" applyBorder="1" applyAlignment="1">
      <alignment horizontal="center" vertical="center"/>
    </xf>
    <xf numFmtId="0" fontId="22" fillId="0" borderId="138" xfId="0" applyFont="1" applyBorder="1" applyAlignment="1">
      <alignment horizontal="center" vertical="center"/>
    </xf>
    <xf numFmtId="0" fontId="120" fillId="0" borderId="138" xfId="0" applyFont="1" applyBorder="1"/>
    <xf numFmtId="49" fontId="122" fillId="0" borderId="138" xfId="5" applyNumberFormat="1" applyFont="1" applyBorder="1" applyAlignment="1" applyProtection="1">
      <alignment horizontal="right" vertical="center"/>
      <protection locked="0"/>
    </xf>
    <xf numFmtId="0" fontId="121" fillId="3" borderId="138" xfId="13" applyFont="1" applyFill="1" applyBorder="1" applyAlignment="1" applyProtection="1">
      <alignment horizontal="left" vertical="center" wrapText="1"/>
      <protection locked="0"/>
    </xf>
    <xf numFmtId="49" fontId="121" fillId="3" borderId="138" xfId="5" applyNumberFormat="1" applyFont="1" applyFill="1" applyBorder="1" applyAlignment="1" applyProtection="1">
      <alignment horizontal="right" vertical="center"/>
      <protection locked="0"/>
    </xf>
    <xf numFmtId="0" fontId="121" fillId="0" borderId="138" xfId="13" applyFont="1" applyBorder="1" applyAlignment="1" applyProtection="1">
      <alignment horizontal="left" vertical="center" wrapText="1"/>
      <protection locked="0"/>
    </xf>
    <xf numFmtId="49" fontId="121" fillId="0" borderId="138" xfId="5" applyNumberFormat="1" applyFont="1" applyBorder="1" applyAlignment="1" applyProtection="1">
      <alignment horizontal="right" vertical="center"/>
      <protection locked="0"/>
    </xf>
    <xf numFmtId="0" fontId="123" fillId="0" borderId="138" xfId="13" applyFont="1" applyBorder="1" applyAlignment="1" applyProtection="1">
      <alignment horizontal="left" vertical="center" wrapText="1"/>
      <protection locked="0"/>
    </xf>
    <xf numFmtId="0" fontId="120" fillId="0" borderId="138" xfId="0" applyFont="1" applyBorder="1" applyAlignment="1">
      <alignment horizontal="center" vertical="center" wrapText="1"/>
    </xf>
    <xf numFmtId="166" fontId="116" fillId="36" borderId="146" xfId="21413" applyFont="1" applyFill="1" applyBorder="1"/>
    <xf numFmtId="0" fontId="116" fillId="0" borderId="146" xfId="0" applyFont="1" applyBorder="1"/>
    <xf numFmtId="0" fontId="116" fillId="0" borderId="146" xfId="0" applyFont="1" applyBorder="1" applyAlignment="1">
      <alignment horizontal="left" indent="8"/>
    </xf>
    <xf numFmtId="0" fontId="116" fillId="0" borderId="146" xfId="0" applyFont="1" applyBorder="1" applyAlignment="1">
      <alignment wrapText="1"/>
    </xf>
    <xf numFmtId="0" fontId="119" fillId="0" borderId="146" xfId="0" applyFont="1" applyBorder="1"/>
    <xf numFmtId="49" fontId="122" fillId="0" borderId="146" xfId="5" applyNumberFormat="1" applyFont="1" applyBorder="1" applyAlignment="1" applyProtection="1">
      <alignment horizontal="right" vertical="center" wrapText="1"/>
      <protection locked="0"/>
    </xf>
    <xf numFmtId="0" fontId="121" fillId="3" borderId="146" xfId="13" applyFont="1" applyFill="1" applyBorder="1" applyAlignment="1" applyProtection="1">
      <alignment horizontal="left" vertical="center" wrapText="1"/>
      <protection locked="0"/>
    </xf>
    <xf numFmtId="49" fontId="121" fillId="3" borderId="146" xfId="5" applyNumberFormat="1" applyFont="1" applyFill="1" applyBorder="1" applyAlignment="1" applyProtection="1">
      <alignment horizontal="right" vertical="center" wrapText="1"/>
      <protection locked="0"/>
    </xf>
    <xf numFmtId="0" fontId="121" fillId="0" borderId="146" xfId="13" applyFont="1" applyBorder="1" applyAlignment="1" applyProtection="1">
      <alignment horizontal="left" vertical="center" wrapText="1"/>
      <protection locked="0"/>
    </xf>
    <xf numFmtId="49" fontId="121" fillId="0" borderId="146" xfId="5" applyNumberFormat="1" applyFont="1" applyBorder="1" applyAlignment="1" applyProtection="1">
      <alignment horizontal="right" vertical="center" wrapText="1"/>
      <protection locked="0"/>
    </xf>
    <xf numFmtId="0" fontId="123" fillId="0" borderId="146" xfId="13" applyFont="1" applyBorder="1" applyAlignment="1" applyProtection="1">
      <alignment horizontal="left" vertical="center" wrapText="1"/>
      <protection locked="0"/>
    </xf>
    <xf numFmtId="0" fontId="116" fillId="0" borderId="146"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6" xfId="0" applyFont="1" applyBorder="1" applyAlignment="1">
      <alignment horizontal="left" vertical="center" wrapText="1"/>
    </xf>
    <xf numFmtId="0" fontId="120" fillId="0" borderId="146" xfId="0" applyFont="1" applyBorder="1"/>
    <xf numFmtId="0" fontId="119" fillId="0" borderId="146" xfId="0" applyFont="1" applyBorder="1" applyAlignment="1">
      <alignment horizontal="left" wrapText="1" indent="1"/>
    </xf>
    <xf numFmtId="0" fontId="119" fillId="0" borderId="146" xfId="0" applyFont="1" applyBorder="1" applyAlignment="1">
      <alignment horizontal="left" vertical="center" indent="1"/>
    </xf>
    <xf numFmtId="0" fontId="117" fillId="0" borderId="146" xfId="0" applyFont="1" applyBorder="1"/>
    <xf numFmtId="0" fontId="116" fillId="0" borderId="146" xfId="0" applyFont="1" applyBorder="1" applyAlignment="1">
      <alignment horizontal="left" wrapText="1" indent="1"/>
    </xf>
    <xf numFmtId="0" fontId="116" fillId="0" borderId="146" xfId="0" applyFont="1" applyBorder="1" applyAlignment="1">
      <alignment horizontal="left" indent="1"/>
    </xf>
    <xf numFmtId="0" fontId="116" fillId="0" borderId="146" xfId="0" applyFont="1" applyBorder="1" applyAlignment="1">
      <alignment horizontal="left" wrapText="1" indent="4"/>
    </xf>
    <xf numFmtId="0" fontId="116" fillId="0" borderId="146" xfId="0" applyFont="1" applyBorder="1" applyAlignment="1">
      <alignment horizontal="left" indent="3"/>
    </xf>
    <xf numFmtId="0" fontId="119" fillId="0" borderId="146" xfId="0" applyFont="1" applyBorder="1" applyAlignment="1">
      <alignment horizontal="left" indent="1"/>
    </xf>
    <xf numFmtId="0" fontId="120" fillId="0" borderId="146" xfId="0" applyFont="1" applyBorder="1" applyAlignment="1">
      <alignment horizontal="center" vertical="center" wrapText="1"/>
    </xf>
    <xf numFmtId="0" fontId="116" fillId="80" borderId="146" xfId="0" applyFont="1" applyFill="1" applyBorder="1"/>
    <xf numFmtId="0" fontId="119" fillId="0" borderId="7" xfId="0" applyFont="1" applyBorder="1"/>
    <xf numFmtId="0" fontId="116" fillId="0" borderId="146" xfId="0" applyFont="1" applyBorder="1" applyAlignment="1">
      <alignment horizontal="left" wrapText="1" indent="2"/>
    </xf>
    <xf numFmtId="0" fontId="116" fillId="0" borderId="146" xfId="0" applyFont="1" applyBorder="1" applyAlignment="1">
      <alignment horizontal="left" wrapText="1"/>
    </xf>
    <xf numFmtId="0" fontId="119" fillId="84" borderId="146" xfId="0" applyFont="1" applyFill="1" applyBorder="1"/>
    <xf numFmtId="0" fontId="116" fillId="0" borderId="146"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2" xfId="0" applyFont="1" applyBorder="1"/>
    <xf numFmtId="0" fontId="116" fillId="0" borderId="153" xfId="0" applyFont="1" applyBorder="1"/>
    <xf numFmtId="49" fontId="116" fillId="0" borderId="154" xfId="0" applyNumberFormat="1" applyFont="1" applyBorder="1" applyAlignment="1">
      <alignment horizontal="left" wrapText="1" indent="1"/>
    </xf>
    <xf numFmtId="49" fontId="116" fillId="0" borderId="152" xfId="0" applyNumberFormat="1" applyFont="1" applyBorder="1" applyAlignment="1">
      <alignment horizontal="left" wrapText="1" indent="1"/>
    </xf>
    <xf numFmtId="0" fontId="116" fillId="0" borderId="154" xfId="0" applyFont="1" applyBorder="1" applyAlignment="1">
      <alignment horizontal="left" wrapText="1" indent="1"/>
    </xf>
    <xf numFmtId="0" fontId="116" fillId="0" borderId="155" xfId="0" applyFont="1" applyBorder="1"/>
    <xf numFmtId="49" fontId="116" fillId="0" borderId="156" xfId="0" applyNumberFormat="1" applyFont="1" applyBorder="1" applyAlignment="1">
      <alignment horizontal="left" wrapText="1" indent="1"/>
    </xf>
    <xf numFmtId="49" fontId="116" fillId="0" borderId="155"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6" xfId="0" applyNumberFormat="1" applyFont="1" applyBorder="1" applyAlignment="1">
      <alignment horizontal="left" wrapText="1" indent="3"/>
    </xf>
    <xf numFmtId="49" fontId="116" fillId="0" borderId="155" xfId="0" applyNumberFormat="1" applyFont="1" applyBorder="1" applyAlignment="1">
      <alignment horizontal="left" wrapText="1" indent="3"/>
    </xf>
    <xf numFmtId="49" fontId="116" fillId="0" borderId="156" xfId="0" applyNumberFormat="1" applyFont="1" applyBorder="1" applyAlignment="1">
      <alignment horizontal="left" wrapText="1" indent="2"/>
    </xf>
    <xf numFmtId="49" fontId="116" fillId="0" borderId="155" xfId="0" applyNumberFormat="1" applyFont="1" applyBorder="1" applyAlignment="1">
      <alignment horizontal="left" wrapText="1" indent="2"/>
    </xf>
    <xf numFmtId="49" fontId="116" fillId="0" borderId="155" xfId="0" applyNumberFormat="1" applyFont="1" applyBorder="1" applyAlignment="1">
      <alignment horizontal="left" vertical="top" wrapText="1" indent="2"/>
    </xf>
    <xf numFmtId="0" fontId="116" fillId="81" borderId="155" xfId="0" applyFont="1" applyFill="1" applyBorder="1"/>
    <xf numFmtId="0" fontId="116" fillId="81" borderId="146" xfId="0" applyFont="1" applyFill="1" applyBorder="1"/>
    <xf numFmtId="0" fontId="116" fillId="81" borderId="156" xfId="0" applyFont="1" applyFill="1" applyBorder="1"/>
    <xf numFmtId="49" fontId="116" fillId="0" borderId="155" xfId="0" applyNumberFormat="1" applyFont="1" applyBorder="1" applyAlignment="1">
      <alignment horizontal="left" indent="1"/>
    </xf>
    <xf numFmtId="0" fontId="116" fillId="0" borderId="156" xfId="0" applyFont="1" applyBorder="1" applyAlignment="1">
      <alignment horizontal="left" indent="1"/>
    </xf>
    <xf numFmtId="49" fontId="116" fillId="0" borderId="156" xfId="0" applyNumberFormat="1" applyFont="1" applyBorder="1" applyAlignment="1">
      <alignment horizontal="left" indent="1"/>
    </xf>
    <xf numFmtId="49" fontId="116" fillId="0" borderId="156" xfId="0" applyNumberFormat="1" applyFont="1" applyBorder="1" applyAlignment="1">
      <alignment horizontal="left" indent="3"/>
    </xf>
    <xf numFmtId="49" fontId="116" fillId="0" borderId="155" xfId="0" applyNumberFormat="1" applyFont="1" applyBorder="1" applyAlignment="1">
      <alignment horizontal="left" indent="3"/>
    </xf>
    <xf numFmtId="0" fontId="116" fillId="0" borderId="156" xfId="0" applyFont="1" applyBorder="1" applyAlignment="1">
      <alignment horizontal="left" indent="2"/>
    </xf>
    <xf numFmtId="0" fontId="116" fillId="0" borderId="155" xfId="0" applyFont="1" applyBorder="1" applyAlignment="1">
      <alignment horizontal="left" indent="2"/>
    </xf>
    <xf numFmtId="0" fontId="116" fillId="0" borderId="155" xfId="0" applyFont="1" applyBorder="1" applyAlignment="1">
      <alignment horizontal="left" indent="1"/>
    </xf>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6" xfId="0" applyFont="1" applyBorder="1" applyAlignment="1">
      <alignment horizontal="left" vertical="center" wrapText="1"/>
    </xf>
    <xf numFmtId="0" fontId="9" fillId="0" borderId="0" xfId="0" applyFont="1" applyAlignment="1">
      <alignment wrapText="1"/>
    </xf>
    <xf numFmtId="0" fontId="119" fillId="0" borderId="146"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3" xfId="0" applyFont="1" applyBorder="1" applyAlignment="1">
      <alignment horizontal="left" vertical="center" wrapText="1" indent="1" readingOrder="1"/>
    </xf>
    <xf numFmtId="0" fontId="121" fillId="0" borderId="146" xfId="0" applyFont="1" applyBorder="1" applyAlignment="1">
      <alignment horizontal="left" indent="3"/>
    </xf>
    <xf numFmtId="0" fontId="119" fillId="0" borderId="146" xfId="0" applyFont="1" applyBorder="1" applyAlignment="1">
      <alignment vertical="center" wrapText="1" readingOrder="1"/>
    </xf>
    <xf numFmtId="0" fontId="121" fillId="0" borderId="146" xfId="0" applyFont="1" applyBorder="1" applyAlignment="1">
      <alignment horizontal="left" indent="2"/>
    </xf>
    <xf numFmtId="0" fontId="116" fillId="0" borderId="134" xfId="0" applyFont="1" applyBorder="1" applyAlignment="1">
      <alignment vertical="center" wrapText="1" readingOrder="1"/>
    </xf>
    <xf numFmtId="0" fontId="121" fillId="0" borderId="147" xfId="0" applyFont="1" applyBorder="1" applyAlignment="1">
      <alignment horizontal="left" indent="2"/>
    </xf>
    <xf numFmtId="0" fontId="116" fillId="0" borderId="133" xfId="0" applyFont="1" applyBorder="1" applyAlignment="1">
      <alignment vertical="center" wrapText="1" readingOrder="1"/>
    </xf>
    <xf numFmtId="0" fontId="116" fillId="0" borderId="132" xfId="0" applyFont="1" applyBorder="1" applyAlignment="1">
      <alignment vertical="center" wrapText="1" readingOrder="1"/>
    </xf>
    <xf numFmtId="0" fontId="139" fillId="0" borderId="7" xfId="0" applyFont="1" applyBorder="1"/>
    <xf numFmtId="0" fontId="106" fillId="0" borderId="146" xfId="0" applyFont="1" applyBorder="1" applyAlignment="1">
      <alignment vertical="center" wrapText="1"/>
    </xf>
    <xf numFmtId="0" fontId="106" fillId="0" borderId="146" xfId="0" applyFont="1" applyBorder="1" applyAlignment="1">
      <alignment horizontal="left" vertical="center" wrapText="1"/>
    </xf>
    <xf numFmtId="0" fontId="106" fillId="0" borderId="146" xfId="0" applyFont="1" applyBorder="1" applyAlignment="1">
      <alignment horizontal="left" indent="2"/>
    </xf>
    <xf numFmtId="0" fontId="106" fillId="0" borderId="146" xfId="0" applyFont="1" applyBorder="1" applyAlignment="1">
      <alignment horizontal="left" vertical="center" indent="1"/>
    </xf>
    <xf numFmtId="0" fontId="106" fillId="0" borderId="146" xfId="0" applyFont="1" applyBorder="1" applyAlignment="1">
      <alignment horizontal="left" vertical="center" wrapText="1" indent="1"/>
    </xf>
    <xf numFmtId="0" fontId="106" fillId="0" borderId="146" xfId="0" applyFont="1" applyBorder="1" applyAlignment="1">
      <alignment horizontal="right" vertical="center"/>
    </xf>
    <xf numFmtId="49" fontId="106" fillId="0" borderId="146" xfId="0" applyNumberFormat="1" applyFont="1" applyBorder="1" applyAlignment="1">
      <alignment horizontal="right" vertical="center"/>
    </xf>
    <xf numFmtId="0" fontId="106" fillId="0" borderId="147" xfId="0" applyFont="1" applyBorder="1" applyAlignment="1">
      <alignment horizontal="left" vertical="top" wrapText="1"/>
    </xf>
    <xf numFmtId="49" fontId="106" fillId="0" borderId="146" xfId="0" applyNumberFormat="1" applyFont="1" applyBorder="1" applyAlignment="1">
      <alignment vertical="top" wrapText="1"/>
    </xf>
    <xf numFmtId="49" fontId="106" fillId="0" borderId="146" xfId="0" applyNumberFormat="1" applyFont="1" applyBorder="1" applyAlignment="1">
      <alignment horizontal="left" vertical="top" wrapText="1" indent="2"/>
    </xf>
    <xf numFmtId="49" fontId="106" fillId="0" borderId="146" xfId="0" applyNumberFormat="1" applyFont="1" applyBorder="1" applyAlignment="1">
      <alignment horizontal="left" vertical="center" wrapText="1" indent="3"/>
    </xf>
    <xf numFmtId="49" fontId="106" fillId="0" borderId="146" xfId="0" applyNumberFormat="1" applyFont="1" applyBorder="1" applyAlignment="1">
      <alignment horizontal="left" wrapText="1" indent="2"/>
    </xf>
    <xf numFmtId="49" fontId="106" fillId="0" borderId="146" xfId="0" applyNumberFormat="1" applyFont="1" applyBorder="1" applyAlignment="1">
      <alignment horizontal="left" vertical="top" wrapText="1"/>
    </xf>
    <xf numFmtId="49" fontId="106" fillId="0" borderId="146" xfId="0" applyNumberFormat="1" applyFont="1" applyBorder="1" applyAlignment="1">
      <alignment horizontal="left" wrapText="1" indent="3"/>
    </xf>
    <xf numFmtId="49" fontId="106" fillId="0" borderId="146" xfId="0" applyNumberFormat="1" applyFont="1" applyBorder="1" applyAlignment="1">
      <alignment vertical="center"/>
    </xf>
    <xf numFmtId="49" fontId="106" fillId="0" borderId="146" xfId="0" applyNumberFormat="1" applyFont="1" applyBorder="1" applyAlignment="1">
      <alignment horizontal="left" indent="3"/>
    </xf>
    <xf numFmtId="0" fontId="106" fillId="0" borderId="146" xfId="0" applyFont="1" applyBorder="1" applyAlignment="1">
      <alignment horizontal="left" indent="1"/>
    </xf>
    <xf numFmtId="0" fontId="106" fillId="0" borderId="146" xfId="0" applyFont="1" applyBorder="1" applyAlignment="1">
      <alignment horizontal="left" wrapText="1" indent="2"/>
    </xf>
    <xf numFmtId="0" fontId="106" fillId="0" borderId="146" xfId="0" applyFont="1" applyBorder="1" applyAlignment="1">
      <alignment horizontal="left" vertical="top" wrapText="1"/>
    </xf>
    <xf numFmtId="0" fontId="105" fillId="0" borderId="7" xfId="0" applyFont="1" applyBorder="1" applyAlignment="1">
      <alignment wrapText="1"/>
    </xf>
    <xf numFmtId="0" fontId="106" fillId="0" borderId="146" xfId="0" applyFont="1" applyBorder="1" applyAlignment="1">
      <alignment horizontal="left" vertical="top" wrapText="1" indent="2"/>
    </xf>
    <xf numFmtId="0" fontId="106" fillId="0" borderId="146" xfId="0" applyFont="1" applyBorder="1" applyAlignment="1">
      <alignment horizontal="left" wrapText="1"/>
    </xf>
    <xf numFmtId="0" fontId="106" fillId="0" borderId="146" xfId="12672" applyFont="1" applyBorder="1" applyAlignment="1">
      <alignment horizontal="left" vertical="center" wrapText="1" indent="2"/>
    </xf>
    <xf numFmtId="0" fontId="106" fillId="0" borderId="146" xfId="0" applyFont="1" applyBorder="1" applyAlignment="1">
      <alignment wrapText="1"/>
    </xf>
    <xf numFmtId="0" fontId="106" fillId="0" borderId="146" xfId="0" applyFont="1" applyBorder="1"/>
    <xf numFmtId="0" fontId="106" fillId="0" borderId="146" xfId="12672" applyFont="1" applyBorder="1" applyAlignment="1">
      <alignment horizontal="left" vertical="center" wrapText="1"/>
    </xf>
    <xf numFmtId="0" fontId="105" fillId="0" borderId="146" xfId="0" applyFont="1" applyBorder="1" applyAlignment="1">
      <alignment wrapText="1"/>
    </xf>
    <xf numFmtId="0" fontId="106" fillId="0" borderId="148" xfId="0" applyFont="1" applyBorder="1" applyAlignment="1">
      <alignment horizontal="left" vertical="center" wrapText="1"/>
    </xf>
    <xf numFmtId="0" fontId="106" fillId="3" borderId="146" xfId="5" applyFont="1" applyFill="1" applyBorder="1" applyAlignment="1" applyProtection="1">
      <alignment horizontal="right" vertical="center"/>
      <protection locked="0"/>
    </xf>
    <xf numFmtId="2" fontId="106" fillId="3" borderId="146" xfId="5" applyNumberFormat="1" applyFont="1" applyFill="1" applyBorder="1" applyAlignment="1" applyProtection="1">
      <alignment horizontal="right" vertical="center"/>
      <protection locked="0"/>
    </xf>
    <xf numFmtId="0" fontId="106" fillId="0" borderId="146" xfId="0" applyFont="1" applyBorder="1" applyAlignment="1">
      <alignment vertical="center"/>
    </xf>
    <xf numFmtId="0" fontId="106" fillId="0" borderId="148"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47"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7" xfId="0" applyFont="1" applyBorder="1" applyAlignment="1">
      <alignment horizontal="left" indent="2"/>
    </xf>
    <xf numFmtId="0" fontId="106" fillId="0" borderId="134" xfId="0" applyFont="1" applyBorder="1" applyAlignment="1">
      <alignment horizontal="left" vertical="center" wrapText="1" readingOrder="1"/>
    </xf>
    <xf numFmtId="0" fontId="106" fillId="0" borderId="146" xfId="0" applyFont="1" applyBorder="1" applyAlignment="1">
      <alignment horizontal="left" vertical="center" wrapText="1" readingOrder="1"/>
    </xf>
    <xf numFmtId="167"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3" xfId="20" applyBorder="1"/>
    <xf numFmtId="193" fontId="4" fillId="0" borderId="156" xfId="0" applyNumberFormat="1" applyFont="1" applyBorder="1" applyAlignment="1" applyProtection="1">
      <alignment vertical="center" wrapText="1"/>
      <protection locked="0"/>
    </xf>
    <xf numFmtId="193" fontId="4" fillId="0" borderId="146" xfId="0" applyNumberFormat="1" applyFont="1" applyBorder="1" applyAlignment="1" applyProtection="1">
      <alignment vertical="center" wrapText="1"/>
      <protection locked="0"/>
    </xf>
    <xf numFmtId="193" fontId="4" fillId="0" borderId="155" xfId="0"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0" fontId="4" fillId="0" borderId="146" xfId="20961" applyNumberFormat="1" applyFont="1" applyBorder="1" applyAlignment="1" applyProtection="1">
      <alignment vertical="center" wrapText="1"/>
      <protection locked="0"/>
    </xf>
    <xf numFmtId="10" fontId="4" fillId="0" borderId="155" xfId="20961" applyNumberFormat="1" applyFont="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6"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164" fontId="4" fillId="0" borderId="156" xfId="7" applyNumberFormat="1" applyFont="1" applyBorder="1" applyAlignment="1" applyProtection="1">
      <alignment vertical="center" wrapText="1"/>
      <protection locked="0"/>
    </xf>
    <xf numFmtId="164" fontId="4" fillId="0" borderId="146" xfId="7" applyNumberFormat="1" applyFont="1" applyBorder="1" applyAlignment="1" applyProtection="1">
      <alignment vertical="center" wrapText="1"/>
      <protection locked="0"/>
    </xf>
    <xf numFmtId="164" fontId="4" fillId="0" borderId="155" xfId="7" applyNumberFormat="1" applyFont="1" applyBorder="1" applyAlignment="1" applyProtection="1">
      <alignment vertical="center" wrapText="1"/>
      <protection locked="0"/>
    </xf>
    <xf numFmtId="10" fontId="17" fillId="2" borderId="156" xfId="20961" applyNumberFormat="1" applyFont="1" applyFill="1" applyBorder="1" applyAlignment="1" applyProtection="1">
      <alignment vertical="center"/>
      <protection locked="0"/>
    </xf>
    <xf numFmtId="10" fontId="17" fillId="2" borderId="146" xfId="20961" applyNumberFormat="1" applyFont="1" applyFill="1" applyBorder="1" applyAlignment="1" applyProtection="1">
      <alignment vertical="center"/>
      <protection locked="0"/>
    </xf>
    <xf numFmtId="10" fontId="17" fillId="2" borderId="155" xfId="20961" applyNumberFormat="1" applyFont="1" applyFill="1" applyBorder="1" applyAlignment="1" applyProtection="1">
      <alignment vertical="center"/>
      <protection locked="0"/>
    </xf>
    <xf numFmtId="10" fontId="9" fillId="2" borderId="156" xfId="20961" applyNumberFormat="1" applyFont="1" applyFill="1" applyBorder="1" applyAlignment="1" applyProtection="1">
      <alignment vertical="center"/>
      <protection locked="0"/>
    </xf>
    <xf numFmtId="10" fontId="9" fillId="2" borderId="146" xfId="20961" applyNumberFormat="1" applyFont="1" applyFill="1" applyBorder="1" applyAlignment="1" applyProtection="1">
      <alignment vertical="center"/>
      <protection locked="0"/>
    </xf>
    <xf numFmtId="10" fontId="9" fillId="2" borderId="155" xfId="20961" applyNumberFormat="1" applyFont="1" applyFill="1" applyBorder="1" applyAlignment="1" applyProtection="1">
      <alignment vertical="center"/>
      <protection locked="0"/>
    </xf>
    <xf numFmtId="193" fontId="9" fillId="0" borderId="146" xfId="0" applyNumberFormat="1" applyFont="1" applyBorder="1" applyAlignment="1" applyProtection="1">
      <alignment vertical="center"/>
      <protection locked="0"/>
    </xf>
    <xf numFmtId="165" fontId="9" fillId="0" borderId="146" xfId="20961" applyNumberFormat="1" applyFont="1" applyFill="1" applyBorder="1" applyAlignment="1" applyProtection="1">
      <alignment vertical="center"/>
      <protection locked="0"/>
    </xf>
    <xf numFmtId="10" fontId="9" fillId="0" borderId="146" xfId="20961" applyNumberFormat="1" applyFont="1" applyFill="1" applyBorder="1" applyAlignment="1" applyProtection="1">
      <alignment vertical="center"/>
      <protection locked="0"/>
    </xf>
    <xf numFmtId="193" fontId="9" fillId="0" borderId="147" xfId="0" applyNumberFormat="1" applyFont="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9" fontId="9" fillId="0" borderId="153" xfId="20961" applyFont="1" applyFill="1" applyBorder="1" applyAlignment="1" applyProtection="1">
      <alignment vertical="center"/>
      <protection locked="0"/>
    </xf>
    <xf numFmtId="9" fontId="9" fillId="2" borderId="153" xfId="20961" applyFont="1" applyFill="1" applyBorder="1" applyAlignment="1" applyProtection="1">
      <alignment vertical="center"/>
      <protection locked="0"/>
    </xf>
    <xf numFmtId="9" fontId="17" fillId="2" borderId="153" xfId="20961" applyFont="1" applyFill="1" applyBorder="1" applyAlignment="1" applyProtection="1">
      <alignment vertical="center"/>
      <protection locked="0"/>
    </xf>
    <xf numFmtId="164" fontId="4" fillId="0" borderId="53" xfId="7" applyNumberFormat="1" applyFont="1" applyBorder="1" applyAlignment="1">
      <alignment vertical="center"/>
    </xf>
    <xf numFmtId="164" fontId="4" fillId="0" borderId="53" xfId="0" applyNumberFormat="1" applyFont="1" applyBorder="1" applyAlignment="1">
      <alignment vertical="center"/>
    </xf>
    <xf numFmtId="164" fontId="4" fillId="0" borderId="64" xfId="0" applyNumberFormat="1" applyFont="1" applyBorder="1" applyAlignment="1">
      <alignment vertical="center"/>
    </xf>
    <xf numFmtId="164" fontId="4" fillId="0" borderId="99" xfId="7" applyNumberFormat="1" applyFont="1" applyBorder="1" applyAlignment="1">
      <alignment vertical="center"/>
    </xf>
    <xf numFmtId="164" fontId="4" fillId="0" borderId="99" xfId="0" applyNumberFormat="1" applyFont="1" applyBorder="1" applyAlignment="1">
      <alignment vertical="center"/>
    </xf>
    <xf numFmtId="164" fontId="4" fillId="0" borderId="112" xfId="0" applyNumberFormat="1" applyFont="1" applyBorder="1" applyAlignment="1">
      <alignment vertical="center"/>
    </xf>
    <xf numFmtId="164" fontId="6" fillId="0" borderId="149" xfId="7" applyNumberFormat="1" applyFont="1" applyFill="1" applyBorder="1" applyAlignment="1">
      <alignment vertical="center"/>
    </xf>
    <xf numFmtId="164" fontId="6" fillId="0" borderId="153" xfId="0" applyNumberFormat="1" applyFont="1" applyBorder="1" applyAlignment="1">
      <alignment vertical="center"/>
    </xf>
    <xf numFmtId="164" fontId="4" fillId="0" borderId="26" xfId="7" applyNumberFormat="1" applyFont="1" applyFill="1" applyBorder="1" applyAlignment="1">
      <alignment vertical="center"/>
    </xf>
    <xf numFmtId="164" fontId="6" fillId="0" borderId="26" xfId="0" applyNumberFormat="1" applyFont="1" applyBorder="1" applyAlignment="1">
      <alignment vertical="center"/>
    </xf>
    <xf numFmtId="164" fontId="6" fillId="0" borderId="18" xfId="0" applyNumberFormat="1" applyFont="1" applyBorder="1" applyAlignment="1">
      <alignment vertical="center"/>
    </xf>
    <xf numFmtId="164" fontId="4" fillId="0" borderId="145" xfId="7" applyNumberFormat="1" applyFont="1" applyFill="1" applyBorder="1" applyAlignment="1">
      <alignment vertical="center"/>
    </xf>
    <xf numFmtId="9" fontId="4" fillId="0" borderId="93" xfId="20961" applyFont="1" applyFill="1" applyBorder="1" applyAlignment="1">
      <alignment vertical="center"/>
    </xf>
    <xf numFmtId="9" fontId="4" fillId="0" borderId="161" xfId="20961" applyFont="1" applyFill="1" applyBorder="1" applyAlignment="1">
      <alignment vertical="center"/>
    </xf>
    <xf numFmtId="164" fontId="120" fillId="0" borderId="138" xfId="7" applyNumberFormat="1" applyFont="1" applyBorder="1"/>
    <xf numFmtId="164" fontId="119" fillId="0" borderId="146" xfId="7" applyNumberFormat="1" applyFont="1" applyBorder="1"/>
    <xf numFmtId="164" fontId="116" fillId="0" borderId="146" xfId="7" applyNumberFormat="1" applyFont="1" applyBorder="1"/>
    <xf numFmtId="164" fontId="117" fillId="0" borderId="0" xfId="7" applyNumberFormat="1" applyFont="1"/>
    <xf numFmtId="164" fontId="117" fillId="0" borderId="0" xfId="0" applyNumberFormat="1" applyFont="1"/>
    <xf numFmtId="194" fontId="119" fillId="36" borderId="146" xfId="21413" applyNumberFormat="1" applyFont="1" applyFill="1" applyBorder="1"/>
    <xf numFmtId="43" fontId="116" fillId="0" borderId="146" xfId="7" applyFont="1" applyBorder="1"/>
    <xf numFmtId="43" fontId="116" fillId="0" borderId="146" xfId="7" applyFont="1" applyBorder="1" applyAlignment="1"/>
    <xf numFmtId="43" fontId="117" fillId="0" borderId="0" xfId="7" applyFont="1" applyAlignment="1"/>
    <xf numFmtId="164" fontId="116" fillId="0" borderId="146" xfId="7" applyNumberFormat="1" applyFont="1" applyBorder="1" applyAlignment="1"/>
    <xf numFmtId="43" fontId="119" fillId="0" borderId="146" xfId="7" applyFont="1" applyBorder="1"/>
    <xf numFmtId="164" fontId="116" fillId="0" borderId="146" xfId="0" applyNumberFormat="1" applyFont="1" applyBorder="1" applyAlignment="1">
      <alignment horizontal="left" indent="1"/>
    </xf>
    <xf numFmtId="164" fontId="116" fillId="0" borderId="146" xfId="7" applyNumberFormat="1" applyFont="1" applyBorder="1" applyAlignment="1">
      <alignment horizontal="left" indent="1"/>
    </xf>
    <xf numFmtId="164" fontId="119" fillId="0" borderId="146" xfId="0" applyNumberFormat="1" applyFont="1" applyBorder="1"/>
    <xf numFmtId="164" fontId="119" fillId="0" borderId="146" xfId="0" applyNumberFormat="1" applyFont="1" applyBorder="1" applyAlignment="1">
      <alignment horizontal="left" indent="1"/>
    </xf>
    <xf numFmtId="164" fontId="119" fillId="0" borderId="146" xfId="7" applyNumberFormat="1" applyFont="1" applyBorder="1" applyAlignment="1">
      <alignment horizontal="left" indent="1"/>
    </xf>
    <xf numFmtId="164" fontId="116" fillId="0" borderId="146" xfId="7" applyNumberFormat="1" applyFont="1" applyBorder="1" applyAlignment="1">
      <alignment horizontal="center" vertical="center" textRotation="90" wrapText="1"/>
    </xf>
    <xf numFmtId="164" fontId="116" fillId="0" borderId="146" xfId="7" applyNumberFormat="1" applyFont="1" applyBorder="1" applyAlignment="1">
      <alignment horizontal="center" vertical="center" wrapText="1"/>
    </xf>
    <xf numFmtId="164" fontId="116" fillId="0" borderId="146" xfId="7" applyNumberFormat="1" applyFont="1" applyBorder="1" applyAlignment="1">
      <alignment horizontal="center" vertical="center"/>
    </xf>
    <xf numFmtId="164" fontId="116" fillId="0" borderId="146" xfId="0" applyNumberFormat="1" applyFont="1" applyBorder="1" applyAlignment="1">
      <alignment horizontal="left" vertical="center" wrapText="1"/>
    </xf>
    <xf numFmtId="164" fontId="119" fillId="0" borderId="146" xfId="0" applyNumberFormat="1" applyFont="1" applyBorder="1" applyAlignment="1">
      <alignment horizontal="left" vertical="center" wrapText="1"/>
    </xf>
    <xf numFmtId="164" fontId="117" fillId="0" borderId="146" xfId="7" applyNumberFormat="1" applyFont="1" applyBorder="1"/>
    <xf numFmtId="164" fontId="120" fillId="0" borderId="146" xfId="7" applyNumberFormat="1" applyFont="1" applyBorder="1"/>
    <xf numFmtId="164" fontId="0" fillId="0" borderId="146" xfId="7" applyNumberFormat="1" applyFont="1" applyBorder="1"/>
    <xf numFmtId="164" fontId="4" fillId="0" borderId="146" xfId="7" applyNumberFormat="1" applyFont="1" applyBorder="1"/>
    <xf numFmtId="164" fontId="116" fillId="0" borderId="146" xfId="0" applyNumberFormat="1" applyFont="1" applyBorder="1"/>
    <xf numFmtId="164" fontId="0" fillId="0" borderId="0" xfId="7" applyNumberFormat="1" applyFont="1"/>
    <xf numFmtId="164" fontId="116" fillId="0" borderId="149" xfId="0" applyNumberFormat="1" applyFont="1" applyBorder="1"/>
    <xf numFmtId="164" fontId="116" fillId="0" borderId="156" xfId="7" applyNumberFormat="1" applyFont="1" applyBorder="1" applyAlignment="1">
      <alignment horizontal="left" indent="3"/>
    </xf>
    <xf numFmtId="164" fontId="119" fillId="0" borderId="156" xfId="7" applyNumberFormat="1" applyFont="1" applyBorder="1" applyAlignment="1">
      <alignment horizontal="left" indent="2"/>
    </xf>
    <xf numFmtId="164" fontId="9" fillId="0" borderId="146" xfId="7" applyNumberFormat="1" applyFont="1" applyBorder="1"/>
    <xf numFmtId="164" fontId="0" fillId="0" borderId="0" xfId="7" applyNumberFormat="1" applyFont="1" applyAlignment="1">
      <alignment horizontal="right"/>
    </xf>
    <xf numFmtId="164" fontId="116" fillId="0" borderId="146" xfId="7" applyNumberFormat="1" applyFont="1" applyFill="1" applyBorder="1"/>
    <xf numFmtId="195" fontId="116" fillId="0" borderId="146" xfId="7" applyNumberFormat="1" applyFont="1" applyFill="1" applyBorder="1"/>
    <xf numFmtId="164" fontId="116" fillId="0" borderId="156" xfId="7" applyNumberFormat="1" applyFont="1" applyBorder="1" applyAlignment="1">
      <alignment horizontal="left" wrapText="1" indent="3"/>
    </xf>
    <xf numFmtId="164" fontId="116" fillId="0" borderId="155" xfId="7" applyNumberFormat="1" applyFont="1" applyBorder="1"/>
    <xf numFmtId="164" fontId="119" fillId="0" borderId="69" xfId="0" applyNumberFormat="1" applyFont="1" applyBorder="1"/>
    <xf numFmtId="164" fontId="116" fillId="0" borderId="156" xfId="7" applyNumberFormat="1" applyFont="1" applyBorder="1" applyAlignment="1">
      <alignment horizontal="left" wrapText="1" indent="2"/>
    </xf>
    <xf numFmtId="164" fontId="116" fillId="0" borderId="156" xfId="7" applyNumberFormat="1" applyFont="1" applyBorder="1" applyAlignment="1">
      <alignment horizontal="left" indent="1"/>
    </xf>
    <xf numFmtId="10" fontId="17" fillId="2" borderId="112" xfId="20961" applyNumberFormat="1" applyFont="1" applyFill="1" applyBorder="1" applyAlignment="1" applyProtection="1">
      <alignment vertical="center"/>
      <protection locked="0"/>
    </xf>
    <xf numFmtId="10" fontId="9" fillId="2" borderId="112" xfId="20961" applyNumberFormat="1" applyFont="1" applyFill="1" applyBorder="1" applyAlignment="1" applyProtection="1">
      <alignment vertical="center"/>
      <protection locked="0"/>
    </xf>
    <xf numFmtId="164" fontId="0" fillId="0" borderId="98" xfId="7" applyNumberFormat="1" applyFont="1" applyBorder="1"/>
    <xf numFmtId="164" fontId="0" fillId="36" borderId="98" xfId="7" applyNumberFormat="1" applyFont="1" applyFill="1" applyBorder="1"/>
    <xf numFmtId="164" fontId="0" fillId="0" borderId="98" xfId="7" applyNumberFormat="1" applyFont="1" applyBorder="1" applyAlignment="1">
      <alignment vertical="center"/>
    </xf>
    <xf numFmtId="164" fontId="0" fillId="36" borderId="98" xfId="7" applyNumberFormat="1" applyFont="1" applyFill="1" applyBorder="1" applyAlignment="1">
      <alignment vertical="center"/>
    </xf>
    <xf numFmtId="164" fontId="0" fillId="0" borderId="138" xfId="7" applyNumberFormat="1" applyFont="1" applyBorder="1"/>
    <xf numFmtId="164" fontId="0" fillId="36" borderId="138" xfId="7" applyNumberFormat="1" applyFont="1" applyFill="1" applyBorder="1"/>
    <xf numFmtId="43" fontId="0" fillId="0" borderId="0" xfId="7" applyFont="1"/>
    <xf numFmtId="164" fontId="0" fillId="0" borderId="0" xfId="0" applyNumberFormat="1"/>
    <xf numFmtId="9" fontId="9" fillId="2" borderId="98" xfId="2096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xf>
    <xf numFmtId="164" fontId="9" fillId="2" borderId="98" xfId="7" applyNumberFormat="1" applyFont="1" applyFill="1" applyBorder="1" applyAlignment="1" applyProtection="1">
      <alignment vertical="center"/>
      <protection locked="0"/>
    </xf>
    <xf numFmtId="164" fontId="17" fillId="2" borderId="98" xfId="7"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xf>
    <xf numFmtId="9" fontId="9" fillId="2" borderId="98" xfId="20961" applyFont="1" applyFill="1" applyBorder="1" applyAlignment="1" applyProtection="1">
      <alignment vertical="center"/>
    </xf>
    <xf numFmtId="43" fontId="116" fillId="0" borderId="146" xfId="7" applyFont="1" applyFill="1" applyBorder="1" applyAlignment="1"/>
    <xf numFmtId="43" fontId="116" fillId="0" borderId="146" xfId="7" applyFont="1" applyFill="1" applyBorder="1"/>
    <xf numFmtId="43" fontId="119" fillId="0" borderId="146" xfId="7" applyFont="1" applyFill="1" applyBorder="1"/>
    <xf numFmtId="164" fontId="117" fillId="0" borderId="146" xfId="7" applyNumberFormat="1" applyFont="1" applyFill="1" applyBorder="1"/>
    <xf numFmtId="9" fontId="17" fillId="2" borderId="23" xfId="20961" applyFont="1" applyFill="1" applyBorder="1" applyAlignment="1" applyProtection="1">
      <alignment vertical="center"/>
      <protection locked="0"/>
    </xf>
    <xf numFmtId="9" fontId="17" fillId="2" borderId="24" xfId="20961" applyFont="1" applyFill="1" applyBorder="1" applyAlignment="1" applyProtection="1">
      <alignment vertical="center"/>
      <protection locked="0"/>
    </xf>
    <xf numFmtId="9" fontId="9" fillId="2" borderId="112" xfId="20961" applyFont="1" applyFill="1" applyBorder="1" applyAlignment="1" applyProtection="1">
      <alignment vertical="center"/>
      <protection locked="0"/>
    </xf>
    <xf numFmtId="10" fontId="17" fillId="2" borderId="112" xfId="20961" applyNumberFormat="1" applyFont="1" applyFill="1" applyBorder="1" applyAlignment="1" applyProtection="1">
      <alignment vertical="center"/>
    </xf>
    <xf numFmtId="164" fontId="0" fillId="0" borderId="138" xfId="7" applyNumberFormat="1" applyFont="1" applyFill="1" applyBorder="1"/>
    <xf numFmtId="164" fontId="120" fillId="0" borderId="138" xfId="7" applyNumberFormat="1" applyFont="1" applyFill="1" applyBorder="1"/>
    <xf numFmtId="194" fontId="117" fillId="0" borderId="0" xfId="0" applyNumberFormat="1" applyFont="1"/>
    <xf numFmtId="43" fontId="117" fillId="0" borderId="0" xfId="0" applyNumberFormat="1" applyFont="1"/>
    <xf numFmtId="164" fontId="4" fillId="0" borderId="0" xfId="7" applyNumberFormat="1" applyFont="1"/>
    <xf numFmtId="164" fontId="4" fillId="36" borderId="24" xfId="7" applyNumberFormat="1" applyFont="1" applyFill="1" applyBorder="1"/>
    <xf numFmtId="0" fontId="7" fillId="0" borderId="3" xfId="13" applyFont="1" applyBorder="1" applyAlignment="1" applyProtection="1">
      <alignment horizontal="left" vertical="center"/>
      <protection locked="0"/>
    </xf>
    <xf numFmtId="193" fontId="0" fillId="0" borderId="0" xfId="0" applyNumberFormat="1"/>
    <xf numFmtId="165" fontId="9" fillId="2" borderId="23" xfId="20961" applyNumberFormat="1" applyFont="1" applyFill="1" applyBorder="1" applyAlignment="1" applyProtection="1">
      <alignment vertical="center"/>
      <protection locked="0"/>
    </xf>
    <xf numFmtId="0" fontId="9" fillId="0" borderId="156" xfId="0" applyFont="1" applyBorder="1" applyAlignment="1">
      <alignment vertical="center"/>
    </xf>
    <xf numFmtId="0" fontId="13" fillId="0" borderId="149" xfId="0" applyFont="1" applyBorder="1" applyAlignment="1">
      <alignment wrapText="1"/>
    </xf>
    <xf numFmtId="0" fontId="9" fillId="0" borderId="106" xfId="0" applyFont="1" applyBorder="1" applyAlignment="1">
      <alignment vertical="center"/>
    </xf>
    <xf numFmtId="0" fontId="13" fillId="0" borderId="145" xfId="0" applyFont="1" applyBorder="1" applyAlignment="1">
      <alignment wrapText="1"/>
    </xf>
    <xf numFmtId="10" fontId="4" fillId="0" borderId="155" xfId="20961" applyNumberFormat="1" applyFont="1" applyBorder="1"/>
    <xf numFmtId="10" fontId="4" fillId="0" borderId="112" xfId="20961" applyNumberFormat="1" applyFont="1" applyBorder="1"/>
    <xf numFmtId="10" fontId="4" fillId="0" borderId="107" xfId="20961" applyNumberFormat="1" applyFont="1" applyBorder="1"/>
    <xf numFmtId="10" fontId="113" fillId="79" borderId="98" xfId="20961" applyNumberFormat="1" applyFont="1" applyFill="1" applyBorder="1" applyAlignment="1" applyProtection="1">
      <alignment horizontal="right" vertical="center"/>
    </xf>
    <xf numFmtId="164" fontId="4" fillId="0" borderId="98" xfId="7" applyNumberFormat="1" applyFont="1" applyBorder="1" applyAlignment="1">
      <alignment horizontal="center"/>
    </xf>
    <xf numFmtId="164" fontId="4" fillId="0" borderId="98" xfId="7" applyNumberFormat="1" applyFont="1" applyBorder="1" applyAlignment="1"/>
    <xf numFmtId="164" fontId="6" fillId="0" borderId="98" xfId="7" applyNumberFormat="1" applyFont="1" applyBorder="1"/>
    <xf numFmtId="164" fontId="6" fillId="0" borderId="98" xfId="7" applyNumberFormat="1" applyFont="1" applyBorder="1" applyAlignment="1">
      <alignment vertical="center"/>
    </xf>
    <xf numFmtId="164" fontId="6" fillId="0" borderId="98" xfId="7" applyNumberFormat="1" applyFont="1" applyFill="1" applyBorder="1"/>
    <xf numFmtId="164" fontId="6" fillId="0" borderId="98" xfId="7" applyNumberFormat="1" applyFont="1" applyFill="1" applyBorder="1" applyAlignment="1">
      <alignment vertical="center"/>
    </xf>
    <xf numFmtId="164" fontId="111" fillId="0" borderId="146" xfId="7" applyNumberFormat="1" applyFont="1" applyBorder="1"/>
    <xf numFmtId="196" fontId="9" fillId="0" borderId="146" xfId="7" applyNumberFormat="1" applyFont="1" applyBorder="1"/>
    <xf numFmtId="196" fontId="111" fillId="0" borderId="146" xfId="7" applyNumberFormat="1" applyFont="1" applyBorder="1"/>
    <xf numFmtId="196" fontId="125" fillId="0" borderId="0" xfId="7" applyNumberFormat="1" applyFont="1"/>
    <xf numFmtId="164" fontId="121" fillId="0" borderId="146" xfId="7" applyNumberFormat="1" applyFont="1" applyBorder="1"/>
    <xf numFmtId="164" fontId="121" fillId="0" borderId="147" xfId="7" applyNumberFormat="1" applyFont="1" applyBorder="1"/>
    <xf numFmtId="164" fontId="121" fillId="0" borderId="146" xfId="0" applyNumberFormat="1" applyFont="1" applyBorder="1"/>
    <xf numFmtId="164" fontId="143" fillId="0" borderId="146" xfId="7" applyNumberFormat="1" applyFont="1" applyBorder="1"/>
    <xf numFmtId="164" fontId="143" fillId="0" borderId="146" xfId="7" applyNumberFormat="1" applyFont="1" applyFill="1" applyBorder="1"/>
    <xf numFmtId="164" fontId="121" fillId="0" borderId="146" xfId="7" applyNumberFormat="1" applyFont="1" applyFill="1" applyBorder="1"/>
    <xf numFmtId="164" fontId="121" fillId="0" borderId="147" xfId="7" applyNumberFormat="1" applyFont="1" applyFill="1" applyBorder="1"/>
    <xf numFmtId="10" fontId="121" fillId="0" borderId="146" xfId="20961" applyNumberFormat="1" applyFont="1" applyBorder="1"/>
    <xf numFmtId="10" fontId="121" fillId="0" borderId="147" xfId="20961" applyNumberFormat="1" applyFont="1" applyBorder="1"/>
    <xf numFmtId="10" fontId="143" fillId="0" borderId="146" xfId="20961" applyNumberFormat="1" applyFont="1" applyBorder="1"/>
    <xf numFmtId="43" fontId="121" fillId="0" borderId="146" xfId="7" applyFont="1" applyBorder="1"/>
    <xf numFmtId="43" fontId="143" fillId="0" borderId="146" xfId="7" applyFont="1" applyBorder="1"/>
    <xf numFmtId="164" fontId="4"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right" vertical="center" wrapText="1"/>
    </xf>
    <xf numFmtId="164" fontId="109"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center" vertical="center" wrapText="1"/>
    </xf>
    <xf numFmtId="164" fontId="7" fillId="0" borderId="24" xfId="7" applyNumberFormat="1" applyFont="1" applyFill="1" applyBorder="1" applyAlignment="1" applyProtection="1">
      <alignment horizontal="right" vertical="center"/>
    </xf>
    <xf numFmtId="10" fontId="4" fillId="0" borderId="98" xfId="20961" applyNumberFormat="1" applyFont="1" applyFill="1" applyBorder="1" applyAlignment="1" applyProtection="1">
      <alignment horizontal="right" vertical="center" wrapText="1"/>
    </xf>
    <xf numFmtId="9" fontId="143" fillId="0" borderId="146" xfId="20961" applyFont="1" applyBorder="1"/>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59" xfId="0" applyFont="1" applyBorder="1" applyAlignment="1">
      <alignment horizontal="center" vertical="center"/>
    </xf>
    <xf numFmtId="0" fontId="141" fillId="0" borderId="29" xfId="0" applyFont="1" applyBorder="1" applyAlignment="1">
      <alignment horizontal="center" vertical="center"/>
    </xf>
    <xf numFmtId="0" fontId="141" fillId="0" borderId="160" xfId="0" applyFont="1" applyBorder="1" applyAlignment="1">
      <alignment horizontal="center" vertical="center"/>
    </xf>
    <xf numFmtId="0" fontId="142" fillId="0" borderId="159" xfId="0" applyFont="1" applyBorder="1" applyAlignment="1">
      <alignment horizontal="center" wrapText="1"/>
    </xf>
    <xf numFmtId="0" fontId="142" fillId="0" borderId="29" xfId="0" applyFont="1" applyBorder="1" applyAlignment="1">
      <alignment horizontal="center" wrapText="1"/>
    </xf>
    <xf numFmtId="0" fontId="142" fillId="0" borderId="160" xfId="0" applyFont="1" applyBorder="1" applyAlignment="1">
      <alignment horizontal="center" wrapText="1"/>
    </xf>
    <xf numFmtId="164" fontId="0" fillId="0" borderId="99" xfId="7" applyNumberFormat="1" applyFont="1" applyBorder="1" applyAlignment="1">
      <alignment horizontal="center"/>
    </xf>
    <xf numFmtId="164" fontId="0" fillId="0" borderId="96" xfId="7" applyNumberFormat="1" applyFont="1" applyBorder="1" applyAlignment="1">
      <alignment horizontal="center"/>
    </xf>
    <xf numFmtId="164" fontId="0" fillId="0" borderId="97" xfId="7" applyNumberFormat="1"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164" fontId="0" fillId="0" borderId="141" xfId="7" applyNumberFormat="1" applyFont="1" applyBorder="1" applyAlignment="1">
      <alignment horizontal="center"/>
    </xf>
    <xf numFmtId="0" fontId="0" fillId="0" borderId="138"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8" fillId="0" borderId="142"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8" xfId="0" applyBorder="1" applyAlignment="1">
      <alignment horizontal="center" vertical="center"/>
    </xf>
    <xf numFmtId="0" fontId="0" fillId="0" borderId="11" xfId="0" applyBorder="1" applyAlignment="1">
      <alignment horizontal="center" vertical="center"/>
    </xf>
    <xf numFmtId="0" fontId="0" fillId="0" borderId="138"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1" xfId="0" applyFont="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5"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9"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6" xfId="0" applyFont="1" applyBorder="1" applyAlignment="1">
      <alignment horizontal="left" vertical="center" wrapText="1"/>
    </xf>
    <xf numFmtId="0" fontId="120" fillId="0" borderId="145"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21"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wrapText="1"/>
    </xf>
    <xf numFmtId="0" fontId="124" fillId="0" borderId="146" xfId="0" applyFont="1" applyBorder="1" applyAlignment="1">
      <alignment horizontal="center" vertical="center"/>
    </xf>
    <xf numFmtId="0" fontId="118" fillId="0" borderId="145" xfId="0" applyFont="1" applyBorder="1" applyAlignment="1">
      <alignment horizontal="center" vertical="center"/>
    </xf>
    <xf numFmtId="0" fontId="118" fillId="0" borderId="150"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50"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18" xfId="0" applyFont="1" applyBorder="1" applyAlignment="1">
      <alignment horizontal="left" vertical="top" wrapText="1"/>
    </xf>
    <xf numFmtId="0" fontId="119" fillId="0" borderId="157" xfId="0" applyFont="1" applyBorder="1" applyAlignment="1">
      <alignment horizontal="left" vertical="top" wrapText="1"/>
    </xf>
    <xf numFmtId="0" fontId="119" fillId="0" borderId="158"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5"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51" xfId="0" applyFont="1" applyBorder="1" applyAlignment="1">
      <alignment horizontal="center" vertical="top" wrapText="1"/>
    </xf>
    <xf numFmtId="0" fontId="116" fillId="0" borderId="148" xfId="0" applyFont="1" applyBorder="1" applyAlignment="1">
      <alignment horizontal="center" vertical="top" wrapText="1"/>
    </xf>
    <xf numFmtId="0" fontId="105" fillId="0" borderId="130" xfId="0" applyFont="1" applyBorder="1" applyAlignment="1">
      <alignment horizontal="left" vertical="top" wrapText="1"/>
    </xf>
    <xf numFmtId="0" fontId="105" fillId="0" borderId="131" xfId="0" applyFont="1" applyBorder="1" applyAlignment="1">
      <alignment horizontal="left" vertical="top" wrapText="1"/>
    </xf>
    <xf numFmtId="0" fontId="122" fillId="0" borderId="146" xfId="0" applyFont="1" applyBorder="1" applyAlignment="1">
      <alignment horizontal="center" vertical="center"/>
    </xf>
    <xf numFmtId="0" fontId="121" fillId="0" borderId="146" xfId="0" applyFont="1" applyBorder="1" applyAlignment="1">
      <alignment horizontal="center" vertical="center" wrapText="1"/>
    </xf>
    <xf numFmtId="0" fontId="121" fillId="0" borderId="147" xfId="0" applyFont="1" applyBorder="1" applyAlignment="1">
      <alignment horizontal="center" vertical="center" wrapText="1"/>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Border="1" applyAlignment="1">
      <alignment horizontal="left" vertical="center" wrapText="1"/>
    </xf>
    <xf numFmtId="0" fontId="106" fillId="0" borderId="148" xfId="0" applyFont="1" applyBorder="1" applyAlignment="1">
      <alignment horizontal="left" vertical="center" wrapText="1"/>
    </xf>
    <xf numFmtId="0" fontId="106" fillId="0" borderId="149" xfId="13" applyFont="1" applyBorder="1" applyAlignment="1" applyProtection="1">
      <alignment horizontal="left" vertical="top" wrapText="1"/>
      <protection locked="0"/>
    </xf>
    <xf numFmtId="0" fontId="106" fillId="0" borderId="148" xfId="13" applyFont="1" applyBorder="1" applyAlignment="1" applyProtection="1">
      <alignment horizontal="left" vertical="top" wrapText="1"/>
      <protection locked="0"/>
    </xf>
    <xf numFmtId="0" fontId="106" fillId="0" borderId="149" xfId="0" applyFont="1" applyBorder="1" applyAlignment="1">
      <alignment horizontal="left" vertical="top" wrapText="1"/>
    </xf>
    <xf numFmtId="0" fontId="106" fillId="0" borderId="148" xfId="0" applyFont="1" applyBorder="1" applyAlignment="1">
      <alignment horizontal="left" vertical="top" wrapText="1"/>
    </xf>
    <xf numFmtId="49" fontId="106" fillId="0" borderId="0" xfId="0" applyNumberFormat="1" applyFont="1" applyAlignment="1">
      <alignment horizontal="center" vertical="center"/>
    </xf>
    <xf numFmtId="0" fontId="106" fillId="0" borderId="146" xfId="0" applyFont="1" applyBorder="1" applyAlignment="1">
      <alignment horizontal="left" vertical="top" wrapText="1"/>
    </xf>
    <xf numFmtId="0" fontId="106" fillId="0" borderId="146" xfId="0" applyFont="1" applyBorder="1" applyAlignment="1">
      <alignment horizontal="left" vertical="center" wrapText="1"/>
    </xf>
    <xf numFmtId="0" fontId="105" fillId="76" borderId="146" xfId="0" applyFont="1" applyFill="1" applyBorder="1" applyAlignment="1">
      <alignment horizontal="center" vertical="center" wrapText="1"/>
    </xf>
    <xf numFmtId="0" fontId="106" fillId="0" borderId="146" xfId="0" applyFont="1" applyBorder="1" applyAlignment="1">
      <alignment horizontal="center"/>
    </xf>
    <xf numFmtId="0" fontId="106" fillId="0" borderId="99" xfId="0" applyFont="1" applyBorder="1" applyAlignment="1">
      <alignment horizontal="left" vertical="center" wrapText="1"/>
    </xf>
    <xf numFmtId="0" fontId="106" fillId="0" borderId="97" xfId="0" applyFont="1" applyBorder="1" applyAlignment="1">
      <alignment horizontal="left" vertical="center" wrapText="1"/>
    </xf>
    <xf numFmtId="0" fontId="105" fillId="0" borderId="146" xfId="0" applyFont="1" applyBorder="1" applyAlignment="1">
      <alignment horizontal="center" vertical="center"/>
    </xf>
    <xf numFmtId="0" fontId="106" fillId="3" borderId="149" xfId="13" applyFont="1" applyFill="1" applyBorder="1" applyAlignment="1" applyProtection="1">
      <alignment horizontal="left" vertical="top" wrapText="1"/>
      <protection locked="0"/>
    </xf>
    <xf numFmtId="0" fontId="106" fillId="3" borderId="148" xfId="13" applyFont="1" applyFill="1" applyBorder="1" applyAlignment="1" applyProtection="1">
      <alignment horizontal="left" vertical="top" wrapText="1"/>
      <protection locked="0"/>
    </xf>
    <xf numFmtId="0" fontId="105" fillId="0" borderId="85" xfId="0" applyFont="1" applyBorder="1" applyAlignment="1">
      <alignment horizontal="center" vertical="center"/>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99" xfId="0" applyFont="1" applyFill="1" applyBorder="1" applyAlignment="1">
      <alignment vertical="center" wrapText="1"/>
    </xf>
    <xf numFmtId="0" fontId="106" fillId="77" borderId="97" xfId="0" applyFont="1" applyFill="1" applyBorder="1" applyAlignment="1">
      <alignment vertical="center" wrapText="1"/>
    </xf>
    <xf numFmtId="0" fontId="106" fillId="0" borderId="99" xfId="0" applyFont="1" applyBorder="1" applyAlignment="1">
      <alignment vertical="center" wrapText="1"/>
    </xf>
    <xf numFmtId="0" fontId="106" fillId="0" borderId="97"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6" fillId="3" borderId="99"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82" borderId="99" xfId="0" applyFont="1" applyFill="1" applyBorder="1" applyAlignment="1">
      <alignment vertical="center" wrapText="1"/>
    </xf>
    <xf numFmtId="0" fontId="106" fillId="82" borderId="97"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3" borderId="99" xfId="0" applyFont="1" applyFill="1" applyBorder="1" applyAlignment="1">
      <alignment vertical="center" wrapText="1"/>
    </xf>
    <xf numFmtId="0" fontId="106" fillId="3" borderId="97" xfId="0" applyFont="1" applyFill="1" applyBorder="1" applyAlignment="1">
      <alignment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98" xfId="0" applyFont="1" applyBorder="1" applyAlignment="1">
      <alignment horizontal="left" vertical="center" wrapText="1"/>
    </xf>
    <xf numFmtId="0" fontId="106" fillId="0" borderId="99" xfId="0" applyFont="1" applyBorder="1" applyAlignment="1">
      <alignment horizontal="left"/>
    </xf>
    <xf numFmtId="0" fontId="106" fillId="0" borderId="97" xfId="0" applyFont="1" applyBorder="1" applyAlignment="1">
      <alignment horizontal="left"/>
    </xf>
    <xf numFmtId="0" fontId="11" fillId="0" borderId="3" xfId="17" applyBorder="1" applyAlignment="1" applyProtection="1"/>
    <xf numFmtId="0" fontId="144" fillId="0" borderId="3" xfId="0" applyFont="1" applyBorder="1"/>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23" activePane="bottomRight" state="frozen"/>
      <selection pane="topRight" activeCell="B1" sqref="B1"/>
      <selection pane="bottomLeft" activeCell="A8" sqref="A8"/>
      <selection pane="bottomRight" activeCell="C2" sqref="C2"/>
    </sheetView>
  </sheetViews>
  <sheetFormatPr defaultRowHeight="14.4"/>
  <cols>
    <col min="1" max="1" width="10.21875" style="1" customWidth="1"/>
    <col min="2" max="2" width="153" bestFit="1" customWidth="1"/>
    <col min="3" max="3" width="39.44140625" customWidth="1"/>
    <col min="7" max="7" width="25" customWidth="1"/>
  </cols>
  <sheetData>
    <row r="1" spans="1:3">
      <c r="A1" s="6"/>
      <c r="B1" s="121" t="s">
        <v>160</v>
      </c>
      <c r="C1" s="47"/>
    </row>
    <row r="2" spans="1:3" s="118" customFormat="1">
      <c r="A2" s="162">
        <v>1</v>
      </c>
      <c r="B2" s="119" t="s">
        <v>161</v>
      </c>
      <c r="C2" s="971" t="s">
        <v>1000</v>
      </c>
    </row>
    <row r="3" spans="1:3" s="118" customFormat="1">
      <c r="A3" s="162">
        <v>2</v>
      </c>
      <c r="B3" s="120" t="s">
        <v>162</v>
      </c>
      <c r="C3" s="117" t="s">
        <v>1001</v>
      </c>
    </row>
    <row r="4" spans="1:3" s="118" customFormat="1">
      <c r="A4" s="162">
        <v>3</v>
      </c>
      <c r="B4" s="120" t="s">
        <v>163</v>
      </c>
      <c r="C4" s="117" t="s">
        <v>968</v>
      </c>
    </row>
    <row r="5" spans="1:3" s="118" customFormat="1">
      <c r="A5" s="163">
        <v>4</v>
      </c>
      <c r="B5" s="123" t="s">
        <v>164</v>
      </c>
      <c r="C5" s="970" t="s">
        <v>1002</v>
      </c>
    </row>
    <row r="6" spans="1:3" s="122" customFormat="1" ht="65.25" customHeight="1">
      <c r="A6" s="790" t="s">
        <v>322</v>
      </c>
      <c r="B6" s="791"/>
      <c r="C6" s="791"/>
    </row>
    <row r="7" spans="1:3">
      <c r="A7" s="272" t="s">
        <v>252</v>
      </c>
      <c r="B7" s="273" t="s">
        <v>165</v>
      </c>
    </row>
    <row r="8" spans="1:3">
      <c r="A8" s="274">
        <v>1</v>
      </c>
      <c r="B8" s="270" t="s">
        <v>140</v>
      </c>
    </row>
    <row r="9" spans="1:3">
      <c r="A9" s="274">
        <v>2</v>
      </c>
      <c r="B9" s="270" t="s">
        <v>166</v>
      </c>
    </row>
    <row r="10" spans="1:3">
      <c r="A10" s="274">
        <v>3</v>
      </c>
      <c r="B10" s="270" t="s">
        <v>167</v>
      </c>
    </row>
    <row r="11" spans="1:3">
      <c r="A11" s="274">
        <v>4</v>
      </c>
      <c r="B11" s="270" t="s">
        <v>168</v>
      </c>
    </row>
    <row r="12" spans="1:3">
      <c r="A12" s="274">
        <v>5</v>
      </c>
      <c r="B12" s="270" t="s">
        <v>108</v>
      </c>
    </row>
    <row r="13" spans="1:3">
      <c r="A13" s="274">
        <v>6</v>
      </c>
      <c r="B13" s="275" t="s">
        <v>92</v>
      </c>
    </row>
    <row r="14" spans="1:3">
      <c r="A14" s="274">
        <v>7</v>
      </c>
      <c r="B14" s="270" t="s">
        <v>169</v>
      </c>
    </row>
    <row r="15" spans="1:3">
      <c r="A15" s="274">
        <v>8</v>
      </c>
      <c r="B15" s="270" t="s">
        <v>172</v>
      </c>
    </row>
    <row r="16" spans="1:3">
      <c r="A16" s="274">
        <v>9</v>
      </c>
      <c r="B16" s="270" t="s">
        <v>86</v>
      </c>
    </row>
    <row r="17" spans="1:2">
      <c r="A17" s="276" t="s">
        <v>379</v>
      </c>
      <c r="B17" s="270" t="s">
        <v>359</v>
      </c>
    </row>
    <row r="18" spans="1:2">
      <c r="A18" s="274">
        <v>10</v>
      </c>
      <c r="B18" s="270" t="s">
        <v>173</v>
      </c>
    </row>
    <row r="19" spans="1:2">
      <c r="A19" s="274">
        <v>11</v>
      </c>
      <c r="B19" s="275" t="s">
        <v>156</v>
      </c>
    </row>
    <row r="20" spans="1:2">
      <c r="A20" s="274">
        <v>12</v>
      </c>
      <c r="B20" s="275" t="s">
        <v>153</v>
      </c>
    </row>
    <row r="21" spans="1:2">
      <c r="A21" s="274">
        <v>13</v>
      </c>
      <c r="B21" s="277" t="s">
        <v>298</v>
      </c>
    </row>
    <row r="22" spans="1:2">
      <c r="A22" s="274">
        <v>14</v>
      </c>
      <c r="B22" s="270" t="s">
        <v>352</v>
      </c>
    </row>
    <row r="23" spans="1:2">
      <c r="A23" s="274">
        <v>15</v>
      </c>
      <c r="B23" s="270" t="s">
        <v>75</v>
      </c>
    </row>
    <row r="24" spans="1:2">
      <c r="A24" s="274">
        <v>15.1</v>
      </c>
      <c r="B24" s="270" t="s">
        <v>388</v>
      </c>
    </row>
    <row r="25" spans="1:2">
      <c r="A25" s="274">
        <v>16</v>
      </c>
      <c r="B25" s="270" t="s">
        <v>454</v>
      </c>
    </row>
    <row r="26" spans="1:2">
      <c r="A26" s="274">
        <v>17</v>
      </c>
      <c r="B26" s="270" t="s">
        <v>679</v>
      </c>
    </row>
    <row r="27" spans="1:2">
      <c r="A27" s="274">
        <v>18</v>
      </c>
      <c r="B27" s="270" t="s">
        <v>950</v>
      </c>
    </row>
    <row r="28" spans="1:2">
      <c r="A28" s="274">
        <v>19</v>
      </c>
      <c r="B28" s="270" t="s">
        <v>951</v>
      </c>
    </row>
    <row r="29" spans="1:2">
      <c r="A29" s="274">
        <v>20</v>
      </c>
      <c r="B29" s="270" t="s">
        <v>952</v>
      </c>
    </row>
    <row r="30" spans="1:2">
      <c r="A30" s="274">
        <v>21</v>
      </c>
      <c r="B30" s="270" t="s">
        <v>547</v>
      </c>
    </row>
    <row r="31" spans="1:2">
      <c r="A31" s="274">
        <v>22</v>
      </c>
      <c r="B31" s="270" t="s">
        <v>953</v>
      </c>
    </row>
    <row r="32" spans="1:2" ht="26.4">
      <c r="A32" s="274">
        <v>23</v>
      </c>
      <c r="B32" s="645" t="s">
        <v>949</v>
      </c>
    </row>
    <row r="33" spans="1:2">
      <c r="A33" s="274">
        <v>24</v>
      </c>
      <c r="B33" s="270" t="s">
        <v>954</v>
      </c>
    </row>
    <row r="34" spans="1:2">
      <c r="A34" s="274">
        <v>25</v>
      </c>
      <c r="B34" s="270" t="s">
        <v>955</v>
      </c>
    </row>
    <row r="35" spans="1:2">
      <c r="A35" s="274">
        <v>26</v>
      </c>
      <c r="B35" s="270" t="s">
        <v>727</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A83BF4E9-324B-414E-B02F-7A240CF0C445}"/>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42" activePane="bottomRight" state="frozen"/>
      <selection pane="topRight" activeCell="B1" sqref="B1"/>
      <selection pane="bottomLeft" activeCell="A5" sqref="A5"/>
      <selection pane="bottomRight" activeCell="C45" sqref="C45"/>
    </sheetView>
  </sheetViews>
  <sheetFormatPr defaultRowHeight="14.4"/>
  <cols>
    <col min="1" max="1" width="9.5546875" style="1" bestFit="1" customWidth="1"/>
    <col min="2" max="2" width="132.44140625" style="1" customWidth="1"/>
    <col min="3" max="3" width="18.44140625" style="1" customWidth="1"/>
  </cols>
  <sheetData>
    <row r="1" spans="1:6">
      <c r="A1" s="13" t="s">
        <v>109</v>
      </c>
      <c r="B1" s="12" t="str">
        <f>Info!C2</f>
        <v>სს "კრედობანკი"</v>
      </c>
      <c r="D1" s="1"/>
      <c r="E1" s="1"/>
      <c r="F1" s="1"/>
    </row>
    <row r="2" spans="1:6" s="13" customFormat="1" ht="15.75" customHeight="1">
      <c r="A2" s="13" t="s">
        <v>110</v>
      </c>
      <c r="B2" s="346">
        <f>'1. key ratios'!B2</f>
        <v>45016</v>
      </c>
    </row>
    <row r="3" spans="1:6" s="13" customFormat="1" ht="15.75" customHeight="1"/>
    <row r="4" spans="1:6" ht="15" thickBot="1">
      <c r="A4" s="1" t="s">
        <v>258</v>
      </c>
      <c r="B4" s="23" t="s">
        <v>86</v>
      </c>
    </row>
    <row r="5" spans="1:6">
      <c r="A5" s="78" t="s">
        <v>26</v>
      </c>
      <c r="B5" s="79"/>
      <c r="C5" s="80" t="s">
        <v>27</v>
      </c>
    </row>
    <row r="6" spans="1:6">
      <c r="A6" s="81">
        <v>1</v>
      </c>
      <c r="B6" s="43" t="s">
        <v>28</v>
      </c>
      <c r="C6" s="172">
        <f>SUM(C7:C11)</f>
        <v>269530245.87</v>
      </c>
    </row>
    <row r="7" spans="1:6">
      <c r="A7" s="81">
        <v>2</v>
      </c>
      <c r="B7" s="40" t="s">
        <v>29</v>
      </c>
      <c r="C7" s="173">
        <v>5186820</v>
      </c>
    </row>
    <row r="8" spans="1:6">
      <c r="A8" s="81">
        <v>3</v>
      </c>
      <c r="B8" s="35" t="s">
        <v>30</v>
      </c>
      <c r="C8" s="173">
        <v>35780630.32</v>
      </c>
    </row>
    <row r="9" spans="1:6">
      <c r="A9" s="81">
        <v>4</v>
      </c>
      <c r="B9" s="35" t="s">
        <v>31</v>
      </c>
      <c r="C9" s="173"/>
    </row>
    <row r="10" spans="1:6">
      <c r="A10" s="81">
        <v>5</v>
      </c>
      <c r="B10" s="35" t="s">
        <v>32</v>
      </c>
      <c r="C10" s="173"/>
    </row>
    <row r="11" spans="1:6">
      <c r="A11" s="81">
        <v>6</v>
      </c>
      <c r="B11" s="41" t="s">
        <v>33</v>
      </c>
      <c r="C11" s="173">
        <v>228562795.54999998</v>
      </c>
    </row>
    <row r="12" spans="1:6" s="2" customFormat="1">
      <c r="A12" s="81">
        <v>7</v>
      </c>
      <c r="B12" s="43" t="s">
        <v>34</v>
      </c>
      <c r="C12" s="174">
        <f>SUM(C13:C28)</f>
        <v>20254474.150000002</v>
      </c>
    </row>
    <row r="13" spans="1:6" s="2" customFormat="1">
      <c r="A13" s="81">
        <v>8</v>
      </c>
      <c r="B13" s="42" t="s">
        <v>35</v>
      </c>
      <c r="C13" s="175"/>
    </row>
    <row r="14" spans="1:6" s="2" customFormat="1" ht="27.6">
      <c r="A14" s="81">
        <v>9</v>
      </c>
      <c r="B14" s="36" t="s">
        <v>36</v>
      </c>
      <c r="C14" s="175"/>
    </row>
    <row r="15" spans="1:6" s="2" customFormat="1">
      <c r="A15" s="81">
        <v>10</v>
      </c>
      <c r="B15" s="37" t="s">
        <v>37</v>
      </c>
      <c r="C15" s="175">
        <v>20254474.150000002</v>
      </c>
    </row>
    <row r="16" spans="1:6" s="2" customFormat="1">
      <c r="A16" s="81">
        <v>11</v>
      </c>
      <c r="B16" s="38" t="s">
        <v>38</v>
      </c>
      <c r="C16" s="175"/>
    </row>
    <row r="17" spans="1:3" s="2" customFormat="1">
      <c r="A17" s="81">
        <v>12</v>
      </c>
      <c r="B17" s="37" t="s">
        <v>39</v>
      </c>
      <c r="C17" s="175"/>
    </row>
    <row r="18" spans="1:3" s="2" customFormat="1">
      <c r="A18" s="81">
        <v>13</v>
      </c>
      <c r="B18" s="37" t="s">
        <v>40</v>
      </c>
      <c r="C18" s="175"/>
    </row>
    <row r="19" spans="1:3" s="2" customFormat="1">
      <c r="A19" s="81">
        <v>14</v>
      </c>
      <c r="B19" s="37" t="s">
        <v>41</v>
      </c>
      <c r="C19" s="175"/>
    </row>
    <row r="20" spans="1:3" s="2" customFormat="1" ht="27.6">
      <c r="A20" s="81">
        <v>15</v>
      </c>
      <c r="B20" s="37" t="s">
        <v>42</v>
      </c>
      <c r="C20" s="175"/>
    </row>
    <row r="21" spans="1:3" s="2" customFormat="1" ht="27.6">
      <c r="A21" s="81">
        <v>16</v>
      </c>
      <c r="B21" s="36" t="s">
        <v>43</v>
      </c>
      <c r="C21" s="175"/>
    </row>
    <row r="22" spans="1:3" s="2" customFormat="1">
      <c r="A22" s="81">
        <v>17</v>
      </c>
      <c r="B22" s="82" t="s">
        <v>44</v>
      </c>
      <c r="C22" s="175"/>
    </row>
    <row r="23" spans="1:3" s="2" customFormat="1">
      <c r="A23" s="81">
        <v>18</v>
      </c>
      <c r="B23" s="646" t="s">
        <v>730</v>
      </c>
      <c r="C23" s="410"/>
    </row>
    <row r="24" spans="1:3" s="2" customFormat="1" ht="27.6">
      <c r="A24" s="81">
        <v>19</v>
      </c>
      <c r="B24" s="36" t="s">
        <v>45</v>
      </c>
      <c r="C24" s="175"/>
    </row>
    <row r="25" spans="1:3" s="2" customFormat="1" ht="27.6">
      <c r="A25" s="81">
        <v>20</v>
      </c>
      <c r="B25" s="36" t="s">
        <v>46</v>
      </c>
      <c r="C25" s="175"/>
    </row>
    <row r="26" spans="1:3" s="2" customFormat="1" ht="27.6">
      <c r="A26" s="81">
        <v>21</v>
      </c>
      <c r="B26" s="38" t="s">
        <v>47</v>
      </c>
      <c r="C26" s="175"/>
    </row>
    <row r="27" spans="1:3" s="2" customFormat="1">
      <c r="A27" s="81">
        <v>22</v>
      </c>
      <c r="B27" s="38" t="s">
        <v>48</v>
      </c>
      <c r="C27" s="175"/>
    </row>
    <row r="28" spans="1:3" s="2" customFormat="1" ht="27.6">
      <c r="A28" s="81">
        <v>23</v>
      </c>
      <c r="B28" s="38" t="s">
        <v>49</v>
      </c>
      <c r="C28" s="175"/>
    </row>
    <row r="29" spans="1:3" s="2" customFormat="1">
      <c r="A29" s="81">
        <v>24</v>
      </c>
      <c r="B29" s="44" t="s">
        <v>23</v>
      </c>
      <c r="C29" s="174">
        <f>C6-C12</f>
        <v>249275771.72</v>
      </c>
    </row>
    <row r="30" spans="1:3" s="2" customFormat="1">
      <c r="A30" s="83"/>
      <c r="B30" s="39"/>
      <c r="C30" s="175"/>
    </row>
    <row r="31" spans="1:3" s="2" customFormat="1">
      <c r="A31" s="83">
        <v>25</v>
      </c>
      <c r="B31" s="44" t="s">
        <v>50</v>
      </c>
      <c r="C31" s="174">
        <f>C32+C35</f>
        <v>0</v>
      </c>
    </row>
    <row r="32" spans="1:3" s="2" customFormat="1">
      <c r="A32" s="83">
        <v>26</v>
      </c>
      <c r="B32" s="35" t="s">
        <v>51</v>
      </c>
      <c r="C32" s="176">
        <f>C33+C34</f>
        <v>0</v>
      </c>
    </row>
    <row r="33" spans="1:3" s="2" customFormat="1">
      <c r="A33" s="83">
        <v>27</v>
      </c>
      <c r="B33" s="115" t="s">
        <v>52</v>
      </c>
      <c r="C33" s="175"/>
    </row>
    <row r="34" spans="1:3" s="2" customFormat="1">
      <c r="A34" s="83">
        <v>28</v>
      </c>
      <c r="B34" s="115" t="s">
        <v>53</v>
      </c>
      <c r="C34" s="175"/>
    </row>
    <row r="35" spans="1:3" s="2" customFormat="1">
      <c r="A35" s="83">
        <v>29</v>
      </c>
      <c r="B35" s="35" t="s">
        <v>54</v>
      </c>
      <c r="C35" s="175"/>
    </row>
    <row r="36" spans="1:3" s="2" customFormat="1">
      <c r="A36" s="83">
        <v>30</v>
      </c>
      <c r="B36" s="44" t="s">
        <v>55</v>
      </c>
      <c r="C36" s="174">
        <f>SUM(C37:C41)</f>
        <v>0</v>
      </c>
    </row>
    <row r="37" spans="1:3" s="2" customFormat="1">
      <c r="A37" s="83">
        <v>31</v>
      </c>
      <c r="B37" s="36" t="s">
        <v>56</v>
      </c>
      <c r="C37" s="175"/>
    </row>
    <row r="38" spans="1:3" s="2" customFormat="1">
      <c r="A38" s="83">
        <v>32</v>
      </c>
      <c r="B38" s="37" t="s">
        <v>57</v>
      </c>
      <c r="C38" s="175"/>
    </row>
    <row r="39" spans="1:3" s="2" customFormat="1" ht="27.6">
      <c r="A39" s="83">
        <v>33</v>
      </c>
      <c r="B39" s="36" t="s">
        <v>58</v>
      </c>
      <c r="C39" s="175"/>
    </row>
    <row r="40" spans="1:3" s="2" customFormat="1" ht="27.6">
      <c r="A40" s="83">
        <v>34</v>
      </c>
      <c r="B40" s="36" t="s">
        <v>46</v>
      </c>
      <c r="C40" s="175"/>
    </row>
    <row r="41" spans="1:3" s="2" customFormat="1" ht="27.6">
      <c r="A41" s="83">
        <v>35</v>
      </c>
      <c r="B41" s="38" t="s">
        <v>59</v>
      </c>
      <c r="C41" s="175"/>
    </row>
    <row r="42" spans="1:3" s="2" customFormat="1">
      <c r="A42" s="83">
        <v>36</v>
      </c>
      <c r="B42" s="44" t="s">
        <v>24</v>
      </c>
      <c r="C42" s="174">
        <f>C31-C36</f>
        <v>0</v>
      </c>
    </row>
    <row r="43" spans="1:3" s="2" customFormat="1">
      <c r="A43" s="83"/>
      <c r="B43" s="39"/>
      <c r="C43" s="175"/>
    </row>
    <row r="44" spans="1:3" s="2" customFormat="1">
      <c r="A44" s="83">
        <v>37</v>
      </c>
      <c r="B44" s="45" t="s">
        <v>60</v>
      </c>
      <c r="C44" s="174">
        <f>SUM(C45:C47)</f>
        <v>76888258</v>
      </c>
    </row>
    <row r="45" spans="1:3" s="2" customFormat="1">
      <c r="A45" s="83">
        <v>38</v>
      </c>
      <c r="B45" s="35" t="s">
        <v>61</v>
      </c>
      <c r="C45" s="175">
        <v>76888258</v>
      </c>
    </row>
    <row r="46" spans="1:3" s="2" customFormat="1">
      <c r="A46" s="83">
        <v>39</v>
      </c>
      <c r="B46" s="35" t="s">
        <v>62</v>
      </c>
      <c r="C46" s="175"/>
    </row>
    <row r="47" spans="1:3" s="2" customFormat="1">
      <c r="A47" s="83">
        <v>40</v>
      </c>
      <c r="B47" s="647" t="s">
        <v>729</v>
      </c>
      <c r="C47" s="175"/>
    </row>
    <row r="48" spans="1:3" s="2" customFormat="1">
      <c r="A48" s="83">
        <v>41</v>
      </c>
      <c r="B48" s="45" t="s">
        <v>63</v>
      </c>
      <c r="C48" s="174">
        <f>SUM(C49:C52)</f>
        <v>0</v>
      </c>
    </row>
    <row r="49" spans="1:3" s="2" customFormat="1">
      <c r="A49" s="83">
        <v>42</v>
      </c>
      <c r="B49" s="36" t="s">
        <v>64</v>
      </c>
      <c r="C49" s="175"/>
    </row>
    <row r="50" spans="1:3" s="2" customFormat="1">
      <c r="A50" s="83">
        <v>43</v>
      </c>
      <c r="B50" s="37" t="s">
        <v>65</v>
      </c>
      <c r="C50" s="175"/>
    </row>
    <row r="51" spans="1:3" s="2" customFormat="1" ht="27.6">
      <c r="A51" s="83">
        <v>44</v>
      </c>
      <c r="B51" s="36" t="s">
        <v>66</v>
      </c>
      <c r="C51" s="175"/>
    </row>
    <row r="52" spans="1:3" s="2" customFormat="1" ht="27.6">
      <c r="A52" s="83">
        <v>45</v>
      </c>
      <c r="B52" s="36" t="s">
        <v>46</v>
      </c>
      <c r="C52" s="175"/>
    </row>
    <row r="53" spans="1:3" s="2" customFormat="1" ht="15" thickBot="1">
      <c r="A53" s="83">
        <v>46</v>
      </c>
      <c r="B53" s="84" t="s">
        <v>25</v>
      </c>
      <c r="C53" s="177">
        <f>C44-C48</f>
        <v>76888258</v>
      </c>
    </row>
    <row r="56" spans="1:3">
      <c r="B56" s="1" t="s">
        <v>142</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3" t="s">
        <v>109</v>
      </c>
      <c r="B1" s="12" t="str">
        <f>Info!C2</f>
        <v>სს "კრედობანკი"</v>
      </c>
    </row>
    <row r="2" spans="1:4" s="13" customFormat="1" ht="15.75" customHeight="1">
      <c r="A2" s="13" t="s">
        <v>110</v>
      </c>
      <c r="B2" s="346">
        <f>'1. key ratios'!B2</f>
        <v>45016</v>
      </c>
    </row>
    <row r="3" spans="1:4" s="13" customFormat="1" ht="15.75" customHeight="1"/>
    <row r="4" spans="1:4" ht="14.4" thickBot="1">
      <c r="A4" s="1" t="s">
        <v>358</v>
      </c>
      <c r="B4" s="259" t="s">
        <v>359</v>
      </c>
    </row>
    <row r="5" spans="1:4" s="31" customFormat="1">
      <c r="A5" s="826" t="s">
        <v>360</v>
      </c>
      <c r="B5" s="827"/>
      <c r="C5" s="249" t="s">
        <v>361</v>
      </c>
      <c r="D5" s="250" t="s">
        <v>362</v>
      </c>
    </row>
    <row r="6" spans="1:4" s="260" customFormat="1">
      <c r="A6" s="251">
        <v>1</v>
      </c>
      <c r="B6" s="252" t="s">
        <v>363</v>
      </c>
      <c r="C6" s="252"/>
      <c r="D6" s="253"/>
    </row>
    <row r="7" spans="1:4" s="260" customFormat="1">
      <c r="A7" s="254" t="s">
        <v>364</v>
      </c>
      <c r="B7" s="255" t="s">
        <v>365</v>
      </c>
      <c r="C7" s="303">
        <v>4.4999999999999998E-2</v>
      </c>
      <c r="D7" s="783">
        <f>C7*'5. RWA'!$C$13</f>
        <v>85201852.135086462</v>
      </c>
    </row>
    <row r="8" spans="1:4" s="260" customFormat="1">
      <c r="A8" s="254" t="s">
        <v>366</v>
      </c>
      <c r="B8" s="255" t="s">
        <v>367</v>
      </c>
      <c r="C8" s="304">
        <v>0.06</v>
      </c>
      <c r="D8" s="783">
        <f>C8*'5. RWA'!$C$13</f>
        <v>113602469.51344861</v>
      </c>
    </row>
    <row r="9" spans="1:4" s="260" customFormat="1">
      <c r="A9" s="254" t="s">
        <v>368</v>
      </c>
      <c r="B9" s="255" t="s">
        <v>369</v>
      </c>
      <c r="C9" s="304">
        <v>0.08</v>
      </c>
      <c r="D9" s="783">
        <f>C9*'5. RWA'!$C$13</f>
        <v>151469959.35126483</v>
      </c>
    </row>
    <row r="10" spans="1:4" s="260" customFormat="1">
      <c r="A10" s="251" t="s">
        <v>370</v>
      </c>
      <c r="B10" s="252" t="s">
        <v>371</v>
      </c>
      <c r="C10" s="305"/>
      <c r="D10" s="784"/>
    </row>
    <row r="11" spans="1:4" s="261" customFormat="1">
      <c r="A11" s="256" t="s">
        <v>372</v>
      </c>
      <c r="B11" s="257" t="s">
        <v>434</v>
      </c>
      <c r="C11" s="306">
        <v>2.5000000000000001E-2</v>
      </c>
      <c r="D11" s="785">
        <f>C11*'5. RWA'!$C$13</f>
        <v>47334362.297270261</v>
      </c>
    </row>
    <row r="12" spans="1:4" s="261" customFormat="1">
      <c r="A12" s="256" t="s">
        <v>373</v>
      </c>
      <c r="B12" s="257" t="s">
        <v>374</v>
      </c>
      <c r="C12" s="306">
        <v>0</v>
      </c>
      <c r="D12" s="785">
        <f>C12*'5. RWA'!$C$13</f>
        <v>0</v>
      </c>
    </row>
    <row r="13" spans="1:4" s="261" customFormat="1">
      <c r="A13" s="256" t="s">
        <v>375</v>
      </c>
      <c r="B13" s="257" t="s">
        <v>376</v>
      </c>
      <c r="C13" s="306">
        <v>0</v>
      </c>
      <c r="D13" s="785">
        <f>C13*'5. RWA'!$C$13</f>
        <v>0</v>
      </c>
    </row>
    <row r="14" spans="1:4" s="260" customFormat="1">
      <c r="A14" s="251" t="s">
        <v>377</v>
      </c>
      <c r="B14" s="252" t="s">
        <v>432</v>
      </c>
      <c r="C14" s="307"/>
      <c r="D14" s="784"/>
    </row>
    <row r="15" spans="1:4" s="260" customFormat="1">
      <c r="A15" s="271" t="s">
        <v>380</v>
      </c>
      <c r="B15" s="257" t="s">
        <v>433</v>
      </c>
      <c r="C15" s="306">
        <f>1.748%+1.69/100</f>
        <v>3.4379999999999994E-2</v>
      </c>
      <c r="D15" s="785">
        <f>C15*'5. RWA'!$C$13</f>
        <v>65094215.031206042</v>
      </c>
    </row>
    <row r="16" spans="1:4" s="260" customFormat="1">
      <c r="A16" s="271" t="s">
        <v>381</v>
      </c>
      <c r="B16" s="257" t="s">
        <v>383</v>
      </c>
      <c r="C16" s="306">
        <f>2.341%+0.0169</f>
        <v>4.0309999999999999E-2</v>
      </c>
      <c r="D16" s="785">
        <f>C16*'5. RWA'!$C$13</f>
        <v>76321925.76811856</v>
      </c>
    </row>
    <row r="17" spans="1:4" s="260" customFormat="1">
      <c r="A17" s="271" t="s">
        <v>382</v>
      </c>
      <c r="B17" s="257" t="s">
        <v>430</v>
      </c>
      <c r="C17" s="306">
        <f>3.121%+0.0169</f>
        <v>4.811E-2</v>
      </c>
      <c r="D17" s="785">
        <f>C17*'5. RWA'!$C$13</f>
        <v>91090246.80486688</v>
      </c>
    </row>
    <row r="18" spans="1:4" s="31" customFormat="1">
      <c r="A18" s="828" t="s">
        <v>431</v>
      </c>
      <c r="B18" s="829"/>
      <c r="C18" s="308" t="s">
        <v>361</v>
      </c>
      <c r="D18" s="786" t="s">
        <v>362</v>
      </c>
    </row>
    <row r="19" spans="1:4" s="260" customFormat="1">
      <c r="A19" s="258">
        <v>4</v>
      </c>
      <c r="B19" s="257" t="s">
        <v>23</v>
      </c>
      <c r="C19" s="306">
        <f>C7+C11+C12+C13+C15</f>
        <v>0.10438</v>
      </c>
      <c r="D19" s="783">
        <f>C19*'5. RWA'!$C$13</f>
        <v>197630429.46356279</v>
      </c>
    </row>
    <row r="20" spans="1:4" s="260" customFormat="1">
      <c r="A20" s="258">
        <v>5</v>
      </c>
      <c r="B20" s="257" t="s">
        <v>87</v>
      </c>
      <c r="C20" s="306">
        <f>C8+C11+C12+C13+C16</f>
        <v>0.12530999999999998</v>
      </c>
      <c r="D20" s="783">
        <f>C20*'5. RWA'!$C$13</f>
        <v>237258757.57883739</v>
      </c>
    </row>
    <row r="21" spans="1:4" s="260" customFormat="1" ht="14.4" thickBot="1">
      <c r="A21" s="262" t="s">
        <v>378</v>
      </c>
      <c r="B21" s="263" t="s">
        <v>86</v>
      </c>
      <c r="C21" s="309">
        <f>C9+C11+C12+C13+C17</f>
        <v>0.15311000000000002</v>
      </c>
      <c r="D21" s="787">
        <f>C21*'5. RWA'!$C$13</f>
        <v>289894568.45340198</v>
      </c>
    </row>
    <row r="23" spans="1:4" ht="69">
      <c r="B23" s="17" t="s">
        <v>435</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6" activePane="bottomRight" state="frozen"/>
      <selection pane="topRight" activeCell="B1" sqref="B1"/>
      <selection pane="bottomLeft" activeCell="A5" sqref="A5"/>
      <selection pane="bottomRight" activeCell="C6" sqref="C6:C68"/>
    </sheetView>
  </sheetViews>
  <sheetFormatPr defaultRowHeight="14.4"/>
  <cols>
    <col min="1" max="1" width="10.77734375" style="32" customWidth="1"/>
    <col min="2" max="2" width="91.77734375" style="32" customWidth="1"/>
    <col min="3" max="3" width="53.21875" style="32" customWidth="1"/>
    <col min="4" max="4" width="32.21875" style="32" customWidth="1"/>
    <col min="5" max="5" width="9.44140625" customWidth="1"/>
  </cols>
  <sheetData>
    <row r="1" spans="1:6">
      <c r="A1" s="13" t="s">
        <v>109</v>
      </c>
      <c r="B1" s="14" t="str">
        <f>Info!C2</f>
        <v>სს "კრედობანკი"</v>
      </c>
      <c r="E1" s="1"/>
      <c r="F1" s="1"/>
    </row>
    <row r="2" spans="1:6" s="13" customFormat="1" ht="15.75" customHeight="1">
      <c r="A2" s="13" t="s">
        <v>110</v>
      </c>
      <c r="B2" s="346">
        <f>'1. key ratios'!B2</f>
        <v>45016</v>
      </c>
    </row>
    <row r="3" spans="1:6" s="13" customFormat="1" ht="15.75" customHeight="1">
      <c r="A3" s="20"/>
    </row>
    <row r="4" spans="1:6" s="13" customFormat="1" ht="15.75" customHeight="1" thickBot="1">
      <c r="A4" s="13" t="s">
        <v>259</v>
      </c>
      <c r="B4" s="138" t="s">
        <v>173</v>
      </c>
      <c r="D4" s="140" t="s">
        <v>88</v>
      </c>
    </row>
    <row r="5" spans="1:6" ht="27.6">
      <c r="A5" s="90" t="s">
        <v>26</v>
      </c>
      <c r="B5" s="91" t="s">
        <v>145</v>
      </c>
      <c r="C5" s="92" t="s">
        <v>862</v>
      </c>
      <c r="D5" s="139" t="s">
        <v>174</v>
      </c>
    </row>
    <row r="6" spans="1:6">
      <c r="A6" s="453">
        <v>1</v>
      </c>
      <c r="B6" s="413" t="s">
        <v>847</v>
      </c>
      <c r="C6" s="489">
        <f>SUM(C7:C9)</f>
        <v>283588210.22000003</v>
      </c>
      <c r="D6" s="85"/>
      <c r="E6" s="4"/>
    </row>
    <row r="7" spans="1:6">
      <c r="A7" s="453">
        <v>1.1000000000000001</v>
      </c>
      <c r="B7" s="414" t="s">
        <v>97</v>
      </c>
      <c r="C7" s="482">
        <v>77880894.670000002</v>
      </c>
      <c r="D7" s="86"/>
      <c r="E7" s="4"/>
    </row>
    <row r="8" spans="1:6">
      <c r="A8" s="453">
        <v>1.2</v>
      </c>
      <c r="B8" s="414" t="s">
        <v>98</v>
      </c>
      <c r="C8" s="482">
        <v>99817963.290000007</v>
      </c>
      <c r="D8" s="86"/>
      <c r="E8" s="4"/>
    </row>
    <row r="9" spans="1:6">
      <c r="A9" s="453">
        <v>1.3</v>
      </c>
      <c r="B9" s="414" t="s">
        <v>99</v>
      </c>
      <c r="C9" s="482">
        <v>105889352.26000002</v>
      </c>
      <c r="D9" s="86"/>
      <c r="E9" s="4"/>
    </row>
    <row r="10" spans="1:6">
      <c r="A10" s="453">
        <v>2</v>
      </c>
      <c r="B10" s="415" t="s">
        <v>734</v>
      </c>
      <c r="C10" s="491"/>
      <c r="D10" s="86"/>
      <c r="E10" s="4"/>
    </row>
    <row r="11" spans="1:6">
      <c r="A11" s="453">
        <v>2.1</v>
      </c>
      <c r="B11" s="416" t="s">
        <v>735</v>
      </c>
      <c r="C11" s="483"/>
      <c r="D11" s="87"/>
      <c r="E11" s="5"/>
    </row>
    <row r="12" spans="1:6" ht="23.55" customHeight="1">
      <c r="A12" s="453">
        <v>3</v>
      </c>
      <c r="B12" s="417" t="s">
        <v>736</v>
      </c>
      <c r="C12" s="490">
        <v>547621.99</v>
      </c>
      <c r="D12" s="87"/>
      <c r="E12" s="5"/>
    </row>
    <row r="13" spans="1:6" ht="22.95" customHeight="1">
      <c r="A13" s="453">
        <v>4</v>
      </c>
      <c r="B13" s="418" t="s">
        <v>737</v>
      </c>
      <c r="C13" s="490"/>
      <c r="D13" s="87"/>
      <c r="E13" s="5"/>
    </row>
    <row r="14" spans="1:6">
      <c r="A14" s="453">
        <v>5</v>
      </c>
      <c r="B14" s="418" t="s">
        <v>738</v>
      </c>
      <c r="C14" s="490">
        <f>SUM(C15:C17)</f>
        <v>0</v>
      </c>
      <c r="D14" s="87"/>
      <c r="E14" s="5"/>
    </row>
    <row r="15" spans="1:6">
      <c r="A15" s="453">
        <v>5.0999999999999996</v>
      </c>
      <c r="B15" s="419" t="s">
        <v>739</v>
      </c>
      <c r="C15" s="482"/>
      <c r="D15" s="87"/>
      <c r="E15" s="4"/>
    </row>
    <row r="16" spans="1:6">
      <c r="A16" s="453">
        <v>5.2</v>
      </c>
      <c r="B16" s="419" t="s">
        <v>570</v>
      </c>
      <c r="C16" s="482"/>
      <c r="D16" s="86"/>
      <c r="E16" s="4"/>
    </row>
    <row r="17" spans="1:5">
      <c r="A17" s="453">
        <v>5.3</v>
      </c>
      <c r="B17" s="419" t="s">
        <v>740</v>
      </c>
      <c r="C17" s="482"/>
      <c r="D17" s="86"/>
      <c r="E17" s="4"/>
    </row>
    <row r="18" spans="1:5">
      <c r="A18" s="453">
        <v>6</v>
      </c>
      <c r="B18" s="417" t="s">
        <v>741</v>
      </c>
      <c r="C18" s="491">
        <f>SUM(C19:C20)</f>
        <v>1812683558.0962408</v>
      </c>
      <c r="D18" s="86"/>
      <c r="E18" s="4"/>
    </row>
    <row r="19" spans="1:5">
      <c r="A19" s="453">
        <v>6.1</v>
      </c>
      <c r="B19" s="419" t="s">
        <v>570</v>
      </c>
      <c r="C19" s="483">
        <v>48473647.099999994</v>
      </c>
      <c r="D19" s="86"/>
      <c r="E19" s="4"/>
    </row>
    <row r="20" spans="1:5">
      <c r="A20" s="453">
        <v>6.2</v>
      </c>
      <c r="B20" s="419" t="s">
        <v>740</v>
      </c>
      <c r="C20" s="483">
        <v>1764209910.9962409</v>
      </c>
      <c r="D20" s="86"/>
      <c r="E20" s="4"/>
    </row>
    <row r="21" spans="1:5">
      <c r="A21" s="453">
        <v>7</v>
      </c>
      <c r="B21" s="420" t="s">
        <v>742</v>
      </c>
      <c r="C21" s="490"/>
      <c r="D21" s="86"/>
      <c r="E21" s="4"/>
    </row>
    <row r="22" spans="1:5">
      <c r="A22" s="453">
        <v>8</v>
      </c>
      <c r="B22" s="421" t="s">
        <v>743</v>
      </c>
      <c r="C22" s="491"/>
      <c r="D22" s="86"/>
      <c r="E22" s="4"/>
    </row>
    <row r="23" spans="1:5">
      <c r="A23" s="453">
        <v>9</v>
      </c>
      <c r="B23" s="418" t="s">
        <v>744</v>
      </c>
      <c r="C23" s="491">
        <f>SUM(C24:C25)</f>
        <v>37588515.24000001</v>
      </c>
      <c r="D23" s="481"/>
      <c r="E23" s="4"/>
    </row>
    <row r="24" spans="1:5">
      <c r="A24" s="453">
        <v>9.1</v>
      </c>
      <c r="B24" s="422" t="s">
        <v>745</v>
      </c>
      <c r="C24" s="484">
        <v>37588515.24000001</v>
      </c>
      <c r="D24" s="88"/>
      <c r="E24" s="4"/>
    </row>
    <row r="25" spans="1:5">
      <c r="A25" s="453">
        <v>9.1999999999999993</v>
      </c>
      <c r="B25" s="422" t="s">
        <v>746</v>
      </c>
      <c r="C25" s="485"/>
      <c r="D25" s="480"/>
      <c r="E25" s="3"/>
    </row>
    <row r="26" spans="1:5">
      <c r="A26" s="453">
        <v>10</v>
      </c>
      <c r="B26" s="418" t="s">
        <v>37</v>
      </c>
      <c r="C26" s="492">
        <f>SUM(C27:C28)</f>
        <v>20254474.150000002</v>
      </c>
      <c r="D26" s="633" t="s">
        <v>946</v>
      </c>
      <c r="E26" s="4"/>
    </row>
    <row r="27" spans="1:5">
      <c r="A27" s="453">
        <v>10.1</v>
      </c>
      <c r="B27" s="422" t="s">
        <v>747</v>
      </c>
      <c r="C27" s="482"/>
      <c r="D27" s="86"/>
      <c r="E27" s="4"/>
    </row>
    <row r="28" spans="1:5">
      <c r="A28" s="453">
        <v>10.199999999999999</v>
      </c>
      <c r="B28" s="422" t="s">
        <v>748</v>
      </c>
      <c r="C28" s="482">
        <v>20254474.150000002</v>
      </c>
      <c r="D28" s="86"/>
      <c r="E28" s="4"/>
    </row>
    <row r="29" spans="1:5">
      <c r="A29" s="453">
        <v>11</v>
      </c>
      <c r="B29" s="418" t="s">
        <v>749</v>
      </c>
      <c r="C29" s="491">
        <f>SUM(C30:C31)</f>
        <v>1697888.5900000017</v>
      </c>
      <c r="D29" s="86"/>
      <c r="E29" s="4"/>
    </row>
    <row r="30" spans="1:5">
      <c r="A30" s="453">
        <v>11.1</v>
      </c>
      <c r="B30" s="422" t="s">
        <v>750</v>
      </c>
      <c r="C30" s="482">
        <v>1697888.5900000017</v>
      </c>
      <c r="D30" s="86"/>
      <c r="E30" s="4"/>
    </row>
    <row r="31" spans="1:5">
      <c r="A31" s="453">
        <v>11.2</v>
      </c>
      <c r="B31" s="422" t="s">
        <v>751</v>
      </c>
      <c r="C31" s="482"/>
      <c r="D31" s="86"/>
      <c r="E31" s="4"/>
    </row>
    <row r="32" spans="1:5">
      <c r="A32" s="453">
        <v>13</v>
      </c>
      <c r="B32" s="418" t="s">
        <v>100</v>
      </c>
      <c r="C32" s="491">
        <v>30331228.280000001</v>
      </c>
      <c r="D32" s="86"/>
      <c r="E32" s="4"/>
    </row>
    <row r="33" spans="1:5">
      <c r="A33" s="453">
        <v>13.1</v>
      </c>
      <c r="B33" s="423" t="s">
        <v>752</v>
      </c>
      <c r="C33" s="482"/>
      <c r="D33" s="86"/>
      <c r="E33" s="4"/>
    </row>
    <row r="34" spans="1:5">
      <c r="A34" s="453">
        <v>13.2</v>
      </c>
      <c r="B34" s="423" t="s">
        <v>753</v>
      </c>
      <c r="C34" s="484"/>
      <c r="D34" s="88"/>
      <c r="E34" s="4"/>
    </row>
    <row r="35" spans="1:5">
      <c r="A35" s="453">
        <v>14</v>
      </c>
      <c r="B35" s="424" t="s">
        <v>754</v>
      </c>
      <c r="C35" s="493">
        <f>SUM(C6,C10,C12,C13,C14,C18,C21,C22,C23,C26,C29,C32)</f>
        <v>2186691496.5662413</v>
      </c>
      <c r="D35" s="88"/>
      <c r="E35" s="4"/>
    </row>
    <row r="36" spans="1:5">
      <c r="A36" s="453"/>
      <c r="B36" s="425" t="s">
        <v>105</v>
      </c>
      <c r="C36" s="178"/>
      <c r="D36" s="89"/>
      <c r="E36" s="4"/>
    </row>
    <row r="37" spans="1:5">
      <c r="A37" s="453">
        <v>15</v>
      </c>
      <c r="B37" s="426" t="s">
        <v>755</v>
      </c>
      <c r="C37" s="485"/>
      <c r="D37" s="480"/>
      <c r="E37" s="3"/>
    </row>
    <row r="38" spans="1:5">
      <c r="A38" s="453">
        <v>15.1</v>
      </c>
      <c r="B38" s="428" t="s">
        <v>735</v>
      </c>
      <c r="C38" s="482"/>
      <c r="D38" s="86"/>
      <c r="E38" s="4"/>
    </row>
    <row r="39" spans="1:5" ht="20.399999999999999">
      <c r="A39" s="453">
        <v>16</v>
      </c>
      <c r="B39" s="420" t="s">
        <v>756</v>
      </c>
      <c r="C39" s="491"/>
      <c r="D39" s="86"/>
      <c r="E39" s="4"/>
    </row>
    <row r="40" spans="1:5">
      <c r="A40" s="453">
        <v>17</v>
      </c>
      <c r="B40" s="420" t="s">
        <v>757</v>
      </c>
      <c r="C40" s="491">
        <f>SUM(C41:C44)</f>
        <v>1784711014.6399999</v>
      </c>
      <c r="D40" s="86"/>
      <c r="E40" s="4"/>
    </row>
    <row r="41" spans="1:5">
      <c r="A41" s="453">
        <v>17.100000000000001</v>
      </c>
      <c r="B41" s="429" t="s">
        <v>758</v>
      </c>
      <c r="C41" s="482">
        <v>678277482</v>
      </c>
      <c r="D41" s="86"/>
      <c r="E41" s="4"/>
    </row>
    <row r="42" spans="1:5">
      <c r="A42" s="472">
        <v>17.2</v>
      </c>
      <c r="B42" s="473" t="s">
        <v>101</v>
      </c>
      <c r="C42" s="484">
        <v>1089099058.77</v>
      </c>
      <c r="D42" s="88"/>
      <c r="E42" s="4"/>
    </row>
    <row r="43" spans="1:5">
      <c r="A43" s="453">
        <v>17.3</v>
      </c>
      <c r="B43" s="474" t="s">
        <v>759</v>
      </c>
      <c r="C43" s="486"/>
      <c r="D43" s="475"/>
      <c r="E43" s="4"/>
    </row>
    <row r="44" spans="1:5">
      <c r="A44" s="453">
        <v>17.399999999999999</v>
      </c>
      <c r="B44" s="474" t="s">
        <v>760</v>
      </c>
      <c r="C44" s="486">
        <v>17334473.869999997</v>
      </c>
      <c r="D44" s="475"/>
      <c r="E44" s="4"/>
    </row>
    <row r="45" spans="1:5">
      <c r="A45" s="453">
        <v>18</v>
      </c>
      <c r="B45" s="437" t="s">
        <v>761</v>
      </c>
      <c r="C45" s="494"/>
      <c r="D45" s="475"/>
      <c r="E45" s="3"/>
    </row>
    <row r="46" spans="1:5">
      <c r="A46" s="453">
        <v>19</v>
      </c>
      <c r="B46" s="437" t="s">
        <v>762</v>
      </c>
      <c r="C46" s="491">
        <f>SUM(C47:C48)</f>
        <v>3787169.63</v>
      </c>
      <c r="D46" s="476"/>
    </row>
    <row r="47" spans="1:5">
      <c r="A47" s="453">
        <v>19.100000000000001</v>
      </c>
      <c r="B47" s="477" t="s">
        <v>763</v>
      </c>
      <c r="C47" s="487"/>
      <c r="D47" s="476"/>
    </row>
    <row r="48" spans="1:5">
      <c r="A48" s="453">
        <v>19.2</v>
      </c>
      <c r="B48" s="477" t="s">
        <v>764</v>
      </c>
      <c r="C48" s="482">
        <v>3787169.63</v>
      </c>
      <c r="D48" s="476"/>
    </row>
    <row r="49" spans="1:4">
      <c r="A49" s="453">
        <v>20</v>
      </c>
      <c r="B49" s="433" t="s">
        <v>102</v>
      </c>
      <c r="C49" s="491">
        <v>95888210.379999995</v>
      </c>
      <c r="D49" s="476"/>
    </row>
    <row r="50" spans="1:4">
      <c r="A50" s="453">
        <v>21</v>
      </c>
      <c r="B50" s="434" t="s">
        <v>90</v>
      </c>
      <c r="C50" s="491">
        <v>32774856.490000017</v>
      </c>
      <c r="D50" s="476"/>
    </row>
    <row r="51" spans="1:4">
      <c r="A51" s="453">
        <v>21.1</v>
      </c>
      <c r="B51" s="430" t="s">
        <v>765</v>
      </c>
      <c r="C51" s="487"/>
      <c r="D51" s="476"/>
    </row>
    <row r="52" spans="1:4">
      <c r="A52" s="453">
        <v>22</v>
      </c>
      <c r="B52" s="433" t="s">
        <v>766</v>
      </c>
      <c r="C52" s="491">
        <f>SUM(C37,C39,C40,C45,C46,C49,C50)</f>
        <v>1917161251.1400001</v>
      </c>
      <c r="D52" s="476"/>
    </row>
    <row r="53" spans="1:4">
      <c r="A53" s="453"/>
      <c r="B53" s="435" t="s">
        <v>767</v>
      </c>
      <c r="C53" s="476"/>
      <c r="D53" s="476"/>
    </row>
    <row r="54" spans="1:4">
      <c r="A54" s="453">
        <v>23</v>
      </c>
      <c r="B54" s="433" t="s">
        <v>106</v>
      </c>
      <c r="C54" s="491">
        <v>5186820</v>
      </c>
      <c r="D54" s="476"/>
    </row>
    <row r="55" spans="1:4">
      <c r="A55" s="453">
        <v>24</v>
      </c>
      <c r="B55" s="433" t="s">
        <v>768</v>
      </c>
      <c r="C55" s="495"/>
      <c r="D55" s="476"/>
    </row>
    <row r="56" spans="1:4">
      <c r="A56" s="453">
        <v>25</v>
      </c>
      <c r="B56" s="433" t="s">
        <v>103</v>
      </c>
      <c r="C56" s="491">
        <v>35780630.32</v>
      </c>
      <c r="D56" s="476"/>
    </row>
    <row r="57" spans="1:4">
      <c r="A57" s="453">
        <v>26</v>
      </c>
      <c r="B57" s="437" t="s">
        <v>769</v>
      </c>
      <c r="C57" s="495"/>
      <c r="D57" s="476"/>
    </row>
    <row r="58" spans="1:4">
      <c r="A58" s="453">
        <v>27</v>
      </c>
      <c r="B58" s="437" t="s">
        <v>770</v>
      </c>
      <c r="C58" s="495">
        <f>SUM(C59:C60)</f>
        <v>0</v>
      </c>
      <c r="D58" s="476"/>
    </row>
    <row r="59" spans="1:4">
      <c r="A59" s="453">
        <v>27.1</v>
      </c>
      <c r="B59" s="477" t="s">
        <v>771</v>
      </c>
      <c r="C59" s="488"/>
      <c r="D59" s="476"/>
    </row>
    <row r="60" spans="1:4">
      <c r="A60" s="453">
        <v>27.2</v>
      </c>
      <c r="B60" s="474" t="s">
        <v>772</v>
      </c>
      <c r="C60" s="488"/>
      <c r="D60" s="476"/>
    </row>
    <row r="61" spans="1:4">
      <c r="A61" s="453">
        <v>28</v>
      </c>
      <c r="B61" s="434" t="s">
        <v>773</v>
      </c>
      <c r="C61" s="495"/>
      <c r="D61" s="476"/>
    </row>
    <row r="62" spans="1:4">
      <c r="A62" s="453">
        <v>29</v>
      </c>
      <c r="B62" s="437" t="s">
        <v>774</v>
      </c>
      <c r="C62" s="495">
        <f>SUM(C63:C65)</f>
        <v>0</v>
      </c>
      <c r="D62" s="476"/>
    </row>
    <row r="63" spans="1:4">
      <c r="A63" s="453">
        <v>29.1</v>
      </c>
      <c r="B63" s="478" t="s">
        <v>775</v>
      </c>
      <c r="C63" s="488"/>
      <c r="D63" s="476"/>
    </row>
    <row r="64" spans="1:4" ht="24" customHeight="1">
      <c r="A64" s="453">
        <v>29.2</v>
      </c>
      <c r="B64" s="477" t="s">
        <v>776</v>
      </c>
      <c r="C64" s="488"/>
      <c r="D64" s="476"/>
    </row>
    <row r="65" spans="1:4" ht="22.05" customHeight="1">
      <c r="A65" s="453">
        <v>29.3</v>
      </c>
      <c r="B65" s="479" t="s">
        <v>777</v>
      </c>
      <c r="C65" s="488"/>
      <c r="D65" s="476"/>
    </row>
    <row r="66" spans="1:4">
      <c r="A66" s="453">
        <v>30</v>
      </c>
      <c r="B66" s="437" t="s">
        <v>104</v>
      </c>
      <c r="C66" s="491">
        <v>228562795.54999998</v>
      </c>
      <c r="D66" s="476"/>
    </row>
    <row r="67" spans="1:4">
      <c r="A67" s="453">
        <v>31</v>
      </c>
      <c r="B67" s="436" t="s">
        <v>778</v>
      </c>
      <c r="C67" s="491">
        <f>SUM(C54,C55,C56,C57,C58,C61,C62,C66)</f>
        <v>269530245.87</v>
      </c>
      <c r="D67" s="476"/>
    </row>
    <row r="68" spans="1:4">
      <c r="A68" s="453">
        <v>32</v>
      </c>
      <c r="B68" s="437" t="s">
        <v>779</v>
      </c>
      <c r="C68" s="491">
        <f>SUM(C52,C67)</f>
        <v>2186691497.0100002</v>
      </c>
      <c r="D68" s="476"/>
    </row>
  </sheetData>
  <pageMargins left="0.7" right="0.7" top="0.75" bottom="0.75" header="0.3" footer="0.3"/>
  <pageSetup paperSize="9" orientation="portrait" horizontalDpi="4294967295" verticalDpi="4294967295" r:id="rId1"/>
  <ignoredErrors>
    <ignoredError sqref="C2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5"/>
  <sheetViews>
    <sheetView zoomScale="90" zoomScaleNormal="90" workbookViewId="0">
      <pane xSplit="2" ySplit="7" topLeftCell="C12" activePane="bottomRight" state="frozen"/>
      <selection pane="topRight" activeCell="C1" sqref="C1"/>
      <selection pane="bottomLeft" activeCell="A8" sqref="A8"/>
      <selection pane="bottomRight" activeCell="B16" sqref="B16"/>
    </sheetView>
  </sheetViews>
  <sheetFormatPr defaultColWidth="9.21875" defaultRowHeight="13.8"/>
  <cols>
    <col min="1" max="1" width="10.5546875" style="1" bestFit="1" customWidth="1"/>
    <col min="2" max="2" width="60.109375" style="1" customWidth="1"/>
    <col min="3" max="3" width="10.33203125" style="1" bestFit="1" customWidth="1"/>
    <col min="4" max="4" width="13.21875" style="1" bestFit="1" customWidth="1"/>
    <col min="5" max="5" width="9.44140625" style="1" bestFit="1" customWidth="1"/>
    <col min="6" max="6" width="13.21875" style="1" bestFit="1" customWidth="1"/>
    <col min="7" max="7" width="9.44140625" style="1" bestFit="1" customWidth="1"/>
    <col min="8" max="8" width="13.21875" style="1" bestFit="1" customWidth="1"/>
    <col min="9" max="9" width="9.44140625" style="1" bestFit="1" customWidth="1"/>
    <col min="10" max="10" width="13.21875" style="1" bestFit="1" customWidth="1"/>
    <col min="11" max="11" width="12.77734375" style="1" bestFit="1" customWidth="1"/>
    <col min="12" max="12" width="13.21875" style="1" bestFit="1" customWidth="1"/>
    <col min="13" max="13" width="11.33203125" style="1" bestFit="1" customWidth="1"/>
    <col min="14" max="14" width="13.21875" style="1" bestFit="1" customWidth="1"/>
    <col min="15" max="15" width="9.44140625" style="1" bestFit="1" customWidth="1"/>
    <col min="16" max="16" width="13.21875" style="1" bestFit="1" customWidth="1"/>
    <col min="17" max="17" width="9.44140625" style="1" bestFit="1" customWidth="1"/>
    <col min="18" max="18" width="13.21875" style="1" bestFit="1" customWidth="1"/>
    <col min="19" max="19" width="31.5546875" style="1" bestFit="1" customWidth="1"/>
    <col min="20" max="16384" width="9.21875" style="8"/>
  </cols>
  <sheetData>
    <row r="1" spans="1:19">
      <c r="A1" s="1" t="s">
        <v>109</v>
      </c>
      <c r="B1" s="1" t="str">
        <f>Info!C2</f>
        <v>სს "კრედობანკი"</v>
      </c>
    </row>
    <row r="2" spans="1:19">
      <c r="A2" s="1" t="s">
        <v>110</v>
      </c>
      <c r="B2" s="346">
        <f>'1. key ratios'!B2</f>
        <v>45016</v>
      </c>
    </row>
    <row r="4" spans="1:19" ht="42" thickBot="1">
      <c r="A4" s="31" t="s">
        <v>260</v>
      </c>
      <c r="B4" s="202" t="s">
        <v>295</v>
      </c>
    </row>
    <row r="5" spans="1:19">
      <c r="A5" s="75"/>
      <c r="B5" s="77"/>
      <c r="C5" s="69" t="s">
        <v>0</v>
      </c>
      <c r="D5" s="69" t="s">
        <v>1</v>
      </c>
      <c r="E5" s="69" t="s">
        <v>2</v>
      </c>
      <c r="F5" s="69" t="s">
        <v>3</v>
      </c>
      <c r="G5" s="69" t="s">
        <v>4</v>
      </c>
      <c r="H5" s="69" t="s">
        <v>6</v>
      </c>
      <c r="I5" s="69" t="s">
        <v>146</v>
      </c>
      <c r="J5" s="69" t="s">
        <v>147</v>
      </c>
      <c r="K5" s="69" t="s">
        <v>148</v>
      </c>
      <c r="L5" s="69" t="s">
        <v>149</v>
      </c>
      <c r="M5" s="69" t="s">
        <v>150</v>
      </c>
      <c r="N5" s="69" t="s">
        <v>151</v>
      </c>
      <c r="O5" s="69" t="s">
        <v>282</v>
      </c>
      <c r="P5" s="69" t="s">
        <v>283</v>
      </c>
      <c r="Q5" s="69" t="s">
        <v>284</v>
      </c>
      <c r="R5" s="195" t="s">
        <v>285</v>
      </c>
      <c r="S5" s="70" t="s">
        <v>286</v>
      </c>
    </row>
    <row r="6" spans="1:19" ht="46.5" customHeight="1">
      <c r="A6" s="93"/>
      <c r="B6" s="834" t="s">
        <v>287</v>
      </c>
      <c r="C6" s="832">
        <v>0</v>
      </c>
      <c r="D6" s="833"/>
      <c r="E6" s="832">
        <v>0.2</v>
      </c>
      <c r="F6" s="833"/>
      <c r="G6" s="832">
        <v>0.35</v>
      </c>
      <c r="H6" s="833"/>
      <c r="I6" s="832">
        <v>0.5</v>
      </c>
      <c r="J6" s="833"/>
      <c r="K6" s="832">
        <v>0.75</v>
      </c>
      <c r="L6" s="833"/>
      <c r="M6" s="832">
        <v>1</v>
      </c>
      <c r="N6" s="833"/>
      <c r="O6" s="832">
        <v>1.5</v>
      </c>
      <c r="P6" s="833"/>
      <c r="Q6" s="832">
        <v>2.5</v>
      </c>
      <c r="R6" s="833"/>
      <c r="S6" s="830" t="s">
        <v>157</v>
      </c>
    </row>
    <row r="7" spans="1:19">
      <c r="A7" s="93"/>
      <c r="B7" s="835"/>
      <c r="C7" s="201" t="s">
        <v>280</v>
      </c>
      <c r="D7" s="201" t="s">
        <v>281</v>
      </c>
      <c r="E7" s="201" t="s">
        <v>280</v>
      </c>
      <c r="F7" s="201" t="s">
        <v>281</v>
      </c>
      <c r="G7" s="201" t="s">
        <v>280</v>
      </c>
      <c r="H7" s="201" t="s">
        <v>281</v>
      </c>
      <c r="I7" s="201" t="s">
        <v>280</v>
      </c>
      <c r="J7" s="201" t="s">
        <v>281</v>
      </c>
      <c r="K7" s="201" t="s">
        <v>280</v>
      </c>
      <c r="L7" s="201" t="s">
        <v>281</v>
      </c>
      <c r="M7" s="201" t="s">
        <v>280</v>
      </c>
      <c r="N7" s="201" t="s">
        <v>281</v>
      </c>
      <c r="O7" s="201" t="s">
        <v>280</v>
      </c>
      <c r="P7" s="201" t="s">
        <v>281</v>
      </c>
      <c r="Q7" s="201" t="s">
        <v>280</v>
      </c>
      <c r="R7" s="201" t="s">
        <v>281</v>
      </c>
      <c r="S7" s="831"/>
    </row>
    <row r="8" spans="1:19">
      <c r="A8" s="73">
        <v>1</v>
      </c>
      <c r="B8" s="114" t="s">
        <v>135</v>
      </c>
      <c r="C8" s="179">
        <v>87560430.539999992</v>
      </c>
      <c r="D8" s="179"/>
      <c r="E8" s="179"/>
      <c r="F8" s="196"/>
      <c r="G8" s="179"/>
      <c r="H8" s="179"/>
      <c r="I8" s="179"/>
      <c r="J8" s="179"/>
      <c r="K8" s="179"/>
      <c r="L8" s="179"/>
      <c r="M8" s="179">
        <v>34598045.75</v>
      </c>
      <c r="N8" s="179"/>
      <c r="O8" s="179"/>
      <c r="P8" s="179"/>
      <c r="Q8" s="179"/>
      <c r="R8" s="196"/>
      <c r="S8" s="205">
        <f>$C$6*SUM(C8:D8)+$E$6*SUM(E8:F8)+$G$6*SUM(G8:H8)+$I$6*SUM(I8:J8)+$K$6*SUM(K8:L8)+$M$6*SUM(M8:N8)+$O$6*SUM(O8:P8)+$Q$6*SUM(Q8:R8)</f>
        <v>34598045.75</v>
      </c>
    </row>
    <row r="9" spans="1:19" ht="27.6">
      <c r="A9" s="73">
        <v>2</v>
      </c>
      <c r="B9" s="36" t="s">
        <v>136</v>
      </c>
      <c r="C9" s="179"/>
      <c r="D9" s="179"/>
      <c r="E9" s="179"/>
      <c r="F9" s="179"/>
      <c r="G9" s="179"/>
      <c r="H9" s="179"/>
      <c r="I9" s="179"/>
      <c r="J9" s="179"/>
      <c r="K9" s="179"/>
      <c r="L9" s="179"/>
      <c r="M9" s="179"/>
      <c r="N9" s="179"/>
      <c r="O9" s="179"/>
      <c r="P9" s="179"/>
      <c r="Q9" s="179"/>
      <c r="R9" s="196"/>
      <c r="S9" s="205">
        <f t="shared" ref="S9:S21" si="0">$C$6*SUM(C9:D9)+$E$6*SUM(E9:F9)+$G$6*SUM(G9:H9)+$I$6*SUM(I9:J9)+$K$6*SUM(K9:L9)+$M$6*SUM(M9:N9)+$O$6*SUM(O9:P9)+$Q$6*SUM(Q9:R9)</f>
        <v>0</v>
      </c>
    </row>
    <row r="10" spans="1:19">
      <c r="A10" s="73">
        <v>3</v>
      </c>
      <c r="B10" s="114" t="s">
        <v>137</v>
      </c>
      <c r="C10" s="179">
        <v>26133134.25</v>
      </c>
      <c r="D10" s="179"/>
      <c r="E10" s="179"/>
      <c r="F10" s="179"/>
      <c r="G10" s="179"/>
      <c r="H10" s="179"/>
      <c r="I10" s="179"/>
      <c r="J10" s="179"/>
      <c r="K10" s="179"/>
      <c r="L10" s="179"/>
      <c r="M10" s="179"/>
      <c r="N10" s="179"/>
      <c r="O10" s="179"/>
      <c r="P10" s="179"/>
      <c r="Q10" s="179"/>
      <c r="R10" s="196"/>
      <c r="S10" s="205">
        <f t="shared" si="0"/>
        <v>0</v>
      </c>
    </row>
    <row r="11" spans="1:19" ht="27.6">
      <c r="A11" s="73">
        <v>4</v>
      </c>
      <c r="B11" s="36" t="s">
        <v>138</v>
      </c>
      <c r="C11" s="179"/>
      <c r="D11" s="179"/>
      <c r="E11" s="179"/>
      <c r="F11" s="179"/>
      <c r="G11" s="179"/>
      <c r="H11" s="179"/>
      <c r="I11" s="179"/>
      <c r="J11" s="179"/>
      <c r="K11" s="179"/>
      <c r="L11" s="179"/>
      <c r="M11" s="179"/>
      <c r="N11" s="179"/>
      <c r="O11" s="179"/>
      <c r="P11" s="179"/>
      <c r="Q11" s="179"/>
      <c r="R11" s="196"/>
      <c r="S11" s="205">
        <f t="shared" si="0"/>
        <v>0</v>
      </c>
    </row>
    <row r="12" spans="1:19">
      <c r="A12" s="73">
        <v>5</v>
      </c>
      <c r="B12" s="114" t="s">
        <v>995</v>
      </c>
      <c r="C12" s="179"/>
      <c r="D12" s="179"/>
      <c r="E12" s="179"/>
      <c r="F12" s="179"/>
      <c r="G12" s="179"/>
      <c r="H12" s="179"/>
      <c r="I12" s="179"/>
      <c r="J12" s="179"/>
      <c r="K12" s="179"/>
      <c r="L12" s="179"/>
      <c r="M12" s="179"/>
      <c r="N12" s="179"/>
      <c r="O12" s="179"/>
      <c r="P12" s="179"/>
      <c r="Q12" s="179"/>
      <c r="R12" s="196"/>
      <c r="S12" s="205">
        <f t="shared" si="0"/>
        <v>0</v>
      </c>
    </row>
    <row r="13" spans="1:19">
      <c r="A13" s="73">
        <v>6</v>
      </c>
      <c r="B13" s="114" t="s">
        <v>139</v>
      </c>
      <c r="C13" s="179"/>
      <c r="D13" s="179"/>
      <c r="E13" s="179">
        <v>44510492.200000003</v>
      </c>
      <c r="F13" s="179"/>
      <c r="G13" s="179"/>
      <c r="H13" s="179"/>
      <c r="I13" s="179">
        <v>61366167.910000004</v>
      </c>
      <c r="J13" s="179"/>
      <c r="K13" s="179"/>
      <c r="L13" s="179"/>
      <c r="M13" s="179">
        <v>12692.690000005066</v>
      </c>
      <c r="N13" s="179"/>
      <c r="O13" s="179"/>
      <c r="P13" s="179"/>
      <c r="Q13" s="179"/>
      <c r="R13" s="196"/>
      <c r="S13" s="205">
        <f t="shared" si="0"/>
        <v>39597875.085000008</v>
      </c>
    </row>
    <row r="14" spans="1:19">
      <c r="A14" s="73">
        <v>7</v>
      </c>
      <c r="B14" s="114" t="s">
        <v>72</v>
      </c>
      <c r="C14" s="179"/>
      <c r="D14" s="179"/>
      <c r="E14" s="179"/>
      <c r="F14" s="179"/>
      <c r="G14" s="179"/>
      <c r="H14" s="179"/>
      <c r="I14" s="179"/>
      <c r="J14" s="179"/>
      <c r="K14" s="179"/>
      <c r="L14" s="179"/>
      <c r="M14" s="179">
        <v>20064684.337181158</v>
      </c>
      <c r="N14" s="179">
        <v>834859</v>
      </c>
      <c r="O14" s="179"/>
      <c r="P14" s="179"/>
      <c r="Q14" s="179"/>
      <c r="R14" s="196"/>
      <c r="S14" s="205">
        <f t="shared" si="0"/>
        <v>20899543.337181158</v>
      </c>
    </row>
    <row r="15" spans="1:19">
      <c r="A15" s="73">
        <v>8</v>
      </c>
      <c r="B15" s="114" t="s">
        <v>73</v>
      </c>
      <c r="C15" s="179"/>
      <c r="D15" s="179"/>
      <c r="E15" s="179"/>
      <c r="F15" s="179"/>
      <c r="G15" s="179"/>
      <c r="H15" s="179"/>
      <c r="I15" s="179" t="s">
        <v>5</v>
      </c>
      <c r="J15" s="179"/>
      <c r="K15" s="179">
        <v>1648207498.44908</v>
      </c>
      <c r="L15" s="179">
        <v>18733688.185000002</v>
      </c>
      <c r="M15" s="179"/>
      <c r="N15" s="179"/>
      <c r="O15" s="179"/>
      <c r="P15" s="179"/>
      <c r="Q15" s="179"/>
      <c r="R15" s="196"/>
      <c r="S15" s="205">
        <f t="shared" si="0"/>
        <v>1250205889.9755599</v>
      </c>
    </row>
    <row r="16" spans="1:19" ht="27.6">
      <c r="A16" s="73">
        <v>9</v>
      </c>
      <c r="B16" s="36" t="s">
        <v>996</v>
      </c>
      <c r="C16" s="179"/>
      <c r="D16" s="179"/>
      <c r="E16" s="179"/>
      <c r="F16" s="179"/>
      <c r="G16" s="179">
        <v>90962892.337120384</v>
      </c>
      <c r="H16" s="179"/>
      <c r="I16" s="179"/>
      <c r="J16" s="179"/>
      <c r="K16" s="179"/>
      <c r="L16" s="179"/>
      <c r="M16" s="179"/>
      <c r="N16" s="179"/>
      <c r="O16" s="179"/>
      <c r="P16" s="179"/>
      <c r="Q16" s="179"/>
      <c r="R16" s="196"/>
      <c r="S16" s="205">
        <f t="shared" si="0"/>
        <v>31837012.317992132</v>
      </c>
    </row>
    <row r="17" spans="1:19">
      <c r="A17" s="73">
        <v>10</v>
      </c>
      <c r="B17" s="114" t="s">
        <v>68</v>
      </c>
      <c r="C17" s="179"/>
      <c r="D17" s="179"/>
      <c r="E17" s="179"/>
      <c r="F17" s="179"/>
      <c r="G17" s="179"/>
      <c r="H17" s="179"/>
      <c r="I17" s="179">
        <v>4882.5539074942862</v>
      </c>
      <c r="J17" s="179"/>
      <c r="K17" s="179"/>
      <c r="L17" s="179"/>
      <c r="M17" s="179">
        <v>2300183.6917039976</v>
      </c>
      <c r="N17" s="179"/>
      <c r="O17" s="179">
        <v>2669769.7317551896</v>
      </c>
      <c r="P17" s="179"/>
      <c r="Q17" s="179"/>
      <c r="R17" s="196"/>
      <c r="S17" s="205">
        <f t="shared" si="0"/>
        <v>6307279.5662905294</v>
      </c>
    </row>
    <row r="18" spans="1:19">
      <c r="A18" s="73">
        <v>11</v>
      </c>
      <c r="B18" s="114" t="s">
        <v>69</v>
      </c>
      <c r="C18" s="179"/>
      <c r="D18" s="179"/>
      <c r="E18" s="179"/>
      <c r="F18" s="179"/>
      <c r="G18" s="179"/>
      <c r="H18" s="179"/>
      <c r="I18" s="179"/>
      <c r="J18" s="179"/>
      <c r="K18" s="179"/>
      <c r="L18" s="179"/>
      <c r="M18" s="179"/>
      <c r="N18" s="179"/>
      <c r="O18" s="179"/>
      <c r="P18" s="179"/>
      <c r="Q18" s="179"/>
      <c r="R18" s="196"/>
      <c r="S18" s="205">
        <f t="shared" si="0"/>
        <v>0</v>
      </c>
    </row>
    <row r="19" spans="1:19">
      <c r="A19" s="73">
        <v>12</v>
      </c>
      <c r="B19" s="114" t="s">
        <v>70</v>
      </c>
      <c r="C19" s="179"/>
      <c r="D19" s="179"/>
      <c r="E19" s="179"/>
      <c r="F19" s="179"/>
      <c r="G19" s="179"/>
      <c r="H19" s="179"/>
      <c r="I19" s="179"/>
      <c r="J19" s="179"/>
      <c r="K19" s="179"/>
      <c r="L19" s="179"/>
      <c r="M19" s="179"/>
      <c r="N19" s="179"/>
      <c r="O19" s="179"/>
      <c r="P19" s="179"/>
      <c r="Q19" s="179"/>
      <c r="R19" s="196"/>
      <c r="S19" s="205">
        <f t="shared" si="0"/>
        <v>0</v>
      </c>
    </row>
    <row r="20" spans="1:19">
      <c r="A20" s="73">
        <v>13</v>
      </c>
      <c r="B20" s="114" t="s">
        <v>71</v>
      </c>
      <c r="C20" s="179"/>
      <c r="D20" s="179"/>
      <c r="E20" s="179"/>
      <c r="F20" s="179"/>
      <c r="G20" s="179"/>
      <c r="H20" s="179"/>
      <c r="I20" s="179"/>
      <c r="J20" s="179"/>
      <c r="K20" s="179"/>
      <c r="L20" s="179"/>
      <c r="M20" s="179"/>
      <c r="N20" s="179"/>
      <c r="O20" s="179"/>
      <c r="P20" s="179"/>
      <c r="Q20" s="179"/>
      <c r="R20" s="196"/>
      <c r="S20" s="205">
        <f t="shared" si="0"/>
        <v>0</v>
      </c>
    </row>
    <row r="21" spans="1:19">
      <c r="A21" s="73">
        <v>14</v>
      </c>
      <c r="B21" s="750" t="s">
        <v>155</v>
      </c>
      <c r="C21" s="179">
        <v>77880894.669999987</v>
      </c>
      <c r="D21" s="179"/>
      <c r="E21" s="179"/>
      <c r="F21" s="179"/>
      <c r="G21" s="179"/>
      <c r="H21" s="179"/>
      <c r="I21" s="179"/>
      <c r="J21" s="179"/>
      <c r="K21" s="179"/>
      <c r="L21" s="179"/>
      <c r="M21" s="179">
        <v>70165253.24000001</v>
      </c>
      <c r="N21" s="179"/>
      <c r="O21" s="179"/>
      <c r="P21" s="179"/>
      <c r="Q21" s="179"/>
      <c r="R21" s="196"/>
      <c r="S21" s="205">
        <f t="shared" si="0"/>
        <v>70165253.24000001</v>
      </c>
    </row>
    <row r="22" spans="1:19" ht="14.4" thickBot="1">
      <c r="A22" s="56"/>
      <c r="B22" s="98" t="s">
        <v>67</v>
      </c>
      <c r="C22" s="180">
        <f>SUM(C8:C21)</f>
        <v>191574459.45999998</v>
      </c>
      <c r="D22" s="180">
        <f t="shared" ref="D22:S22" si="1">SUM(D8:D21)</f>
        <v>0</v>
      </c>
      <c r="E22" s="180">
        <f t="shared" si="1"/>
        <v>44510492.200000003</v>
      </c>
      <c r="F22" s="180">
        <f t="shared" si="1"/>
        <v>0</v>
      </c>
      <c r="G22" s="180">
        <f t="shared" si="1"/>
        <v>90962892.337120384</v>
      </c>
      <c r="H22" s="180">
        <f t="shared" si="1"/>
        <v>0</v>
      </c>
      <c r="I22" s="180">
        <f t="shared" si="1"/>
        <v>61371050.463907495</v>
      </c>
      <c r="J22" s="180">
        <f t="shared" si="1"/>
        <v>0</v>
      </c>
      <c r="K22" s="180">
        <f t="shared" si="1"/>
        <v>1648207498.44908</v>
      </c>
      <c r="L22" s="180">
        <f t="shared" si="1"/>
        <v>18733688.185000002</v>
      </c>
      <c r="M22" s="180">
        <f t="shared" si="1"/>
        <v>127140859.70888516</v>
      </c>
      <c r="N22" s="180">
        <f t="shared" si="1"/>
        <v>834859</v>
      </c>
      <c r="O22" s="180">
        <f t="shared" si="1"/>
        <v>2669769.7317551896</v>
      </c>
      <c r="P22" s="180">
        <f t="shared" si="1"/>
        <v>0</v>
      </c>
      <c r="Q22" s="180">
        <f t="shared" si="1"/>
        <v>0</v>
      </c>
      <c r="R22" s="180">
        <f t="shared" si="1"/>
        <v>0</v>
      </c>
      <c r="S22" s="749">
        <f t="shared" si="1"/>
        <v>1453610899.2720239</v>
      </c>
    </row>
    <row r="23" spans="1:19">
      <c r="S23" s="748"/>
    </row>
    <row r="24" spans="1:19">
      <c r="S24" s="748"/>
    </row>
    <row r="25" spans="1:19">
      <c r="S25" s="748"/>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T7" activePane="bottomRight" state="frozen"/>
      <selection pane="topRight" activeCell="C1" sqref="C1"/>
      <selection pane="bottomLeft" activeCell="A6" sqref="A6"/>
      <selection pane="bottomRight" activeCell="B15" sqref="B15"/>
    </sheetView>
  </sheetViews>
  <sheetFormatPr defaultColWidth="9.21875" defaultRowHeight="13.8"/>
  <cols>
    <col min="1" max="1" width="10.5546875" style="1" bestFit="1" customWidth="1"/>
    <col min="2" max="2" width="74.5546875" style="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109</v>
      </c>
      <c r="B1" s="1" t="str">
        <f>Info!C2</f>
        <v>სს "კრედობანკი"</v>
      </c>
    </row>
    <row r="2" spans="1:22">
      <c r="A2" s="1" t="s">
        <v>110</v>
      </c>
      <c r="B2" s="346">
        <f>'1. key ratios'!B2</f>
        <v>45016</v>
      </c>
    </row>
    <row r="4" spans="1:22" ht="28.2" thickBot="1">
      <c r="A4" s="1" t="s">
        <v>261</v>
      </c>
      <c r="B4" s="202" t="s">
        <v>296</v>
      </c>
      <c r="V4" s="140" t="s">
        <v>88</v>
      </c>
    </row>
    <row r="5" spans="1:22">
      <c r="A5" s="54"/>
      <c r="B5" s="55"/>
      <c r="C5" s="836" t="s">
        <v>117</v>
      </c>
      <c r="D5" s="837"/>
      <c r="E5" s="837"/>
      <c r="F5" s="837"/>
      <c r="G5" s="837"/>
      <c r="H5" s="837"/>
      <c r="I5" s="837"/>
      <c r="J5" s="837"/>
      <c r="K5" s="837"/>
      <c r="L5" s="838"/>
      <c r="M5" s="836" t="s">
        <v>118</v>
      </c>
      <c r="N5" s="837"/>
      <c r="O5" s="837"/>
      <c r="P5" s="837"/>
      <c r="Q5" s="837"/>
      <c r="R5" s="837"/>
      <c r="S5" s="838"/>
      <c r="T5" s="841" t="s">
        <v>294</v>
      </c>
      <c r="U5" s="841" t="s">
        <v>293</v>
      </c>
      <c r="V5" s="839" t="s">
        <v>119</v>
      </c>
    </row>
    <row r="6" spans="1:22" s="31" customFormat="1" ht="138">
      <c r="A6" s="71"/>
      <c r="B6" s="116"/>
      <c r="C6" s="52" t="s">
        <v>120</v>
      </c>
      <c r="D6" s="51" t="s">
        <v>121</v>
      </c>
      <c r="E6" s="49" t="s">
        <v>122</v>
      </c>
      <c r="F6" s="49" t="s">
        <v>288</v>
      </c>
      <c r="G6" s="51" t="s">
        <v>123</v>
      </c>
      <c r="H6" s="51" t="s">
        <v>124</v>
      </c>
      <c r="I6" s="51" t="s">
        <v>125</v>
      </c>
      <c r="J6" s="51" t="s">
        <v>154</v>
      </c>
      <c r="K6" s="51" t="s">
        <v>126</v>
      </c>
      <c r="L6" s="53" t="s">
        <v>127</v>
      </c>
      <c r="M6" s="52" t="s">
        <v>128</v>
      </c>
      <c r="N6" s="51" t="s">
        <v>129</v>
      </c>
      <c r="O6" s="51" t="s">
        <v>130</v>
      </c>
      <c r="P6" s="51" t="s">
        <v>131</v>
      </c>
      <c r="Q6" s="51" t="s">
        <v>132</v>
      </c>
      <c r="R6" s="51" t="s">
        <v>133</v>
      </c>
      <c r="S6" s="53" t="s">
        <v>134</v>
      </c>
      <c r="T6" s="842"/>
      <c r="U6" s="842"/>
      <c r="V6" s="840"/>
    </row>
    <row r="7" spans="1:22">
      <c r="A7" s="97">
        <v>1</v>
      </c>
      <c r="B7" s="96" t="s">
        <v>135</v>
      </c>
      <c r="C7" s="181"/>
      <c r="D7" s="179"/>
      <c r="E7" s="179"/>
      <c r="F7" s="179"/>
      <c r="G7" s="179"/>
      <c r="H7" s="179"/>
      <c r="I7" s="179"/>
      <c r="J7" s="179"/>
      <c r="K7" s="179"/>
      <c r="L7" s="182"/>
      <c r="M7" s="181"/>
      <c r="N7" s="179"/>
      <c r="O7" s="179"/>
      <c r="P7" s="179"/>
      <c r="Q7" s="179"/>
      <c r="R7" s="179"/>
      <c r="S7" s="182"/>
      <c r="T7" s="199"/>
      <c r="U7" s="198"/>
      <c r="V7" s="183">
        <f>SUM(C7:S7)</f>
        <v>0</v>
      </c>
    </row>
    <row r="8" spans="1:22">
      <c r="A8" s="97">
        <v>2</v>
      </c>
      <c r="B8" s="96" t="s">
        <v>136</v>
      </c>
      <c r="C8" s="181"/>
      <c r="D8" s="179"/>
      <c r="E8" s="179"/>
      <c r="F8" s="179"/>
      <c r="G8" s="179"/>
      <c r="H8" s="179"/>
      <c r="I8" s="179"/>
      <c r="J8" s="179"/>
      <c r="K8" s="179"/>
      <c r="L8" s="182"/>
      <c r="M8" s="181"/>
      <c r="N8" s="179"/>
      <c r="O8" s="179"/>
      <c r="P8" s="179"/>
      <c r="Q8" s="179"/>
      <c r="R8" s="179"/>
      <c r="S8" s="182"/>
      <c r="T8" s="198"/>
      <c r="U8" s="198"/>
      <c r="V8" s="183">
        <f t="shared" ref="V8:V20" si="0">SUM(C8:S8)</f>
        <v>0</v>
      </c>
    </row>
    <row r="9" spans="1:22">
      <c r="A9" s="97">
        <v>3</v>
      </c>
      <c r="B9" s="96" t="s">
        <v>137</v>
      </c>
      <c r="C9" s="181"/>
      <c r="D9" s="179"/>
      <c r="E9" s="179"/>
      <c r="F9" s="179"/>
      <c r="G9" s="179"/>
      <c r="H9" s="179"/>
      <c r="I9" s="179"/>
      <c r="J9" s="179"/>
      <c r="K9" s="179"/>
      <c r="L9" s="182"/>
      <c r="M9" s="181"/>
      <c r="N9" s="179"/>
      <c r="O9" s="179"/>
      <c r="P9" s="179"/>
      <c r="Q9" s="179"/>
      <c r="R9" s="179"/>
      <c r="S9" s="182"/>
      <c r="T9" s="198"/>
      <c r="U9" s="198"/>
      <c r="V9" s="183">
        <f>SUM(C9:S9)</f>
        <v>0</v>
      </c>
    </row>
    <row r="10" spans="1:22">
      <c r="A10" s="97">
        <v>4</v>
      </c>
      <c r="B10" s="96" t="s">
        <v>138</v>
      </c>
      <c r="C10" s="181"/>
      <c r="D10" s="179"/>
      <c r="E10" s="179"/>
      <c r="F10" s="179"/>
      <c r="G10" s="179"/>
      <c r="H10" s="179"/>
      <c r="I10" s="179"/>
      <c r="J10" s="179"/>
      <c r="K10" s="179"/>
      <c r="L10" s="182"/>
      <c r="M10" s="181"/>
      <c r="N10" s="179"/>
      <c r="O10" s="179"/>
      <c r="P10" s="179"/>
      <c r="Q10" s="179"/>
      <c r="R10" s="179"/>
      <c r="S10" s="182"/>
      <c r="T10" s="198"/>
      <c r="U10" s="198"/>
      <c r="V10" s="183">
        <f t="shared" si="0"/>
        <v>0</v>
      </c>
    </row>
    <row r="11" spans="1:22">
      <c r="A11" s="97">
        <v>5</v>
      </c>
      <c r="B11" s="96" t="s">
        <v>995</v>
      </c>
      <c r="C11" s="181"/>
      <c r="D11" s="179"/>
      <c r="E11" s="179"/>
      <c r="F11" s="179"/>
      <c r="G11" s="179"/>
      <c r="H11" s="179"/>
      <c r="I11" s="179"/>
      <c r="J11" s="179"/>
      <c r="K11" s="179"/>
      <c r="L11" s="182"/>
      <c r="M11" s="181"/>
      <c r="N11" s="179"/>
      <c r="O11" s="179"/>
      <c r="P11" s="179"/>
      <c r="Q11" s="179"/>
      <c r="R11" s="179"/>
      <c r="S11" s="182"/>
      <c r="T11" s="198"/>
      <c r="U11" s="198"/>
      <c r="V11" s="183">
        <f t="shared" si="0"/>
        <v>0</v>
      </c>
    </row>
    <row r="12" spans="1:22">
      <c r="A12" s="97">
        <v>6</v>
      </c>
      <c r="B12" s="96" t="s">
        <v>139</v>
      </c>
      <c r="C12" s="181"/>
      <c r="D12" s="179"/>
      <c r="E12" s="179"/>
      <c r="F12" s="179"/>
      <c r="G12" s="179"/>
      <c r="H12" s="179"/>
      <c r="I12" s="179"/>
      <c r="J12" s="179"/>
      <c r="K12" s="179"/>
      <c r="L12" s="182"/>
      <c r="M12" s="181"/>
      <c r="N12" s="179"/>
      <c r="O12" s="179"/>
      <c r="P12" s="179"/>
      <c r="Q12" s="179"/>
      <c r="R12" s="179"/>
      <c r="S12" s="182"/>
      <c r="T12" s="198"/>
      <c r="U12" s="198"/>
      <c r="V12" s="183">
        <f t="shared" si="0"/>
        <v>0</v>
      </c>
    </row>
    <row r="13" spans="1:22">
      <c r="A13" s="97">
        <v>7</v>
      </c>
      <c r="B13" s="96" t="s">
        <v>72</v>
      </c>
      <c r="C13" s="181"/>
      <c r="D13" s="179"/>
      <c r="E13" s="179"/>
      <c r="F13" s="179"/>
      <c r="G13" s="179"/>
      <c r="H13" s="179"/>
      <c r="I13" s="179"/>
      <c r="J13" s="179"/>
      <c r="K13" s="179"/>
      <c r="L13" s="182"/>
      <c r="M13" s="181"/>
      <c r="N13" s="179"/>
      <c r="O13" s="179"/>
      <c r="P13" s="179"/>
      <c r="Q13" s="179"/>
      <c r="R13" s="179"/>
      <c r="S13" s="182"/>
      <c r="T13" s="198"/>
      <c r="U13" s="198"/>
      <c r="V13" s="183">
        <f t="shared" si="0"/>
        <v>0</v>
      </c>
    </row>
    <row r="14" spans="1:22">
      <c r="A14" s="97">
        <v>8</v>
      </c>
      <c r="B14" s="96" t="s">
        <v>73</v>
      </c>
      <c r="C14" s="181"/>
      <c r="D14" s="179"/>
      <c r="E14" s="179"/>
      <c r="F14" s="179"/>
      <c r="G14" s="179"/>
      <c r="H14" s="179"/>
      <c r="I14" s="179"/>
      <c r="J14" s="179"/>
      <c r="K14" s="179"/>
      <c r="L14" s="182"/>
      <c r="M14" s="181"/>
      <c r="N14" s="179"/>
      <c r="O14" s="179"/>
      <c r="P14" s="179"/>
      <c r="Q14" s="179"/>
      <c r="R14" s="179"/>
      <c r="S14" s="182"/>
      <c r="T14" s="198"/>
      <c r="U14" s="198"/>
      <c r="V14" s="183">
        <f t="shared" si="0"/>
        <v>0</v>
      </c>
    </row>
    <row r="15" spans="1:22">
      <c r="A15" s="97">
        <v>9</v>
      </c>
      <c r="B15" s="96" t="s">
        <v>996</v>
      </c>
      <c r="C15" s="181"/>
      <c r="D15" s="179"/>
      <c r="E15" s="179"/>
      <c r="F15" s="179"/>
      <c r="G15" s="179"/>
      <c r="H15" s="179"/>
      <c r="I15" s="179"/>
      <c r="J15" s="179"/>
      <c r="K15" s="179"/>
      <c r="L15" s="182"/>
      <c r="M15" s="181"/>
      <c r="N15" s="179"/>
      <c r="O15" s="179"/>
      <c r="P15" s="179"/>
      <c r="Q15" s="179"/>
      <c r="R15" s="179"/>
      <c r="S15" s="182"/>
      <c r="T15" s="198"/>
      <c r="U15" s="198"/>
      <c r="V15" s="183">
        <f t="shared" si="0"/>
        <v>0</v>
      </c>
    </row>
    <row r="16" spans="1:22">
      <c r="A16" s="97">
        <v>10</v>
      </c>
      <c r="B16" s="96" t="s">
        <v>68</v>
      </c>
      <c r="C16" s="181"/>
      <c r="D16" s="179"/>
      <c r="E16" s="179"/>
      <c r="F16" s="179"/>
      <c r="G16" s="179"/>
      <c r="H16" s="179"/>
      <c r="I16" s="179"/>
      <c r="J16" s="179"/>
      <c r="K16" s="179"/>
      <c r="L16" s="182"/>
      <c r="M16" s="181"/>
      <c r="N16" s="179"/>
      <c r="O16" s="179"/>
      <c r="P16" s="179"/>
      <c r="Q16" s="179"/>
      <c r="R16" s="179"/>
      <c r="S16" s="182"/>
      <c r="T16" s="198"/>
      <c r="U16" s="198"/>
      <c r="V16" s="183">
        <f t="shared" si="0"/>
        <v>0</v>
      </c>
    </row>
    <row r="17" spans="1:22">
      <c r="A17" s="97">
        <v>11</v>
      </c>
      <c r="B17" s="96" t="s">
        <v>69</v>
      </c>
      <c r="C17" s="181"/>
      <c r="D17" s="179"/>
      <c r="E17" s="179"/>
      <c r="F17" s="179"/>
      <c r="G17" s="179"/>
      <c r="H17" s="179"/>
      <c r="I17" s="179"/>
      <c r="J17" s="179"/>
      <c r="K17" s="179"/>
      <c r="L17" s="182"/>
      <c r="M17" s="181"/>
      <c r="N17" s="179"/>
      <c r="O17" s="179"/>
      <c r="P17" s="179"/>
      <c r="Q17" s="179"/>
      <c r="R17" s="179"/>
      <c r="S17" s="182"/>
      <c r="T17" s="198"/>
      <c r="U17" s="198"/>
      <c r="V17" s="183">
        <f t="shared" si="0"/>
        <v>0</v>
      </c>
    </row>
    <row r="18" spans="1:22">
      <c r="A18" s="97">
        <v>12</v>
      </c>
      <c r="B18" s="96" t="s">
        <v>70</v>
      </c>
      <c r="C18" s="181"/>
      <c r="D18" s="179"/>
      <c r="E18" s="179"/>
      <c r="F18" s="179"/>
      <c r="G18" s="179"/>
      <c r="H18" s="179"/>
      <c r="I18" s="179"/>
      <c r="J18" s="179"/>
      <c r="K18" s="179"/>
      <c r="L18" s="182"/>
      <c r="M18" s="181"/>
      <c r="N18" s="179"/>
      <c r="O18" s="179"/>
      <c r="P18" s="179"/>
      <c r="Q18" s="179"/>
      <c r="R18" s="179"/>
      <c r="S18" s="182"/>
      <c r="T18" s="198"/>
      <c r="U18" s="198"/>
      <c r="V18" s="183">
        <f t="shared" si="0"/>
        <v>0</v>
      </c>
    </row>
    <row r="19" spans="1:22">
      <c r="A19" s="97">
        <v>13</v>
      </c>
      <c r="B19" s="96" t="s">
        <v>71</v>
      </c>
      <c r="C19" s="181"/>
      <c r="D19" s="179"/>
      <c r="E19" s="179"/>
      <c r="F19" s="179"/>
      <c r="G19" s="179"/>
      <c r="H19" s="179"/>
      <c r="I19" s="179"/>
      <c r="J19" s="179"/>
      <c r="K19" s="179"/>
      <c r="L19" s="182"/>
      <c r="M19" s="181"/>
      <c r="N19" s="179"/>
      <c r="O19" s="179"/>
      <c r="P19" s="179"/>
      <c r="Q19" s="179"/>
      <c r="R19" s="179"/>
      <c r="S19" s="182"/>
      <c r="T19" s="198"/>
      <c r="U19" s="198"/>
      <c r="V19" s="183">
        <f t="shared" si="0"/>
        <v>0</v>
      </c>
    </row>
    <row r="20" spans="1:22">
      <c r="A20" s="97">
        <v>14</v>
      </c>
      <c r="B20" s="96" t="s">
        <v>155</v>
      </c>
      <c r="C20" s="181"/>
      <c r="D20" s="179"/>
      <c r="E20" s="179"/>
      <c r="F20" s="179"/>
      <c r="G20" s="179"/>
      <c r="H20" s="179"/>
      <c r="I20" s="179"/>
      <c r="J20" s="179"/>
      <c r="K20" s="179"/>
      <c r="L20" s="182"/>
      <c r="M20" s="181"/>
      <c r="N20" s="179"/>
      <c r="O20" s="179"/>
      <c r="P20" s="179"/>
      <c r="Q20" s="179"/>
      <c r="R20" s="179"/>
      <c r="S20" s="182"/>
      <c r="T20" s="198"/>
      <c r="U20" s="198"/>
      <c r="V20" s="183">
        <f t="shared" si="0"/>
        <v>0</v>
      </c>
    </row>
    <row r="21" spans="1:22" ht="14.4" thickBot="1">
      <c r="A21" s="56"/>
      <c r="B21" s="57" t="s">
        <v>67</v>
      </c>
      <c r="C21" s="184">
        <f>SUM(C7:C20)</f>
        <v>0</v>
      </c>
      <c r="D21" s="180">
        <f t="shared" ref="D21:V21" si="1">SUM(D7:D20)</f>
        <v>0</v>
      </c>
      <c r="E21" s="180">
        <f t="shared" si="1"/>
        <v>0</v>
      </c>
      <c r="F21" s="180">
        <f t="shared" si="1"/>
        <v>0</v>
      </c>
      <c r="G21" s="180">
        <f t="shared" si="1"/>
        <v>0</v>
      </c>
      <c r="H21" s="180">
        <f t="shared" si="1"/>
        <v>0</v>
      </c>
      <c r="I21" s="180">
        <f t="shared" si="1"/>
        <v>0</v>
      </c>
      <c r="J21" s="180">
        <f t="shared" si="1"/>
        <v>0</v>
      </c>
      <c r="K21" s="180">
        <f t="shared" si="1"/>
        <v>0</v>
      </c>
      <c r="L21" s="185">
        <f t="shared" si="1"/>
        <v>0</v>
      </c>
      <c r="M21" s="184">
        <f t="shared" si="1"/>
        <v>0</v>
      </c>
      <c r="N21" s="180">
        <f t="shared" si="1"/>
        <v>0</v>
      </c>
      <c r="O21" s="180">
        <f t="shared" si="1"/>
        <v>0</v>
      </c>
      <c r="P21" s="180">
        <f t="shared" si="1"/>
        <v>0</v>
      </c>
      <c r="Q21" s="180">
        <f t="shared" si="1"/>
        <v>0</v>
      </c>
      <c r="R21" s="180">
        <f t="shared" si="1"/>
        <v>0</v>
      </c>
      <c r="S21" s="185">
        <f t="shared" si="1"/>
        <v>0</v>
      </c>
      <c r="T21" s="185">
        <f>SUM(T7:T20)</f>
        <v>0</v>
      </c>
      <c r="U21" s="185">
        <f t="shared" si="1"/>
        <v>0</v>
      </c>
      <c r="V21" s="186">
        <f t="shared" si="1"/>
        <v>0</v>
      </c>
    </row>
    <row r="24" spans="1:22">
      <c r="C24" s="34"/>
      <c r="D24" s="34"/>
      <c r="E24" s="34"/>
    </row>
    <row r="25" spans="1:22">
      <c r="A25" s="30"/>
      <c r="B25" s="30"/>
      <c r="D25" s="34"/>
      <c r="E25" s="34"/>
    </row>
    <row r="26" spans="1:22">
      <c r="A26" s="30"/>
      <c r="B26" s="50"/>
      <c r="D26" s="34"/>
      <c r="E26" s="34"/>
    </row>
    <row r="27" spans="1:22">
      <c r="A27" s="30"/>
      <c r="B27" s="30"/>
      <c r="D27" s="34"/>
      <c r="E27" s="34"/>
    </row>
    <row r="28" spans="1:22">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B16" sqref="B16"/>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109</v>
      </c>
      <c r="B1" s="1" t="str">
        <f>Info!C2</f>
        <v>სს "კრედობანკი"</v>
      </c>
    </row>
    <row r="2" spans="1:9">
      <c r="A2" s="1" t="s">
        <v>110</v>
      </c>
      <c r="B2" s="346">
        <f>'1. key ratios'!B2</f>
        <v>45016</v>
      </c>
    </row>
    <row r="4" spans="1:9" ht="14.4" thickBot="1">
      <c r="A4" s="1" t="s">
        <v>262</v>
      </c>
      <c r="B4" s="23" t="s">
        <v>297</v>
      </c>
    </row>
    <row r="5" spans="1:9">
      <c r="A5" s="54"/>
      <c r="B5" s="94"/>
      <c r="C5" s="99" t="s">
        <v>0</v>
      </c>
      <c r="D5" s="99" t="s">
        <v>1</v>
      </c>
      <c r="E5" s="99" t="s">
        <v>2</v>
      </c>
      <c r="F5" s="99" t="s">
        <v>3</v>
      </c>
      <c r="G5" s="197" t="s">
        <v>4</v>
      </c>
      <c r="H5" s="100" t="s">
        <v>6</v>
      </c>
      <c r="I5" s="18"/>
    </row>
    <row r="6" spans="1:9" ht="15" customHeight="1">
      <c r="A6" s="93"/>
      <c r="B6" s="16"/>
      <c r="C6" s="834" t="s">
        <v>289</v>
      </c>
      <c r="D6" s="845" t="s">
        <v>310</v>
      </c>
      <c r="E6" s="846"/>
      <c r="F6" s="834" t="s">
        <v>316</v>
      </c>
      <c r="G6" s="834" t="s">
        <v>317</v>
      </c>
      <c r="H6" s="843" t="s">
        <v>291</v>
      </c>
      <c r="I6" s="18"/>
    </row>
    <row r="7" spans="1:9" ht="69">
      <c r="A7" s="93"/>
      <c r="B7" s="16"/>
      <c r="C7" s="835"/>
      <c r="D7" s="200" t="s">
        <v>292</v>
      </c>
      <c r="E7" s="200" t="s">
        <v>290</v>
      </c>
      <c r="F7" s="835"/>
      <c r="G7" s="835"/>
      <c r="H7" s="844"/>
      <c r="I7" s="18"/>
    </row>
    <row r="8" spans="1:9">
      <c r="A8" s="46">
        <v>1</v>
      </c>
      <c r="B8" s="36" t="s">
        <v>135</v>
      </c>
      <c r="C8" s="179">
        <v>122158476.28999999</v>
      </c>
      <c r="D8" s="179"/>
      <c r="E8" s="179"/>
      <c r="F8" s="179">
        <v>34598045.75</v>
      </c>
      <c r="G8" s="196">
        <v>34598045.75</v>
      </c>
      <c r="H8" s="203">
        <f t="shared" ref="H8:H21" si="0">IFERROR(G8/(C8+E8),"")</f>
        <v>0.28322263669911402</v>
      </c>
    </row>
    <row r="9" spans="1:9" ht="15" customHeight="1">
      <c r="A9" s="46">
        <v>2</v>
      </c>
      <c r="B9" s="36" t="s">
        <v>136</v>
      </c>
      <c r="C9" s="179"/>
      <c r="D9" s="179"/>
      <c r="E9" s="179"/>
      <c r="F9" s="179"/>
      <c r="G9" s="196"/>
      <c r="H9" s="203" t="str">
        <f t="shared" si="0"/>
        <v/>
      </c>
    </row>
    <row r="10" spans="1:9">
      <c r="A10" s="46">
        <v>3</v>
      </c>
      <c r="B10" s="36" t="s">
        <v>137</v>
      </c>
      <c r="C10" s="179">
        <v>26133134.25</v>
      </c>
      <c r="D10" s="179"/>
      <c r="E10" s="179"/>
      <c r="F10" s="179">
        <v>0</v>
      </c>
      <c r="G10" s="196">
        <v>0</v>
      </c>
      <c r="H10" s="203">
        <f t="shared" si="0"/>
        <v>0</v>
      </c>
    </row>
    <row r="11" spans="1:9">
      <c r="A11" s="46">
        <v>4</v>
      </c>
      <c r="B11" s="36" t="s">
        <v>138</v>
      </c>
      <c r="C11" s="179"/>
      <c r="D11" s="179"/>
      <c r="E11" s="179"/>
      <c r="F11" s="179"/>
      <c r="G11" s="196"/>
      <c r="H11" s="203" t="str">
        <f t="shared" si="0"/>
        <v/>
      </c>
    </row>
    <row r="12" spans="1:9">
      <c r="A12" s="46">
        <v>5</v>
      </c>
      <c r="B12" s="36" t="s">
        <v>995</v>
      </c>
      <c r="C12" s="179"/>
      <c r="D12" s="179"/>
      <c r="E12" s="179"/>
      <c r="F12" s="179"/>
      <c r="G12" s="196"/>
      <c r="H12" s="203" t="str">
        <f t="shared" si="0"/>
        <v/>
      </c>
    </row>
    <row r="13" spans="1:9">
      <c r="A13" s="46">
        <v>6</v>
      </c>
      <c r="B13" s="36" t="s">
        <v>139</v>
      </c>
      <c r="C13" s="179">
        <v>105889352.80000001</v>
      </c>
      <c r="D13" s="179"/>
      <c r="E13" s="179"/>
      <c r="F13" s="179">
        <v>39597875.085000008</v>
      </c>
      <c r="G13" s="196">
        <v>39597875.085000008</v>
      </c>
      <c r="H13" s="203">
        <f t="shared" si="0"/>
        <v>0.37395520926255016</v>
      </c>
    </row>
    <row r="14" spans="1:9">
      <c r="A14" s="46">
        <v>7</v>
      </c>
      <c r="B14" s="36" t="s">
        <v>72</v>
      </c>
      <c r="C14" s="179">
        <v>20064684.337181158</v>
      </c>
      <c r="D14" s="179">
        <f>834859*2</f>
        <v>1669718</v>
      </c>
      <c r="E14" s="179">
        <v>834859</v>
      </c>
      <c r="F14" s="179">
        <v>20899543.337181158</v>
      </c>
      <c r="G14" s="196">
        <v>20899543.337181158</v>
      </c>
      <c r="H14" s="203">
        <f t="shared" si="0"/>
        <v>1</v>
      </c>
    </row>
    <row r="15" spans="1:9">
      <c r="A15" s="46">
        <v>8</v>
      </c>
      <c r="B15" s="36" t="s">
        <v>73</v>
      </c>
      <c r="C15" s="179">
        <v>1648207498.44908</v>
      </c>
      <c r="D15" s="179">
        <f>18733688.185*2+3788856</f>
        <v>41256232.369999997</v>
      </c>
      <c r="E15" s="179">
        <v>18733688</v>
      </c>
      <c r="F15" s="179">
        <v>1250205889.9755599</v>
      </c>
      <c r="G15" s="196">
        <v>1250205889.9755599</v>
      </c>
      <c r="H15" s="203">
        <f t="shared" si="0"/>
        <v>0.75000000008323631</v>
      </c>
    </row>
    <row r="16" spans="1:9">
      <c r="A16" s="46">
        <v>9</v>
      </c>
      <c r="B16" s="36" t="s">
        <v>996</v>
      </c>
      <c r="C16" s="179">
        <v>90962892.337120384</v>
      </c>
      <c r="D16" s="179"/>
      <c r="E16" s="179"/>
      <c r="F16" s="179">
        <v>31837012.317992132</v>
      </c>
      <c r="G16" s="196">
        <v>31837012.317992132</v>
      </c>
      <c r="H16" s="203">
        <f t="shared" si="0"/>
        <v>0.35</v>
      </c>
    </row>
    <row r="17" spans="1:8">
      <c r="A17" s="46">
        <v>10</v>
      </c>
      <c r="B17" s="36" t="s">
        <v>68</v>
      </c>
      <c r="C17" s="179">
        <v>4974835.9773666812</v>
      </c>
      <c r="D17" s="179"/>
      <c r="E17" s="179"/>
      <c r="F17" s="179">
        <v>6307279.5662905294</v>
      </c>
      <c r="G17" s="196">
        <v>6307279.5662905294</v>
      </c>
      <c r="H17" s="203">
        <f t="shared" si="0"/>
        <v>1.2678366874779152</v>
      </c>
    </row>
    <row r="18" spans="1:8">
      <c r="A18" s="46">
        <v>11</v>
      </c>
      <c r="B18" s="36" t="s">
        <v>69</v>
      </c>
      <c r="C18" s="179"/>
      <c r="D18" s="179"/>
      <c r="E18" s="179"/>
      <c r="F18" s="179"/>
      <c r="G18" s="196"/>
      <c r="H18" s="203" t="str">
        <f t="shared" si="0"/>
        <v/>
      </c>
    </row>
    <row r="19" spans="1:8">
      <c r="A19" s="46">
        <v>12</v>
      </c>
      <c r="B19" s="36" t="s">
        <v>70</v>
      </c>
      <c r="C19" s="179"/>
      <c r="D19" s="179"/>
      <c r="E19" s="179"/>
      <c r="F19" s="179"/>
      <c r="G19" s="196"/>
      <c r="H19" s="203" t="str">
        <f t="shared" si="0"/>
        <v/>
      </c>
    </row>
    <row r="20" spans="1:8">
      <c r="A20" s="46">
        <v>13</v>
      </c>
      <c r="B20" s="36" t="s">
        <v>71</v>
      </c>
      <c r="C20" s="179"/>
      <c r="D20" s="179"/>
      <c r="E20" s="179"/>
      <c r="F20" s="179"/>
      <c r="G20" s="196"/>
      <c r="H20" s="203" t="str">
        <f t="shared" si="0"/>
        <v/>
      </c>
    </row>
    <row r="21" spans="1:8">
      <c r="A21" s="46">
        <v>14</v>
      </c>
      <c r="B21" s="36" t="s">
        <v>155</v>
      </c>
      <c r="C21" s="179">
        <v>148046147.91</v>
      </c>
      <c r="D21" s="179"/>
      <c r="E21" s="179"/>
      <c r="F21" s="179">
        <v>70165253.24000001</v>
      </c>
      <c r="G21" s="196">
        <v>70165253.24000001</v>
      </c>
      <c r="H21" s="203">
        <f t="shared" si="0"/>
        <v>0.47394176903984542</v>
      </c>
    </row>
    <row r="22" spans="1:8" ht="14.4" thickBot="1">
      <c r="A22" s="95"/>
      <c r="B22" s="101" t="s">
        <v>67</v>
      </c>
      <c r="C22" s="180">
        <f>SUM(C8:C21)</f>
        <v>2166437022.3507481</v>
      </c>
      <c r="D22" s="180">
        <f>SUM(D8:D21)</f>
        <v>42925950.369999997</v>
      </c>
      <c r="E22" s="180">
        <f>SUM(E8:E21)</f>
        <v>19568547</v>
      </c>
      <c r="F22" s="180">
        <f>SUM(F8:F21)</f>
        <v>1453610899.2720239</v>
      </c>
      <c r="G22" s="180">
        <f>SUM(G8:G21)</f>
        <v>1453610899.2720239</v>
      </c>
      <c r="H22" s="204">
        <f>G22/(C22+E22)</f>
        <v>0.66496212070665117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13" activePane="bottomRight" state="frozen"/>
      <selection pane="topRight" activeCell="C1" sqref="C1"/>
      <selection pane="bottomLeft" activeCell="A6" sqref="A6"/>
      <selection pane="bottomRight" activeCell="F23" sqref="F23:K25"/>
    </sheetView>
  </sheetViews>
  <sheetFormatPr defaultColWidth="9.21875" defaultRowHeight="13.8"/>
  <cols>
    <col min="1" max="1" width="10.5546875" style="1" bestFit="1" customWidth="1"/>
    <col min="2" max="2" width="91" style="1" customWidth="1"/>
    <col min="3" max="11" width="12.77734375" style="1" customWidth="1"/>
    <col min="12" max="16384" width="9.21875" style="1"/>
  </cols>
  <sheetData>
    <row r="1" spans="1:11">
      <c r="A1" s="1" t="s">
        <v>109</v>
      </c>
      <c r="B1" s="1" t="str">
        <f>Info!C2</f>
        <v>სს "კრედობანკი"</v>
      </c>
    </row>
    <row r="2" spans="1:11">
      <c r="A2" s="1" t="s">
        <v>110</v>
      </c>
      <c r="B2" s="346">
        <f>'1. key ratios'!B2</f>
        <v>45016</v>
      </c>
    </row>
    <row r="4" spans="1:11" ht="14.4" thickBot="1">
      <c r="A4" s="1" t="s">
        <v>353</v>
      </c>
      <c r="B4" s="23" t="s">
        <v>352</v>
      </c>
    </row>
    <row r="5" spans="1:11" ht="30" customHeight="1">
      <c r="A5" s="850"/>
      <c r="B5" s="851"/>
      <c r="C5" s="848" t="s">
        <v>385</v>
      </c>
      <c r="D5" s="848"/>
      <c r="E5" s="848"/>
      <c r="F5" s="848" t="s">
        <v>386</v>
      </c>
      <c r="G5" s="848"/>
      <c r="H5" s="848"/>
      <c r="I5" s="848" t="s">
        <v>387</v>
      </c>
      <c r="J5" s="848"/>
      <c r="K5" s="849"/>
    </row>
    <row r="6" spans="1:11">
      <c r="A6" s="229"/>
      <c r="B6" s="230"/>
      <c r="C6" s="231" t="s">
        <v>27</v>
      </c>
      <c r="D6" s="231" t="s">
        <v>91</v>
      </c>
      <c r="E6" s="231" t="s">
        <v>67</v>
      </c>
      <c r="F6" s="231" t="s">
        <v>27</v>
      </c>
      <c r="G6" s="231" t="s">
        <v>91</v>
      </c>
      <c r="H6" s="231" t="s">
        <v>67</v>
      </c>
      <c r="I6" s="231" t="s">
        <v>27</v>
      </c>
      <c r="J6" s="231" t="s">
        <v>91</v>
      </c>
      <c r="K6" s="233" t="s">
        <v>67</v>
      </c>
    </row>
    <row r="7" spans="1:11">
      <c r="A7" s="234" t="s">
        <v>323</v>
      </c>
      <c r="B7" s="228"/>
      <c r="C7" s="228"/>
      <c r="D7" s="228"/>
      <c r="E7" s="228"/>
      <c r="F7" s="228"/>
      <c r="G7" s="228"/>
      <c r="H7" s="228"/>
      <c r="I7" s="228"/>
      <c r="J7" s="228"/>
      <c r="K7" s="235"/>
    </row>
    <row r="8" spans="1:11">
      <c r="A8" s="227">
        <v>1</v>
      </c>
      <c r="B8" s="211" t="s">
        <v>323</v>
      </c>
      <c r="C8" s="209"/>
      <c r="D8" s="209"/>
      <c r="E8" s="209"/>
      <c r="F8" s="665">
        <v>119218244.08418585</v>
      </c>
      <c r="G8" s="665">
        <v>167179356.97866744</v>
      </c>
      <c r="H8" s="666">
        <f>F8+G8</f>
        <v>286397601.06285328</v>
      </c>
      <c r="I8" s="665">
        <v>108043791.67806835</v>
      </c>
      <c r="J8" s="665">
        <v>61646427.520695113</v>
      </c>
      <c r="K8" s="667">
        <f>I8+J8</f>
        <v>169690219.19876346</v>
      </c>
    </row>
    <row r="9" spans="1:11">
      <c r="A9" s="234" t="s">
        <v>324</v>
      </c>
      <c r="B9" s="228"/>
      <c r="C9" s="228"/>
      <c r="D9" s="228"/>
      <c r="E9" s="228"/>
      <c r="F9" s="228"/>
      <c r="G9" s="228"/>
      <c r="H9" s="228"/>
      <c r="I9" s="228"/>
      <c r="J9" s="228"/>
      <c r="K9" s="235"/>
    </row>
    <row r="10" spans="1:11">
      <c r="A10" s="236">
        <v>2</v>
      </c>
      <c r="B10" s="212" t="s">
        <v>325</v>
      </c>
      <c r="C10" s="365">
        <v>175999640.70568895</v>
      </c>
      <c r="D10" s="668">
        <v>187701968.2294707</v>
      </c>
      <c r="E10" s="669">
        <f>C10+D10</f>
        <v>363701608.93515968</v>
      </c>
      <c r="F10" s="668">
        <v>43221406.21030844</v>
      </c>
      <c r="G10" s="668">
        <v>47894725.399092197</v>
      </c>
      <c r="H10" s="669">
        <f>F10+G10</f>
        <v>91116131.60940063</v>
      </c>
      <c r="I10" s="668">
        <v>8799982.0352844466</v>
      </c>
      <c r="J10" s="668">
        <v>9385098.411473535</v>
      </c>
      <c r="K10" s="670">
        <f>I10+J10</f>
        <v>18185080.44675798</v>
      </c>
    </row>
    <row r="11" spans="1:11">
      <c r="A11" s="236">
        <v>3</v>
      </c>
      <c r="B11" s="212" t="s">
        <v>326</v>
      </c>
      <c r="C11" s="365">
        <v>124833269.92619677</v>
      </c>
      <c r="D11" s="668">
        <v>19039023.113384355</v>
      </c>
      <c r="E11" s="669">
        <f t="shared" ref="E11:E15" si="0">C11+D11</f>
        <v>143872293.03958112</v>
      </c>
      <c r="F11" s="668">
        <v>71382056.066369936</v>
      </c>
      <c r="G11" s="668">
        <v>12639983.60423515</v>
      </c>
      <c r="H11" s="669">
        <f t="shared" ref="H11:H15" si="1">F11+G11</f>
        <v>84022039.670605093</v>
      </c>
      <c r="I11" s="668">
        <v>68243747.463257506</v>
      </c>
      <c r="J11" s="668">
        <v>12443667.613414863</v>
      </c>
      <c r="K11" s="670">
        <f t="shared" ref="K11:K15" si="2">I11+J11</f>
        <v>80687415.076672375</v>
      </c>
    </row>
    <row r="12" spans="1:11">
      <c r="A12" s="236">
        <v>4</v>
      </c>
      <c r="B12" s="212" t="s">
        <v>327</v>
      </c>
      <c r="C12" s="365">
        <v>46505568.356374808</v>
      </c>
      <c r="D12" s="668">
        <v>0</v>
      </c>
      <c r="E12" s="669">
        <f t="shared" si="0"/>
        <v>46505568.356374808</v>
      </c>
      <c r="F12" s="668">
        <v>0</v>
      </c>
      <c r="G12" s="668">
        <v>0</v>
      </c>
      <c r="H12" s="669">
        <f t="shared" si="1"/>
        <v>0</v>
      </c>
      <c r="I12" s="668">
        <v>0</v>
      </c>
      <c r="J12" s="668">
        <v>0</v>
      </c>
      <c r="K12" s="670">
        <f t="shared" si="2"/>
        <v>0</v>
      </c>
    </row>
    <row r="13" spans="1:11">
      <c r="A13" s="236">
        <v>5</v>
      </c>
      <c r="B13" s="212" t="s">
        <v>328</v>
      </c>
      <c r="C13" s="365">
        <v>19383606.496945344</v>
      </c>
      <c r="D13" s="668">
        <v>10462904.445185483</v>
      </c>
      <c r="E13" s="669">
        <f t="shared" si="0"/>
        <v>29846510.942130826</v>
      </c>
      <c r="F13" s="668">
        <v>5815081.949083603</v>
      </c>
      <c r="G13" s="668">
        <v>3138871.3335556448</v>
      </c>
      <c r="H13" s="669">
        <f t="shared" si="1"/>
        <v>8953953.2826392483</v>
      </c>
      <c r="I13" s="668">
        <v>969180.32484726724</v>
      </c>
      <c r="J13" s="668">
        <v>523145.22225927416</v>
      </c>
      <c r="K13" s="670">
        <f t="shared" si="2"/>
        <v>1492325.5471065415</v>
      </c>
    </row>
    <row r="14" spans="1:11">
      <c r="A14" s="236">
        <v>6</v>
      </c>
      <c r="B14" s="212" t="s">
        <v>343</v>
      </c>
      <c r="C14" s="365"/>
      <c r="D14" s="668"/>
      <c r="E14" s="669">
        <f t="shared" si="0"/>
        <v>0</v>
      </c>
      <c r="F14" s="668">
        <v>0</v>
      </c>
      <c r="G14" s="668">
        <v>0</v>
      </c>
      <c r="H14" s="669">
        <f t="shared" si="1"/>
        <v>0</v>
      </c>
      <c r="I14" s="668">
        <v>0</v>
      </c>
      <c r="J14" s="668">
        <v>0</v>
      </c>
      <c r="K14" s="670">
        <f t="shared" si="2"/>
        <v>0</v>
      </c>
    </row>
    <row r="15" spans="1:11">
      <c r="A15" s="236">
        <v>7</v>
      </c>
      <c r="B15" s="212" t="s">
        <v>330</v>
      </c>
      <c r="C15" s="365">
        <v>7405831.6761443913</v>
      </c>
      <c r="D15" s="668">
        <v>6064325.6263824897</v>
      </c>
      <c r="E15" s="669">
        <f t="shared" si="0"/>
        <v>13470157.30252688</v>
      </c>
      <c r="F15" s="668">
        <v>7405831.6761443913</v>
      </c>
      <c r="G15" s="668">
        <v>6064325.6263824897</v>
      </c>
      <c r="H15" s="669">
        <f t="shared" si="1"/>
        <v>13470157.30252688</v>
      </c>
      <c r="I15" s="668">
        <v>7405831.6761443913</v>
      </c>
      <c r="J15" s="668">
        <v>6064325.6263824897</v>
      </c>
      <c r="K15" s="670">
        <f t="shared" si="2"/>
        <v>13470157.30252688</v>
      </c>
    </row>
    <row r="16" spans="1:11">
      <c r="A16" s="236">
        <v>8</v>
      </c>
      <c r="B16" s="214" t="s">
        <v>331</v>
      </c>
      <c r="C16" s="671">
        <f t="shared" ref="C16:K16" si="3">SUM(C10:C15)</f>
        <v>374127917.16135025</v>
      </c>
      <c r="D16" s="671">
        <f t="shared" si="3"/>
        <v>223268221.41442305</v>
      </c>
      <c r="E16" s="671">
        <f t="shared" si="3"/>
        <v>597396138.57577324</v>
      </c>
      <c r="F16" s="671">
        <f t="shared" si="3"/>
        <v>127824375.90190637</v>
      </c>
      <c r="G16" s="671">
        <f t="shared" si="3"/>
        <v>69737905.963265479</v>
      </c>
      <c r="H16" s="671">
        <f t="shared" si="3"/>
        <v>197562281.86517185</v>
      </c>
      <c r="I16" s="671">
        <f t="shared" si="3"/>
        <v>85418741.499533609</v>
      </c>
      <c r="J16" s="671">
        <f t="shared" si="3"/>
        <v>28416236.873530161</v>
      </c>
      <c r="K16" s="671">
        <f t="shared" si="3"/>
        <v>113834978.37306376</v>
      </c>
    </row>
    <row r="17" spans="1:11">
      <c r="A17" s="234" t="s">
        <v>332</v>
      </c>
      <c r="B17" s="228"/>
      <c r="C17" s="228"/>
      <c r="D17" s="228"/>
      <c r="E17" s="228"/>
      <c r="F17" s="228"/>
      <c r="G17" s="228"/>
      <c r="H17" s="228"/>
      <c r="I17" s="228"/>
      <c r="J17" s="228"/>
      <c r="K17" s="235"/>
    </row>
    <row r="18" spans="1:11">
      <c r="A18" s="236">
        <v>9</v>
      </c>
      <c r="B18" s="212" t="s">
        <v>333</v>
      </c>
      <c r="C18" s="212"/>
      <c r="D18" s="213"/>
      <c r="E18" s="213"/>
      <c r="F18" s="213"/>
      <c r="G18" s="213"/>
      <c r="H18" s="213"/>
      <c r="I18" s="213"/>
      <c r="J18" s="213"/>
      <c r="K18" s="237"/>
    </row>
    <row r="19" spans="1:11">
      <c r="A19" s="236">
        <v>10</v>
      </c>
      <c r="B19" s="212" t="s">
        <v>334</v>
      </c>
      <c r="C19" s="365">
        <v>82485512.034033597</v>
      </c>
      <c r="D19" s="668">
        <v>1968009.9518147472</v>
      </c>
      <c r="E19" s="668">
        <f>C19+D19</f>
        <v>84453521.985848337</v>
      </c>
      <c r="F19" s="668">
        <v>41242756.017016798</v>
      </c>
      <c r="G19" s="668">
        <v>984004.97590737359</v>
      </c>
      <c r="H19" s="668">
        <f>F19+G19</f>
        <v>42226760.992924169</v>
      </c>
      <c r="I19" s="668">
        <v>101035996.82559207</v>
      </c>
      <c r="J19" s="668">
        <v>106567987.08069229</v>
      </c>
      <c r="K19" s="668">
        <f>I19+J19</f>
        <v>207603983.90628436</v>
      </c>
    </row>
    <row r="20" spans="1:11">
      <c r="A20" s="236">
        <v>11</v>
      </c>
      <c r="B20" s="212" t="s">
        <v>335</v>
      </c>
      <c r="C20" s="212"/>
      <c r="D20" s="213"/>
      <c r="E20" s="213"/>
      <c r="F20" s="213"/>
      <c r="G20" s="213"/>
      <c r="H20" s="213"/>
      <c r="I20" s="213"/>
      <c r="J20" s="213"/>
      <c r="K20" s="237"/>
    </row>
    <row r="21" spans="1:11" ht="14.4" thickBot="1">
      <c r="A21" s="148">
        <v>12</v>
      </c>
      <c r="B21" s="238" t="s">
        <v>336</v>
      </c>
      <c r="C21" s="672">
        <f>SUM(C18:C20)</f>
        <v>82485512.034033597</v>
      </c>
      <c r="D21" s="672">
        <f t="shared" ref="D21:K21" si="4">SUM(D18:D20)</f>
        <v>1968009.9518147472</v>
      </c>
      <c r="E21" s="672">
        <f t="shared" si="4"/>
        <v>84453521.985848337</v>
      </c>
      <c r="F21" s="672">
        <f t="shared" si="4"/>
        <v>41242756.017016798</v>
      </c>
      <c r="G21" s="672">
        <f t="shared" si="4"/>
        <v>984004.97590737359</v>
      </c>
      <c r="H21" s="672">
        <f t="shared" si="4"/>
        <v>42226760.992924169</v>
      </c>
      <c r="I21" s="672">
        <f t="shared" si="4"/>
        <v>101035996.82559207</v>
      </c>
      <c r="J21" s="672">
        <f t="shared" si="4"/>
        <v>106567987.08069229</v>
      </c>
      <c r="K21" s="672">
        <f t="shared" si="4"/>
        <v>207603983.90628436</v>
      </c>
    </row>
    <row r="22" spans="1:11" ht="38.25" customHeight="1" thickBot="1">
      <c r="A22" s="225"/>
      <c r="B22" s="226"/>
      <c r="C22" s="226"/>
      <c r="D22" s="226"/>
      <c r="E22" s="226"/>
      <c r="F22" s="847" t="s">
        <v>337</v>
      </c>
      <c r="G22" s="848"/>
      <c r="H22" s="848"/>
      <c r="I22" s="847" t="s">
        <v>338</v>
      </c>
      <c r="J22" s="848"/>
      <c r="K22" s="849"/>
    </row>
    <row r="23" spans="1:11" ht="14.4" thickBot="1">
      <c r="A23" s="218">
        <v>13</v>
      </c>
      <c r="B23" s="215" t="s">
        <v>323</v>
      </c>
      <c r="C23" s="224"/>
      <c r="D23" s="224"/>
      <c r="E23" s="224"/>
      <c r="F23" s="673">
        <f>F8</f>
        <v>119218244.08418585</v>
      </c>
      <c r="G23" s="673">
        <f>G8</f>
        <v>167179356.97866744</v>
      </c>
      <c r="H23" s="674">
        <f>F23+G23</f>
        <v>286397601.06285328</v>
      </c>
      <c r="I23" s="673">
        <f>I8</f>
        <v>108043791.67806835</v>
      </c>
      <c r="J23" s="673">
        <f>J8</f>
        <v>61646427.520695113</v>
      </c>
      <c r="K23" s="675">
        <f>I23+J23</f>
        <v>169690219.19876346</v>
      </c>
    </row>
    <row r="24" spans="1:11" ht="14.4" thickBot="1">
      <c r="A24" s="219">
        <v>14</v>
      </c>
      <c r="B24" s="216" t="s">
        <v>339</v>
      </c>
      <c r="C24" s="239"/>
      <c r="D24" s="222"/>
      <c r="E24" s="223"/>
      <c r="F24" s="676">
        <f>MAX(F16-F21,F16*0.25)</f>
        <v>86581619.884889573</v>
      </c>
      <c r="G24" s="676">
        <f>MAX(G16-G21,G16*0.25)</f>
        <v>68753900.987358108</v>
      </c>
      <c r="H24" s="674">
        <f>F24+G24</f>
        <v>155335520.8722477</v>
      </c>
      <c r="I24" s="676">
        <f>MAX(I16-I21,I16*0.25)</f>
        <v>21354685.374883402</v>
      </c>
      <c r="J24" s="676">
        <f>MAX(J16-J21,J16*0.25)</f>
        <v>7104059.2183825402</v>
      </c>
      <c r="K24" s="675">
        <f>I24+J24</f>
        <v>28458744.593265943</v>
      </c>
    </row>
    <row r="25" spans="1:11" ht="14.4" thickBot="1">
      <c r="A25" s="220">
        <v>15</v>
      </c>
      <c r="B25" s="217" t="s">
        <v>340</v>
      </c>
      <c r="C25" s="221"/>
      <c r="D25" s="221"/>
      <c r="E25" s="221"/>
      <c r="F25" s="677">
        <f t="shared" ref="F25:K25" si="5">F23/F24</f>
        <v>1.376946333906512</v>
      </c>
      <c r="G25" s="677">
        <f t="shared" si="5"/>
        <v>2.4315617670829615</v>
      </c>
      <c r="H25" s="677">
        <f t="shared" si="5"/>
        <v>1.8437354151494734</v>
      </c>
      <c r="I25" s="677">
        <f t="shared" si="5"/>
        <v>5.0594888091933914</v>
      </c>
      <c r="J25" s="677">
        <f t="shared" si="5"/>
        <v>8.6776342406012255</v>
      </c>
      <c r="K25" s="678">
        <f t="shared" si="5"/>
        <v>5.9626740962746627</v>
      </c>
    </row>
    <row r="28" spans="1:11" ht="41.4">
      <c r="B28" s="17" t="s">
        <v>384</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E8" sqref="E8"/>
    </sheetView>
  </sheetViews>
  <sheetFormatPr defaultColWidth="9.21875" defaultRowHeight="13.8"/>
  <cols>
    <col min="1" max="1" width="10.5546875" style="32" bestFit="1" customWidth="1"/>
    <col min="2" max="2" width="95" style="32" customWidth="1"/>
    <col min="3" max="3" width="15.33203125" style="32" customWidth="1"/>
    <col min="4" max="4" width="10" style="32" bestFit="1" customWidth="1"/>
    <col min="5" max="5" width="18.21875" style="32" bestFit="1" customWidth="1"/>
    <col min="6" max="13" width="10.77734375" style="32" customWidth="1"/>
    <col min="14" max="14" width="31" style="32" bestFit="1" customWidth="1"/>
    <col min="15" max="16384" width="9.21875" style="8"/>
  </cols>
  <sheetData>
    <row r="1" spans="1:14">
      <c r="A1" s="1" t="s">
        <v>109</v>
      </c>
      <c r="B1" s="32" t="str">
        <f>Info!C2</f>
        <v>სს "კრედობანკი"</v>
      </c>
    </row>
    <row r="2" spans="1:14" ht="14.25" customHeight="1">
      <c r="A2" s="32" t="s">
        <v>110</v>
      </c>
      <c r="B2" s="346">
        <f>'1. key ratios'!B2</f>
        <v>45016</v>
      </c>
    </row>
    <row r="3" spans="1:14" ht="14.25" customHeight="1"/>
    <row r="4" spans="1:14" ht="14.4" thickBot="1">
      <c r="A4" s="1" t="s">
        <v>263</v>
      </c>
      <c r="B4" s="48" t="s">
        <v>75</v>
      </c>
    </row>
    <row r="5" spans="1:14" s="19" customFormat="1">
      <c r="A5" s="110"/>
      <c r="B5" s="111"/>
      <c r="C5" s="112" t="s">
        <v>0</v>
      </c>
      <c r="D5" s="112" t="s">
        <v>1</v>
      </c>
      <c r="E5" s="112" t="s">
        <v>2</v>
      </c>
      <c r="F5" s="112" t="s">
        <v>3</v>
      </c>
      <c r="G5" s="112" t="s">
        <v>4</v>
      </c>
      <c r="H5" s="112" t="s">
        <v>6</v>
      </c>
      <c r="I5" s="112" t="s">
        <v>146</v>
      </c>
      <c r="J5" s="112" t="s">
        <v>147</v>
      </c>
      <c r="K5" s="112" t="s">
        <v>148</v>
      </c>
      <c r="L5" s="112" t="s">
        <v>149</v>
      </c>
      <c r="M5" s="112" t="s">
        <v>150</v>
      </c>
      <c r="N5" s="113" t="s">
        <v>151</v>
      </c>
    </row>
    <row r="6" spans="1:14" ht="41.4">
      <c r="A6" s="102"/>
      <c r="B6" s="58"/>
      <c r="C6" s="59" t="s">
        <v>85</v>
      </c>
      <c r="D6" s="60" t="s">
        <v>74</v>
      </c>
      <c r="E6" s="61" t="s">
        <v>84</v>
      </c>
      <c r="F6" s="62">
        <v>0</v>
      </c>
      <c r="G6" s="62">
        <v>0.2</v>
      </c>
      <c r="H6" s="62">
        <v>0.35</v>
      </c>
      <c r="I6" s="62">
        <v>0.5</v>
      </c>
      <c r="J6" s="62">
        <v>0.75</v>
      </c>
      <c r="K6" s="62">
        <v>1</v>
      </c>
      <c r="L6" s="62">
        <v>1.5</v>
      </c>
      <c r="M6" s="62">
        <v>2.5</v>
      </c>
      <c r="N6" s="103" t="s">
        <v>75</v>
      </c>
    </row>
    <row r="7" spans="1:14">
      <c r="A7" s="104">
        <v>1</v>
      </c>
      <c r="B7" s="63" t="s">
        <v>76</v>
      </c>
      <c r="C7" s="187">
        <f>SUM(C8:C13)</f>
        <v>176713807</v>
      </c>
      <c r="D7" s="58"/>
      <c r="E7" s="190">
        <f t="shared" ref="E7:M7" si="0">SUM(E8:E13)</f>
        <v>3534276.14</v>
      </c>
      <c r="F7" s="187">
        <f>SUM(F8:F13)</f>
        <v>0</v>
      </c>
      <c r="G7" s="187">
        <f t="shared" si="0"/>
        <v>0</v>
      </c>
      <c r="H7" s="187">
        <f t="shared" si="0"/>
        <v>0</v>
      </c>
      <c r="I7" s="187">
        <f t="shared" si="0"/>
        <v>0</v>
      </c>
      <c r="J7" s="187">
        <f t="shared" si="0"/>
        <v>0</v>
      </c>
      <c r="K7" s="187">
        <f t="shared" si="0"/>
        <v>3534276.14</v>
      </c>
      <c r="L7" s="187">
        <f t="shared" si="0"/>
        <v>0</v>
      </c>
      <c r="M7" s="187">
        <f t="shared" si="0"/>
        <v>0</v>
      </c>
      <c r="N7" s="105">
        <f>SUM(N8:N13)</f>
        <v>3534276.14</v>
      </c>
    </row>
    <row r="8" spans="1:14">
      <c r="A8" s="104">
        <v>1.1000000000000001</v>
      </c>
      <c r="B8" s="64" t="s">
        <v>77</v>
      </c>
      <c r="C8" s="188">
        <v>176713807</v>
      </c>
      <c r="D8" s="65">
        <v>0.02</v>
      </c>
      <c r="E8" s="190">
        <f>C8*D8</f>
        <v>3534276.14</v>
      </c>
      <c r="F8" s="188"/>
      <c r="G8" s="188"/>
      <c r="H8" s="188"/>
      <c r="I8" s="188"/>
      <c r="J8" s="188"/>
      <c r="K8" s="188">
        <v>3534276.14</v>
      </c>
      <c r="L8" s="188"/>
      <c r="M8" s="188"/>
      <c r="N8" s="105">
        <f>SUMPRODUCT($F$6:$M$6,F8:M8)</f>
        <v>3534276.14</v>
      </c>
    </row>
    <row r="9" spans="1:14">
      <c r="A9" s="104">
        <v>1.2</v>
      </c>
      <c r="B9" s="64" t="s">
        <v>78</v>
      </c>
      <c r="C9" s="188">
        <v>0</v>
      </c>
      <c r="D9" s="65">
        <v>0.05</v>
      </c>
      <c r="E9" s="190">
        <f>C9*D9</f>
        <v>0</v>
      </c>
      <c r="F9" s="188"/>
      <c r="G9" s="188"/>
      <c r="H9" s="188"/>
      <c r="I9" s="188"/>
      <c r="J9" s="188"/>
      <c r="K9" s="188"/>
      <c r="L9" s="188"/>
      <c r="M9" s="188"/>
      <c r="N9" s="105">
        <f t="shared" ref="N9:N12" si="1">SUMPRODUCT($F$6:$M$6,F9:M9)</f>
        <v>0</v>
      </c>
    </row>
    <row r="10" spans="1:14">
      <c r="A10" s="104">
        <v>1.3</v>
      </c>
      <c r="B10" s="64" t="s">
        <v>79</v>
      </c>
      <c r="C10" s="188">
        <v>0</v>
      </c>
      <c r="D10" s="65">
        <v>0.08</v>
      </c>
      <c r="E10" s="190">
        <f>C10*D10</f>
        <v>0</v>
      </c>
      <c r="F10" s="188"/>
      <c r="G10" s="188"/>
      <c r="H10" s="188"/>
      <c r="I10" s="188"/>
      <c r="J10" s="188"/>
      <c r="K10" s="188"/>
      <c r="L10" s="188"/>
      <c r="M10" s="188"/>
      <c r="N10" s="105">
        <f>SUMPRODUCT($F$6:$M$6,F10:M10)</f>
        <v>0</v>
      </c>
    </row>
    <row r="11" spans="1:14">
      <c r="A11" s="104">
        <v>1.4</v>
      </c>
      <c r="B11" s="64" t="s">
        <v>80</v>
      </c>
      <c r="C11" s="188">
        <v>0</v>
      </c>
      <c r="D11" s="65">
        <v>0.11</v>
      </c>
      <c r="E11" s="190">
        <f>C11*D11</f>
        <v>0</v>
      </c>
      <c r="F11" s="188"/>
      <c r="G11" s="188"/>
      <c r="H11" s="188"/>
      <c r="I11" s="188"/>
      <c r="J11" s="188"/>
      <c r="K11" s="188"/>
      <c r="L11" s="188"/>
      <c r="M11" s="188"/>
      <c r="N11" s="105">
        <f t="shared" si="1"/>
        <v>0</v>
      </c>
    </row>
    <row r="12" spans="1:14">
      <c r="A12" s="104">
        <v>1.5</v>
      </c>
      <c r="B12" s="64" t="s">
        <v>81</v>
      </c>
      <c r="C12" s="188">
        <v>0</v>
      </c>
      <c r="D12" s="65">
        <v>0.14000000000000001</v>
      </c>
      <c r="E12" s="190">
        <f>C12*D12</f>
        <v>0</v>
      </c>
      <c r="F12" s="188"/>
      <c r="G12" s="188"/>
      <c r="H12" s="188"/>
      <c r="I12" s="188"/>
      <c r="J12" s="188"/>
      <c r="K12" s="188"/>
      <c r="L12" s="188"/>
      <c r="M12" s="188"/>
      <c r="N12" s="105">
        <f t="shared" si="1"/>
        <v>0</v>
      </c>
    </row>
    <row r="13" spans="1:14">
      <c r="A13" s="104">
        <v>1.6</v>
      </c>
      <c r="B13" s="66" t="s">
        <v>82</v>
      </c>
      <c r="C13" s="188">
        <v>0</v>
      </c>
      <c r="D13" s="67"/>
      <c r="E13" s="188"/>
      <c r="F13" s="188"/>
      <c r="G13" s="188"/>
      <c r="H13" s="188"/>
      <c r="I13" s="188"/>
      <c r="J13" s="188"/>
      <c r="K13" s="188"/>
      <c r="L13" s="188"/>
      <c r="M13" s="188"/>
      <c r="N13" s="105">
        <f>SUMPRODUCT($F$6:$M$6,F13:M13)</f>
        <v>0</v>
      </c>
    </row>
    <row r="14" spans="1:14">
      <c r="A14" s="104">
        <v>2</v>
      </c>
      <c r="B14" s="68" t="s">
        <v>83</v>
      </c>
      <c r="C14" s="187">
        <f>SUM(C15:C20)</f>
        <v>0</v>
      </c>
      <c r="D14" s="58"/>
      <c r="E14" s="190">
        <f t="shared" ref="E14:M14" si="2">SUM(E15:E20)</f>
        <v>0</v>
      </c>
      <c r="F14" s="188">
        <f t="shared" si="2"/>
        <v>0</v>
      </c>
      <c r="G14" s="188">
        <f t="shared" si="2"/>
        <v>0</v>
      </c>
      <c r="H14" s="188">
        <f t="shared" si="2"/>
        <v>0</v>
      </c>
      <c r="I14" s="188">
        <f t="shared" si="2"/>
        <v>0</v>
      </c>
      <c r="J14" s="188">
        <f t="shared" si="2"/>
        <v>0</v>
      </c>
      <c r="K14" s="188">
        <f t="shared" si="2"/>
        <v>0</v>
      </c>
      <c r="L14" s="188">
        <f t="shared" si="2"/>
        <v>0</v>
      </c>
      <c r="M14" s="188">
        <f t="shared" si="2"/>
        <v>0</v>
      </c>
      <c r="N14" s="105">
        <f>SUM(N15:N20)</f>
        <v>0</v>
      </c>
    </row>
    <row r="15" spans="1:14">
      <c r="A15" s="104">
        <v>2.1</v>
      </c>
      <c r="B15" s="66" t="s">
        <v>77</v>
      </c>
      <c r="C15" s="188"/>
      <c r="D15" s="65">
        <v>5.0000000000000001E-3</v>
      </c>
      <c r="E15" s="190">
        <f>C15*D15</f>
        <v>0</v>
      </c>
      <c r="F15" s="188"/>
      <c r="G15" s="188"/>
      <c r="H15" s="188"/>
      <c r="I15" s="188"/>
      <c r="J15" s="188"/>
      <c r="K15" s="188"/>
      <c r="L15" s="188"/>
      <c r="M15" s="188"/>
      <c r="N15" s="105">
        <f>SUMPRODUCT($F$6:$M$6,F15:M15)</f>
        <v>0</v>
      </c>
    </row>
    <row r="16" spans="1:14">
      <c r="A16" s="104">
        <v>2.2000000000000002</v>
      </c>
      <c r="B16" s="66" t="s">
        <v>78</v>
      </c>
      <c r="C16" s="188"/>
      <c r="D16" s="65">
        <v>0.01</v>
      </c>
      <c r="E16" s="190">
        <f>C16*D16</f>
        <v>0</v>
      </c>
      <c r="F16" s="188"/>
      <c r="G16" s="188"/>
      <c r="H16" s="188"/>
      <c r="I16" s="188"/>
      <c r="J16" s="188"/>
      <c r="K16" s="188"/>
      <c r="L16" s="188"/>
      <c r="M16" s="188"/>
      <c r="N16" s="105">
        <f t="shared" ref="N16:N20" si="3">SUMPRODUCT($F$6:$M$6,F16:M16)</f>
        <v>0</v>
      </c>
    </row>
    <row r="17" spans="1:14">
      <c r="A17" s="104">
        <v>2.2999999999999998</v>
      </c>
      <c r="B17" s="66" t="s">
        <v>79</v>
      </c>
      <c r="C17" s="188"/>
      <c r="D17" s="65">
        <v>0.02</v>
      </c>
      <c r="E17" s="190">
        <f>C17*D17</f>
        <v>0</v>
      </c>
      <c r="F17" s="188"/>
      <c r="G17" s="188"/>
      <c r="H17" s="188"/>
      <c r="I17" s="188"/>
      <c r="J17" s="188"/>
      <c r="K17" s="188"/>
      <c r="L17" s="188"/>
      <c r="M17" s="188"/>
      <c r="N17" s="105">
        <f t="shared" si="3"/>
        <v>0</v>
      </c>
    </row>
    <row r="18" spans="1:14">
      <c r="A18" s="104">
        <v>2.4</v>
      </c>
      <c r="B18" s="66" t="s">
        <v>80</v>
      </c>
      <c r="C18" s="188"/>
      <c r="D18" s="65">
        <v>0.03</v>
      </c>
      <c r="E18" s="190">
        <f>C18*D18</f>
        <v>0</v>
      </c>
      <c r="F18" s="188"/>
      <c r="G18" s="188"/>
      <c r="H18" s="188"/>
      <c r="I18" s="188"/>
      <c r="J18" s="188"/>
      <c r="K18" s="188"/>
      <c r="L18" s="188"/>
      <c r="M18" s="188"/>
      <c r="N18" s="105">
        <f t="shared" si="3"/>
        <v>0</v>
      </c>
    </row>
    <row r="19" spans="1:14">
      <c r="A19" s="104">
        <v>2.5</v>
      </c>
      <c r="B19" s="66" t="s">
        <v>81</v>
      </c>
      <c r="C19" s="188"/>
      <c r="D19" s="65">
        <v>0.04</v>
      </c>
      <c r="E19" s="190">
        <f>C19*D19</f>
        <v>0</v>
      </c>
      <c r="F19" s="188"/>
      <c r="G19" s="188"/>
      <c r="H19" s="188"/>
      <c r="I19" s="188"/>
      <c r="J19" s="188"/>
      <c r="K19" s="188"/>
      <c r="L19" s="188"/>
      <c r="M19" s="188"/>
      <c r="N19" s="105">
        <f t="shared" si="3"/>
        <v>0</v>
      </c>
    </row>
    <row r="20" spans="1:14">
      <c r="A20" s="104">
        <v>2.6</v>
      </c>
      <c r="B20" s="66" t="s">
        <v>82</v>
      </c>
      <c r="C20" s="188"/>
      <c r="D20" s="67"/>
      <c r="E20" s="191"/>
      <c r="F20" s="188"/>
      <c r="G20" s="188"/>
      <c r="H20" s="188"/>
      <c r="I20" s="188"/>
      <c r="J20" s="188"/>
      <c r="K20" s="188"/>
      <c r="L20" s="188"/>
      <c r="M20" s="188"/>
      <c r="N20" s="105">
        <f t="shared" si="3"/>
        <v>0</v>
      </c>
    </row>
    <row r="21" spans="1:14" ht="14.4" thickBot="1">
      <c r="A21" s="106">
        <v>3</v>
      </c>
      <c r="B21" s="107" t="s">
        <v>67</v>
      </c>
      <c r="C21" s="189">
        <f>C14+C7</f>
        <v>176713807</v>
      </c>
      <c r="D21" s="108"/>
      <c r="E21" s="192">
        <f>E14+E7</f>
        <v>3534276.14</v>
      </c>
      <c r="F21" s="193">
        <f>F7+F14</f>
        <v>0</v>
      </c>
      <c r="G21" s="193">
        <f t="shared" ref="G21:L21" si="4">G7+G14</f>
        <v>0</v>
      </c>
      <c r="H21" s="193">
        <f t="shared" si="4"/>
        <v>0</v>
      </c>
      <c r="I21" s="193">
        <f t="shared" si="4"/>
        <v>0</v>
      </c>
      <c r="J21" s="193">
        <f t="shared" si="4"/>
        <v>0</v>
      </c>
      <c r="K21" s="193">
        <f t="shared" si="4"/>
        <v>3534276.14</v>
      </c>
      <c r="L21" s="193">
        <f t="shared" si="4"/>
        <v>0</v>
      </c>
      <c r="M21" s="193">
        <f>M7+M14</f>
        <v>0</v>
      </c>
      <c r="N21" s="109">
        <f>N14+N7</f>
        <v>3534276.14</v>
      </c>
    </row>
    <row r="22" spans="1:14">
      <c r="E22" s="194"/>
      <c r="F22" s="194"/>
      <c r="G22" s="194"/>
      <c r="H22" s="194"/>
      <c r="I22" s="194"/>
      <c r="J22" s="194"/>
      <c r="K22" s="194"/>
      <c r="L22" s="194"/>
      <c r="M22" s="194"/>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1" workbookViewId="0">
      <selection activeCell="C35" sqref="C35:C36"/>
    </sheetView>
  </sheetViews>
  <sheetFormatPr defaultRowHeight="14.4"/>
  <cols>
    <col min="1" max="1" width="11.44140625" customWidth="1"/>
    <col min="2" max="2" width="76.77734375" style="2" customWidth="1"/>
    <col min="3" max="3" width="22.77734375" customWidth="1"/>
  </cols>
  <sheetData>
    <row r="1" spans="1:3">
      <c r="A1" s="1" t="s">
        <v>109</v>
      </c>
      <c r="B1" t="str">
        <f>Info!C2</f>
        <v>სს "კრედობანკი"</v>
      </c>
    </row>
    <row r="2" spans="1:3">
      <c r="A2" s="1" t="s">
        <v>110</v>
      </c>
      <c r="B2" s="346">
        <f>'1. key ratios'!B2</f>
        <v>45016</v>
      </c>
    </row>
    <row r="3" spans="1:3">
      <c r="A3" s="1"/>
      <c r="B3"/>
    </row>
    <row r="4" spans="1:3">
      <c r="A4" s="1" t="s">
        <v>429</v>
      </c>
      <c r="B4" t="s">
        <v>388</v>
      </c>
    </row>
    <row r="5" spans="1:3">
      <c r="A5" s="278"/>
      <c r="B5" s="278" t="s">
        <v>389</v>
      </c>
      <c r="C5" s="290"/>
    </row>
    <row r="6" spans="1:3">
      <c r="A6" s="279">
        <v>1</v>
      </c>
      <c r="B6" s="291" t="s">
        <v>441</v>
      </c>
      <c r="C6" s="292">
        <v>2186691496.5007482</v>
      </c>
    </row>
    <row r="7" spans="1:3">
      <c r="A7" s="279">
        <v>2</v>
      </c>
      <c r="B7" s="291" t="s">
        <v>390</v>
      </c>
      <c r="C7" s="292">
        <v>20254474.150000002</v>
      </c>
    </row>
    <row r="8" spans="1:3">
      <c r="A8" s="280">
        <v>3</v>
      </c>
      <c r="B8" s="293" t="s">
        <v>391</v>
      </c>
      <c r="C8" s="294">
        <f>C6+C7</f>
        <v>2206945970.6507483</v>
      </c>
    </row>
    <row r="9" spans="1:3">
      <c r="A9" s="281"/>
      <c r="B9" s="281" t="s">
        <v>392</v>
      </c>
      <c r="C9" s="295"/>
    </row>
    <row r="10" spans="1:3">
      <c r="A10" s="282">
        <v>4</v>
      </c>
      <c r="B10" s="296" t="s">
        <v>393</v>
      </c>
      <c r="C10" s="292"/>
    </row>
    <row r="11" spans="1:3">
      <c r="A11" s="282">
        <v>5</v>
      </c>
      <c r="B11" s="297" t="s">
        <v>394</v>
      </c>
      <c r="C11" s="292"/>
    </row>
    <row r="12" spans="1:3">
      <c r="A12" s="282" t="s">
        <v>395</v>
      </c>
      <c r="B12" s="291" t="s">
        <v>396</v>
      </c>
      <c r="C12" s="294">
        <f>'15. CCR'!E21</f>
        <v>3534276.14</v>
      </c>
    </row>
    <row r="13" spans="1:3">
      <c r="A13" s="283">
        <v>6</v>
      </c>
      <c r="B13" s="298" t="s">
        <v>397</v>
      </c>
      <c r="C13" s="292"/>
    </row>
    <row r="14" spans="1:3">
      <c r="A14" s="283">
        <v>7</v>
      </c>
      <c r="B14" s="299" t="s">
        <v>398</v>
      </c>
      <c r="C14" s="292"/>
    </row>
    <row r="15" spans="1:3">
      <c r="A15" s="284">
        <v>8</v>
      </c>
      <c r="B15" s="291" t="s">
        <v>399</v>
      </c>
      <c r="C15" s="292"/>
    </row>
    <row r="16" spans="1:3" ht="22.8">
      <c r="A16" s="283">
        <v>9</v>
      </c>
      <c r="B16" s="299" t="s">
        <v>400</v>
      </c>
      <c r="C16" s="292"/>
    </row>
    <row r="17" spans="1:3">
      <c r="A17" s="283">
        <v>10</v>
      </c>
      <c r="B17" s="299" t="s">
        <v>401</v>
      </c>
      <c r="C17" s="292"/>
    </row>
    <row r="18" spans="1:3">
      <c r="A18" s="285">
        <v>11</v>
      </c>
      <c r="B18" s="300" t="s">
        <v>402</v>
      </c>
      <c r="C18" s="294">
        <f>SUM(C10:C17)</f>
        <v>3534276.14</v>
      </c>
    </row>
    <row r="19" spans="1:3">
      <c r="A19" s="281"/>
      <c r="B19" s="281" t="s">
        <v>403</v>
      </c>
      <c r="C19" s="301"/>
    </row>
    <row r="20" spans="1:3">
      <c r="A20" s="283">
        <v>12</v>
      </c>
      <c r="B20" s="296" t="s">
        <v>404</v>
      </c>
      <c r="C20" s="292"/>
    </row>
    <row r="21" spans="1:3">
      <c r="A21" s="283">
        <v>13</v>
      </c>
      <c r="B21" s="296" t="s">
        <v>405</v>
      </c>
      <c r="C21" s="292"/>
    </row>
    <row r="22" spans="1:3">
      <c r="A22" s="283">
        <v>14</v>
      </c>
      <c r="B22" s="296" t="s">
        <v>406</v>
      </c>
      <c r="C22" s="292"/>
    </row>
    <row r="23" spans="1:3" ht="22.8">
      <c r="A23" s="283" t="s">
        <v>407</v>
      </c>
      <c r="B23" s="296" t="s">
        <v>408</v>
      </c>
      <c r="C23" s="292"/>
    </row>
    <row r="24" spans="1:3">
      <c r="A24" s="283">
        <v>15</v>
      </c>
      <c r="B24" s="296" t="s">
        <v>409</v>
      </c>
      <c r="C24" s="292"/>
    </row>
    <row r="25" spans="1:3">
      <c r="A25" s="283" t="s">
        <v>410</v>
      </c>
      <c r="B25" s="291" t="s">
        <v>411</v>
      </c>
      <c r="C25" s="292"/>
    </row>
    <row r="26" spans="1:3">
      <c r="A26" s="285">
        <v>16</v>
      </c>
      <c r="B26" s="300" t="s">
        <v>412</v>
      </c>
      <c r="C26" s="294">
        <f>SUM(C20:C25)</f>
        <v>0</v>
      </c>
    </row>
    <row r="27" spans="1:3">
      <c r="A27" s="281"/>
      <c r="B27" s="281" t="s">
        <v>413</v>
      </c>
      <c r="C27" s="295"/>
    </row>
    <row r="28" spans="1:3">
      <c r="A28" s="282">
        <v>17</v>
      </c>
      <c r="B28" s="291" t="s">
        <v>414</v>
      </c>
      <c r="C28" s="292">
        <v>42925950.250000007</v>
      </c>
    </row>
    <row r="29" spans="1:3">
      <c r="A29" s="282">
        <v>18</v>
      </c>
      <c r="B29" s="291" t="s">
        <v>415</v>
      </c>
      <c r="C29" s="292">
        <v>-23357403.065000005</v>
      </c>
    </row>
    <row r="30" spans="1:3">
      <c r="A30" s="285">
        <v>19</v>
      </c>
      <c r="B30" s="300" t="s">
        <v>416</v>
      </c>
      <c r="C30" s="294">
        <f>C28+C29</f>
        <v>19568547.185000002</v>
      </c>
    </row>
    <row r="31" spans="1:3">
      <c r="A31" s="286"/>
      <c r="B31" s="281" t="s">
        <v>417</v>
      </c>
      <c r="C31" s="295"/>
    </row>
    <row r="32" spans="1:3">
      <c r="A32" s="282" t="s">
        <v>418</v>
      </c>
      <c r="B32" s="296" t="s">
        <v>419</v>
      </c>
      <c r="C32" s="302"/>
    </row>
    <row r="33" spans="1:3">
      <c r="A33" s="282" t="s">
        <v>420</v>
      </c>
      <c r="B33" s="297" t="s">
        <v>421</v>
      </c>
      <c r="C33" s="302"/>
    </row>
    <row r="34" spans="1:3">
      <c r="A34" s="281"/>
      <c r="B34" s="281" t="s">
        <v>422</v>
      </c>
      <c r="C34" s="295"/>
    </row>
    <row r="35" spans="1:3">
      <c r="A35" s="285">
        <v>20</v>
      </c>
      <c r="B35" s="300" t="s">
        <v>87</v>
      </c>
      <c r="C35" s="294">
        <f>'1. key ratios'!C9</f>
        <v>249275771.72</v>
      </c>
    </row>
    <row r="36" spans="1:3">
      <c r="A36" s="285">
        <v>21</v>
      </c>
      <c r="B36" s="300" t="s">
        <v>423</v>
      </c>
      <c r="C36" s="294">
        <f>C8+C18+C26+C30</f>
        <v>2230048793.9757481</v>
      </c>
    </row>
    <row r="37" spans="1:3">
      <c r="A37" s="287"/>
      <c r="B37" s="287" t="s">
        <v>388</v>
      </c>
      <c r="C37" s="295"/>
    </row>
    <row r="38" spans="1:3">
      <c r="A38" s="285">
        <v>22</v>
      </c>
      <c r="B38" s="300" t="s">
        <v>388</v>
      </c>
      <c r="C38" s="760">
        <f>IFERROR(C35/C36,0)</f>
        <v>0.11178041143915476</v>
      </c>
    </row>
    <row r="39" spans="1:3">
      <c r="A39" s="287"/>
      <c r="B39" s="287" t="s">
        <v>424</v>
      </c>
      <c r="C39" s="295"/>
    </row>
    <row r="40" spans="1:3">
      <c r="A40" s="288" t="s">
        <v>425</v>
      </c>
      <c r="B40" s="296" t="s">
        <v>426</v>
      </c>
      <c r="C40" s="302"/>
    </row>
    <row r="41" spans="1:3">
      <c r="A41" s="289" t="s">
        <v>427</v>
      </c>
      <c r="B41" s="297" t="s">
        <v>428</v>
      </c>
      <c r="C41" s="302"/>
    </row>
    <row r="43" spans="1:3">
      <c r="B43" s="311" t="s">
        <v>442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2" activePane="bottomRight" state="frozen"/>
      <selection pane="topRight" activeCell="C1" sqref="C1"/>
      <selection pane="bottomLeft" activeCell="A7" sqref="A7"/>
      <selection pane="bottomRight" activeCell="G23" sqref="G23"/>
    </sheetView>
  </sheetViews>
  <sheetFormatPr defaultRowHeight="14.4"/>
  <cols>
    <col min="1" max="1" width="9.88671875" style="1" bestFit="1" customWidth="1"/>
    <col min="2" max="2" width="82.6640625" style="17" customWidth="1"/>
    <col min="3" max="7" width="17.5546875" style="1" customWidth="1"/>
  </cols>
  <sheetData>
    <row r="1" spans="1:7">
      <c r="A1" s="1" t="s">
        <v>109</v>
      </c>
      <c r="B1" s="1" t="str">
        <f>Info!C2</f>
        <v>სს "კრედობანკი"</v>
      </c>
    </row>
    <row r="2" spans="1:7">
      <c r="A2" s="1" t="s">
        <v>110</v>
      </c>
      <c r="B2" s="346">
        <f>'1. key ratios'!B2</f>
        <v>45016</v>
      </c>
    </row>
    <row r="3" spans="1:7">
      <c r="B3" s="346"/>
    </row>
    <row r="4" spans="1:7" ht="15" thickBot="1">
      <c r="A4" s="1" t="s">
        <v>489</v>
      </c>
      <c r="B4" s="202" t="s">
        <v>454</v>
      </c>
    </row>
    <row r="5" spans="1:7">
      <c r="A5" s="350"/>
      <c r="B5" s="351"/>
      <c r="C5" s="852" t="s">
        <v>455</v>
      </c>
      <c r="D5" s="852"/>
      <c r="E5" s="852"/>
      <c r="F5" s="852"/>
      <c r="G5" s="853" t="s">
        <v>456</v>
      </c>
    </row>
    <row r="6" spans="1:7">
      <c r="A6" s="352"/>
      <c r="B6" s="353"/>
      <c r="C6" s="354" t="s">
        <v>457</v>
      </c>
      <c r="D6" s="354" t="s">
        <v>458</v>
      </c>
      <c r="E6" s="354" t="s">
        <v>459</v>
      </c>
      <c r="F6" s="354" t="s">
        <v>460</v>
      </c>
      <c r="G6" s="854"/>
    </row>
    <row r="7" spans="1:7">
      <c r="A7" s="355"/>
      <c r="B7" s="356" t="s">
        <v>461</v>
      </c>
      <c r="C7" s="357"/>
      <c r="D7" s="357"/>
      <c r="E7" s="357"/>
      <c r="F7" s="357"/>
      <c r="G7" s="358"/>
    </row>
    <row r="8" spans="1:7">
      <c r="A8" s="359">
        <v>1</v>
      </c>
      <c r="B8" s="360" t="s">
        <v>462</v>
      </c>
      <c r="C8" s="763">
        <f>SUM(C9:C10)</f>
        <v>249275771.72000003</v>
      </c>
      <c r="D8" s="361">
        <f>SUM(D9:D10)</f>
        <v>0</v>
      </c>
      <c r="E8" s="361">
        <f>SUM(E9:E10)</f>
        <v>0</v>
      </c>
      <c r="F8" s="763">
        <f>SUM(F9:F10)</f>
        <v>945762282.73792255</v>
      </c>
      <c r="G8" s="362">
        <f>SUM(G9:G10)</f>
        <v>1195038054.4579225</v>
      </c>
    </row>
    <row r="9" spans="1:7">
      <c r="A9" s="359">
        <v>2</v>
      </c>
      <c r="B9" s="363" t="s">
        <v>86</v>
      </c>
      <c r="C9" s="361">
        <v>249275771.72000003</v>
      </c>
      <c r="D9" s="361"/>
      <c r="E9" s="361"/>
      <c r="F9" s="361">
        <v>76888258</v>
      </c>
      <c r="G9" s="362">
        <f>C9+F9</f>
        <v>326164029.72000003</v>
      </c>
    </row>
    <row r="10" spans="1:7">
      <c r="A10" s="359">
        <v>3</v>
      </c>
      <c r="B10" s="363" t="s">
        <v>463</v>
      </c>
      <c r="C10" s="364"/>
      <c r="D10" s="364"/>
      <c r="E10" s="364"/>
      <c r="F10" s="361">
        <v>868874024.73792255</v>
      </c>
      <c r="G10" s="362">
        <f>C10+F10</f>
        <v>868874024.73792255</v>
      </c>
    </row>
    <row r="11" spans="1:7" ht="27.6">
      <c r="A11" s="359">
        <v>4</v>
      </c>
      <c r="B11" s="360" t="s">
        <v>464</v>
      </c>
      <c r="C11" s="763">
        <f t="shared" ref="C11:F11" si="0">SUM(C12:C13)</f>
        <v>162251982.3649005</v>
      </c>
      <c r="D11" s="763">
        <f t="shared" si="0"/>
        <v>168990464.27976713</v>
      </c>
      <c r="E11" s="763">
        <f t="shared" si="0"/>
        <v>83196862.561846375</v>
      </c>
      <c r="F11" s="763">
        <f t="shared" si="0"/>
        <v>12652392.860339552</v>
      </c>
      <c r="G11" s="362">
        <f>SUM(G12:G13)</f>
        <v>341461660.44039696</v>
      </c>
    </row>
    <row r="12" spans="1:7">
      <c r="A12" s="359">
        <v>5</v>
      </c>
      <c r="B12" s="363" t="s">
        <v>465</v>
      </c>
      <c r="C12" s="361">
        <f>64640775.4937+233746</f>
        <v>64874521.493699998</v>
      </c>
      <c r="D12" s="365">
        <v>134020966.61490513</v>
      </c>
      <c r="E12" s="361">
        <v>75403321.386490375</v>
      </c>
      <c r="F12" s="361">
        <v>9958544.7426160034</v>
      </c>
      <c r="G12" s="362">
        <f>SUM(C12:F12)*0.95</f>
        <v>270044486.52582592</v>
      </c>
    </row>
    <row r="13" spans="1:7">
      <c r="A13" s="359">
        <v>6</v>
      </c>
      <c r="B13" s="363" t="s">
        <v>466</v>
      </c>
      <c r="C13" s="361">
        <v>97377460.871200502</v>
      </c>
      <c r="D13" s="365">
        <v>34969497.664861999</v>
      </c>
      <c r="E13" s="361">
        <v>7793541.1753560007</v>
      </c>
      <c r="F13" s="361">
        <v>2693848.1177235497</v>
      </c>
      <c r="G13" s="362">
        <f>SUM(C13:F13)*0.5</f>
        <v>71417173.914571032</v>
      </c>
    </row>
    <row r="14" spans="1:7">
      <c r="A14" s="359">
        <v>7</v>
      </c>
      <c r="B14" s="360" t="s">
        <v>467</v>
      </c>
      <c r="C14" s="763">
        <f t="shared" ref="C14:F14" si="1">SUM(C15:C16)</f>
        <v>45888735.264900051</v>
      </c>
      <c r="D14" s="763">
        <f t="shared" si="1"/>
        <v>188746542.55136728</v>
      </c>
      <c r="E14" s="763">
        <f t="shared" si="1"/>
        <v>235458344.11868158</v>
      </c>
      <c r="F14" s="763">
        <f t="shared" si="1"/>
        <v>304818.05000000075</v>
      </c>
      <c r="G14" s="362">
        <f>SUM(G15:G16)</f>
        <v>190802367.65898147</v>
      </c>
    </row>
    <row r="15" spans="1:7" ht="55.2">
      <c r="A15" s="359">
        <v>8</v>
      </c>
      <c r="B15" s="363" t="s">
        <v>468</v>
      </c>
      <c r="C15" s="361">
        <v>45888735.264900051</v>
      </c>
      <c r="D15" s="762">
        <v>99952837.884381324</v>
      </c>
      <c r="E15" s="762">
        <v>140341500.09414333</v>
      </c>
      <c r="F15" s="361">
        <v>304818.05000000075</v>
      </c>
      <c r="G15" s="362">
        <f>SUM(C15:F15)*0.5</f>
        <v>143243945.64671236</v>
      </c>
    </row>
    <row r="16" spans="1:7" ht="27.6">
      <c r="A16" s="359">
        <v>9</v>
      </c>
      <c r="B16" s="363" t="s">
        <v>469</v>
      </c>
      <c r="C16" s="361"/>
      <c r="D16" s="761">
        <v>88793704.666985959</v>
      </c>
      <c r="E16" s="361">
        <v>95116844.024538249</v>
      </c>
      <c r="F16" s="361"/>
      <c r="G16" s="362">
        <v>47558422.012269117</v>
      </c>
    </row>
    <row r="17" spans="1:7">
      <c r="A17" s="359">
        <v>10</v>
      </c>
      <c r="B17" s="360" t="s">
        <v>470</v>
      </c>
      <c r="C17" s="361"/>
      <c r="D17" s="365"/>
      <c r="E17" s="361"/>
      <c r="F17" s="361"/>
      <c r="G17" s="362"/>
    </row>
    <row r="18" spans="1:7">
      <c r="A18" s="359">
        <v>11</v>
      </c>
      <c r="B18" s="360" t="s">
        <v>90</v>
      </c>
      <c r="C18" s="763">
        <f>SUM(C19:C20)</f>
        <v>57006541.610274598</v>
      </c>
      <c r="D18" s="764">
        <f t="shared" ref="D18:G18" si="2">SUM(D19:D20)</f>
        <v>2865502</v>
      </c>
      <c r="E18" s="763">
        <f t="shared" si="2"/>
        <v>2679187</v>
      </c>
      <c r="F18" s="763">
        <f t="shared" si="2"/>
        <v>11357596</v>
      </c>
      <c r="G18" s="362">
        <f t="shared" si="2"/>
        <v>0</v>
      </c>
    </row>
    <row r="19" spans="1:7">
      <c r="A19" s="359">
        <v>12</v>
      </c>
      <c r="B19" s="363" t="s">
        <v>471</v>
      </c>
      <c r="C19" s="364"/>
      <c r="D19" s="365"/>
      <c r="E19" s="361"/>
      <c r="F19" s="361"/>
      <c r="G19" s="362"/>
    </row>
    <row r="20" spans="1:7" ht="27.6">
      <c r="A20" s="359">
        <v>13</v>
      </c>
      <c r="B20" s="363" t="s">
        <v>472</v>
      </c>
      <c r="C20" s="361">
        <v>57006541.610274598</v>
      </c>
      <c r="D20" s="361">
        <v>2865502</v>
      </c>
      <c r="E20" s="361">
        <v>2679187</v>
      </c>
      <c r="F20" s="361">
        <v>11357596</v>
      </c>
      <c r="G20" s="362"/>
    </row>
    <row r="21" spans="1:7">
      <c r="A21" s="366">
        <v>14</v>
      </c>
      <c r="B21" s="367" t="s">
        <v>473</v>
      </c>
      <c r="C21" s="364"/>
      <c r="D21" s="364"/>
      <c r="E21" s="364"/>
      <c r="F21" s="364"/>
      <c r="G21" s="368">
        <f>SUM(G8,G11,G14,G17,G18)</f>
        <v>1727302082.557301</v>
      </c>
    </row>
    <row r="22" spans="1:7">
      <c r="A22" s="369"/>
      <c r="B22" s="387" t="s">
        <v>474</v>
      </c>
      <c r="C22" s="370"/>
      <c r="D22" s="371"/>
      <c r="E22" s="370"/>
      <c r="F22" s="370"/>
      <c r="G22" s="372"/>
    </row>
    <row r="23" spans="1:7">
      <c r="A23" s="359">
        <v>15</v>
      </c>
      <c r="B23" s="360" t="s">
        <v>323</v>
      </c>
      <c r="C23" s="765">
        <v>240893175</v>
      </c>
      <c r="D23" s="766">
        <v>45434372</v>
      </c>
      <c r="E23" s="765"/>
      <c r="F23" s="765"/>
      <c r="G23" s="362">
        <v>5431434.45175</v>
      </c>
    </row>
    <row r="24" spans="1:7">
      <c r="A24" s="359">
        <v>16</v>
      </c>
      <c r="B24" s="360" t="s">
        <v>475</v>
      </c>
      <c r="C24" s="763">
        <f>SUM(C25:C27,C29,C31)</f>
        <v>43310627.970000006</v>
      </c>
      <c r="D24" s="764">
        <f t="shared" ref="D24:G24" si="3">SUM(D25:D27,D29,D31)</f>
        <v>476770991.97000003</v>
      </c>
      <c r="E24" s="763">
        <f t="shared" si="3"/>
        <v>304266306.86846435</v>
      </c>
      <c r="F24" s="763">
        <f t="shared" si="3"/>
        <v>945717928.76911449</v>
      </c>
      <c r="G24" s="362">
        <f t="shared" si="3"/>
        <v>1184288003.0584793</v>
      </c>
    </row>
    <row r="25" spans="1:7" ht="27.6">
      <c r="A25" s="359">
        <v>17</v>
      </c>
      <c r="B25" s="363" t="s">
        <v>476</v>
      </c>
      <c r="C25" s="361"/>
      <c r="D25" s="365"/>
      <c r="E25" s="361"/>
      <c r="F25" s="361"/>
      <c r="G25" s="362"/>
    </row>
    <row r="26" spans="1:7" ht="27.6">
      <c r="A26" s="359">
        <v>18</v>
      </c>
      <c r="B26" s="363" t="s">
        <v>477</v>
      </c>
      <c r="C26" s="361">
        <v>43310627.970000006</v>
      </c>
      <c r="D26" s="365"/>
      <c r="E26" s="361"/>
      <c r="F26" s="361"/>
      <c r="G26" s="362">
        <f>C26*0.15</f>
        <v>6496594.1955000004</v>
      </c>
    </row>
    <row r="27" spans="1:7">
      <c r="A27" s="359">
        <v>19</v>
      </c>
      <c r="B27" s="363" t="s">
        <v>478</v>
      </c>
      <c r="C27" s="361"/>
      <c r="D27" s="365">
        <v>476336675.97000003</v>
      </c>
      <c r="E27" s="361">
        <v>302777938.86846435</v>
      </c>
      <c r="F27" s="361">
        <v>856176723.41411448</v>
      </c>
      <c r="G27" s="362">
        <v>1117855144.3112295</v>
      </c>
    </row>
    <row r="28" spans="1:7">
      <c r="A28" s="359">
        <v>20</v>
      </c>
      <c r="B28" s="373" t="s">
        <v>479</v>
      </c>
      <c r="C28" s="361"/>
      <c r="D28" s="365"/>
      <c r="E28" s="361"/>
      <c r="F28" s="361"/>
      <c r="G28" s="362"/>
    </row>
    <row r="29" spans="1:7">
      <c r="A29" s="359">
        <v>21</v>
      </c>
      <c r="B29" s="363" t="s">
        <v>480</v>
      </c>
      <c r="C29" s="361"/>
      <c r="D29" s="365">
        <v>434316</v>
      </c>
      <c r="E29" s="361">
        <v>1488368</v>
      </c>
      <c r="F29" s="361">
        <v>87117523</v>
      </c>
      <c r="G29" s="362">
        <f>SUM(D29:F29)*0.65</f>
        <v>57876134.550000004</v>
      </c>
    </row>
    <row r="30" spans="1:7">
      <c r="A30" s="359">
        <v>22</v>
      </c>
      <c r="B30" s="373" t="s">
        <v>479</v>
      </c>
      <c r="C30" s="361"/>
      <c r="D30" s="365">
        <v>434316</v>
      </c>
      <c r="E30" s="361">
        <v>1488368</v>
      </c>
      <c r="F30" s="361">
        <v>87117523</v>
      </c>
      <c r="G30" s="362">
        <f>SUM(D30:F30)*0.65</f>
        <v>57876134.550000004</v>
      </c>
    </row>
    <row r="31" spans="1:7" ht="27.6">
      <c r="A31" s="359">
        <v>23</v>
      </c>
      <c r="B31" s="363" t="s">
        <v>481</v>
      </c>
      <c r="C31" s="361"/>
      <c r="D31" s="365"/>
      <c r="E31" s="361"/>
      <c r="F31" s="361">
        <v>2423682.355</v>
      </c>
      <c r="G31" s="362">
        <f>F31*0.85</f>
        <v>2060130.0017499998</v>
      </c>
    </row>
    <row r="32" spans="1:7">
      <c r="A32" s="359">
        <v>24</v>
      </c>
      <c r="B32" s="360" t="s">
        <v>482</v>
      </c>
      <c r="C32" s="361"/>
      <c r="D32" s="365"/>
      <c r="E32" s="361"/>
      <c r="F32" s="361"/>
      <c r="G32" s="362"/>
    </row>
    <row r="33" spans="1:7">
      <c r="A33" s="359">
        <v>25</v>
      </c>
      <c r="B33" s="360" t="s">
        <v>100</v>
      </c>
      <c r="C33" s="763">
        <f>SUM(C34:C35)</f>
        <v>88174217.020000011</v>
      </c>
      <c r="D33" s="763">
        <f>SUM(D34:D35)</f>
        <v>547621.99</v>
      </c>
      <c r="E33" s="763">
        <f>SUM(E34:E35)</f>
        <v>1697888.5900000017</v>
      </c>
      <c r="F33" s="763">
        <f>SUM(F34:F35)</f>
        <v>19623891.593662243</v>
      </c>
      <c r="G33" s="362">
        <f>SUM(G34:G35)</f>
        <v>110043619.19366226</v>
      </c>
    </row>
    <row r="34" spans="1:7">
      <c r="A34" s="359">
        <v>26</v>
      </c>
      <c r="B34" s="363" t="s">
        <v>483</v>
      </c>
      <c r="C34" s="364"/>
      <c r="D34" s="365">
        <v>547621.99</v>
      </c>
      <c r="E34" s="361"/>
      <c r="F34" s="361"/>
      <c r="G34" s="362">
        <f>D34</f>
        <v>547621.99</v>
      </c>
    </row>
    <row r="35" spans="1:7">
      <c r="A35" s="359">
        <v>27</v>
      </c>
      <c r="B35" s="363" t="s">
        <v>484</v>
      </c>
      <c r="C35" s="361">
        <v>88174217.020000011</v>
      </c>
      <c r="D35" s="365"/>
      <c r="E35" s="361">
        <v>1697888.5900000017</v>
      </c>
      <c r="F35" s="361">
        <v>19623891.593662243</v>
      </c>
      <c r="G35" s="362">
        <f>SUM(C35:F35)</f>
        <v>109495997.20366226</v>
      </c>
    </row>
    <row r="36" spans="1:7">
      <c r="A36" s="359">
        <v>28</v>
      </c>
      <c r="B36" s="360" t="s">
        <v>485</v>
      </c>
      <c r="C36" s="361">
        <v>3788855.88</v>
      </c>
      <c r="D36" s="365"/>
      <c r="E36" s="361"/>
      <c r="F36" s="361">
        <v>39137094.370000005</v>
      </c>
      <c r="G36" s="362">
        <f>SUM(C36:F36)*0.05</f>
        <v>2146297.5125000007</v>
      </c>
    </row>
    <row r="37" spans="1:7">
      <c r="A37" s="366">
        <v>29</v>
      </c>
      <c r="B37" s="367" t="s">
        <v>486</v>
      </c>
      <c r="C37" s="364"/>
      <c r="D37" s="364"/>
      <c r="E37" s="364"/>
      <c r="F37" s="364"/>
      <c r="G37" s="368">
        <f>SUM(G23:G24,G32:G33,G36)</f>
        <v>1301909354.2163916</v>
      </c>
    </row>
    <row r="38" spans="1:7">
      <c r="A38" s="355"/>
      <c r="B38" s="374"/>
      <c r="C38" s="375"/>
      <c r="D38" s="375"/>
      <c r="E38" s="375"/>
      <c r="F38" s="375"/>
      <c r="G38" s="376"/>
    </row>
    <row r="39" spans="1:7" ht="15" thickBot="1">
      <c r="A39" s="377">
        <v>30</v>
      </c>
      <c r="B39" s="378" t="s">
        <v>454</v>
      </c>
      <c r="C39" s="239"/>
      <c r="D39" s="222"/>
      <c r="E39" s="222"/>
      <c r="F39" s="379"/>
      <c r="G39" s="380">
        <f>IFERROR(G21/G37,0)</f>
        <v>1.3267452737498378</v>
      </c>
    </row>
    <row r="42" spans="1:7" ht="41.4">
      <c r="B42" s="17" t="s">
        <v>487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pane xSplit="1" ySplit="5" topLeftCell="B15" activePane="bottomRight" state="frozen"/>
      <selection pane="topRight" activeCell="B1" sqref="B1"/>
      <selection pane="bottomLeft" activeCell="A6" sqref="A6"/>
      <selection pane="bottomRight" activeCell="B33" sqref="B33"/>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12" width="14.33203125" bestFit="1" customWidth="1"/>
    <col min="13" max="13" width="6.77734375" customWidth="1"/>
    <col min="14" max="14" width="12.21875" customWidth="1"/>
    <col min="16" max="16" width="11" bestFit="1" customWidth="1"/>
  </cols>
  <sheetData>
    <row r="1" spans="1:12">
      <c r="A1" s="13" t="s">
        <v>109</v>
      </c>
      <c r="B1" s="310" t="str">
        <f>Info!C2</f>
        <v>სს "კრედობანკი"</v>
      </c>
    </row>
    <row r="2" spans="1:12">
      <c r="A2" s="13" t="s">
        <v>110</v>
      </c>
      <c r="B2" s="346">
        <v>45016</v>
      </c>
    </row>
    <row r="3" spans="1:12" ht="15" thickBot="1">
      <c r="A3" s="13"/>
    </row>
    <row r="4" spans="1:12" ht="15" thickBot="1">
      <c r="A4" s="33" t="s">
        <v>253</v>
      </c>
      <c r="B4" s="141" t="s">
        <v>140</v>
      </c>
      <c r="C4" s="142"/>
      <c r="D4" s="792" t="s">
        <v>947</v>
      </c>
      <c r="E4" s="793"/>
      <c r="F4" s="793"/>
      <c r="G4" s="794"/>
      <c r="I4" s="795" t="s">
        <v>948</v>
      </c>
      <c r="J4" s="796"/>
      <c r="K4" s="796"/>
      <c r="L4" s="797"/>
    </row>
    <row r="5" spans="1:12">
      <c r="A5" s="207" t="s">
        <v>26</v>
      </c>
      <c r="B5" s="208"/>
      <c r="C5" s="331" t="str">
        <f>INT((MONTH($B$2))/3)&amp;"Q"&amp;"-"&amp;YEAR($B$2)</f>
        <v>1Q-2023</v>
      </c>
      <c r="D5" s="331" t="str">
        <f>IF(INT(MONTH($B$2))=3, "4"&amp;"Q"&amp;"-"&amp;YEAR($B$2)-1, IF(INT(MONTH($B$2))=6, "1"&amp;"Q"&amp;"-"&amp;YEAR($B$2), IF(INT(MONTH($B$2))=9, "2"&amp;"Q"&amp;"-"&amp;YEAR($B$2),IF(INT(MONTH($B$2))=12, "3"&amp;"Q"&amp;"-"&amp;YEAR($B$2), 0))))</f>
        <v>4Q-2022</v>
      </c>
      <c r="E5" s="331" t="str">
        <f>IF(INT(MONTH($B$2))=3, "3"&amp;"Q"&amp;"-"&amp;YEAR($B$2)-1, IF(INT(MONTH($B$2))=6, "4"&amp;"Q"&amp;"-"&amp;YEAR($B$2)-1, IF(INT(MONTH($B$2))=9, "1"&amp;"Q"&amp;"-"&amp;YEAR($B$2),IF(INT(MONTH($B$2))=12, "2"&amp;"Q"&amp;"-"&amp;YEAR($B$2), 0))))</f>
        <v>3Q-2022</v>
      </c>
      <c r="F5" s="331" t="str">
        <f>IF(INT(MONTH($B$2))=3, "2"&amp;"Q"&amp;"-"&amp;YEAR($B$2)-1, IF(INT(MONTH($B$2))=6, "3"&amp;"Q"&amp;"-"&amp;YEAR($B$2)-1, IF(INT(MONTH($B$2))=9, "4"&amp;"Q"&amp;"-"&amp;YEAR($B$2)-1,IF(INT(MONTH($B$2))=12, "1"&amp;"Q"&amp;"-"&amp;YEAR($B$2), 0))))</f>
        <v>2Q-2022</v>
      </c>
      <c r="G5" s="332" t="str">
        <f>IF(INT(MONTH($B$2))=3, "1"&amp;"Q"&amp;"-"&amp;YEAR($B$2)-1, IF(INT(MONTH($B$2))=6, "2"&amp;"Q"&amp;"-"&amp;YEAR($B$2)-1, IF(INT(MONTH($B$2))=9, "3"&amp;"Q"&amp;"-"&amp;YEAR($B$2)-1,IF(INT(MONTH($B$2))=12, "4"&amp;"Q"&amp;"-"&amp;YEAR($B$2)-1, 0))))</f>
        <v>1Q-2022</v>
      </c>
      <c r="I5" s="634" t="str">
        <f>D5</f>
        <v>4Q-2022</v>
      </c>
      <c r="J5" s="331" t="str">
        <f t="shared" ref="J5:L5" si="0">E5</f>
        <v>3Q-2022</v>
      </c>
      <c r="K5" s="331" t="str">
        <f t="shared" si="0"/>
        <v>2Q-2022</v>
      </c>
      <c r="L5" s="332" t="str">
        <f t="shared" si="0"/>
        <v>1Q-2022</v>
      </c>
    </row>
    <row r="6" spans="1:12">
      <c r="A6" s="333"/>
      <c r="B6" s="334" t="s">
        <v>107</v>
      </c>
      <c r="C6" s="209"/>
      <c r="D6" s="209"/>
      <c r="E6" s="209"/>
      <c r="F6" s="209"/>
      <c r="G6" s="210"/>
      <c r="I6" s="635"/>
      <c r="J6" s="209"/>
      <c r="K6" s="209"/>
      <c r="L6" s="210"/>
    </row>
    <row r="7" spans="1:12">
      <c r="A7" s="333"/>
      <c r="B7" s="335" t="s">
        <v>111</v>
      </c>
      <c r="C7" s="209"/>
      <c r="D7" s="209"/>
      <c r="E7" s="209"/>
      <c r="F7" s="209"/>
      <c r="G7" s="210"/>
      <c r="I7" s="635"/>
      <c r="J7" s="209"/>
      <c r="K7" s="209"/>
      <c r="L7" s="210"/>
    </row>
    <row r="8" spans="1:12">
      <c r="A8" s="314">
        <v>1</v>
      </c>
      <c r="B8" s="315" t="s">
        <v>23</v>
      </c>
      <c r="C8" s="336">
        <v>249275771.72</v>
      </c>
      <c r="D8" s="337">
        <v>245581009.12999979</v>
      </c>
      <c r="E8" s="337">
        <v>234593846.70000005</v>
      </c>
      <c r="F8" s="337">
        <v>220888547.4199999</v>
      </c>
      <c r="G8" s="338">
        <v>214851971.12999997</v>
      </c>
      <c r="I8" s="648">
        <v>214666012.52000001</v>
      </c>
      <c r="J8" s="649">
        <v>207106305.80000001</v>
      </c>
      <c r="K8" s="649">
        <v>198409430.91999987</v>
      </c>
      <c r="L8" s="650">
        <v>197489453.98000044</v>
      </c>
    </row>
    <row r="9" spans="1:12">
      <c r="A9" s="314">
        <v>2</v>
      </c>
      <c r="B9" s="315" t="s">
        <v>87</v>
      </c>
      <c r="C9" s="336">
        <v>249275771.72</v>
      </c>
      <c r="D9" s="337">
        <v>245581009.12999979</v>
      </c>
      <c r="E9" s="337">
        <v>234593846.70000005</v>
      </c>
      <c r="F9" s="337">
        <v>220888547.4199999</v>
      </c>
      <c r="G9" s="338">
        <v>214851971.12999997</v>
      </c>
      <c r="I9" s="648">
        <v>214666012.51999971</v>
      </c>
      <c r="J9" s="649">
        <v>207106305.80000001</v>
      </c>
      <c r="K9" s="649">
        <v>198409430.91999987</v>
      </c>
      <c r="L9" s="650">
        <v>197489453.98000044</v>
      </c>
    </row>
    <row r="10" spans="1:12">
      <c r="A10" s="314">
        <v>3</v>
      </c>
      <c r="B10" s="315" t="s">
        <v>86</v>
      </c>
      <c r="C10" s="336">
        <v>326164029.72000003</v>
      </c>
      <c r="D10" s="337">
        <v>312962049.12999976</v>
      </c>
      <c r="E10" s="337">
        <v>303793946.70000005</v>
      </c>
      <c r="F10" s="337">
        <v>292866043.4199999</v>
      </c>
      <c r="G10" s="338">
        <v>291193939.77519393</v>
      </c>
      <c r="I10" s="648">
        <v>302188638.76197034</v>
      </c>
      <c r="J10" s="649">
        <v>294906529.86733359</v>
      </c>
      <c r="K10" s="649">
        <v>287989939.18361312</v>
      </c>
      <c r="L10" s="650">
        <v>282429451.49236441</v>
      </c>
    </row>
    <row r="11" spans="1:12">
      <c r="A11" s="314">
        <v>4</v>
      </c>
      <c r="B11" s="315" t="s">
        <v>446</v>
      </c>
      <c r="C11" s="336">
        <v>197630429.46356279</v>
      </c>
      <c r="D11" s="337">
        <v>197699126.41092411</v>
      </c>
      <c r="E11" s="337">
        <v>148166094.10301402</v>
      </c>
      <c r="F11" s="337">
        <v>138796083.22385189</v>
      </c>
      <c r="G11" s="338">
        <v>129147406.4855653</v>
      </c>
      <c r="I11" s="648">
        <v>168546471.01320142</v>
      </c>
      <c r="J11" s="649">
        <v>155187807.28500125</v>
      </c>
      <c r="K11" s="649">
        <v>148367492.45126465</v>
      </c>
      <c r="L11" s="650">
        <v>139475312.33826685</v>
      </c>
    </row>
    <row r="12" spans="1:12">
      <c r="A12" s="314">
        <v>5</v>
      </c>
      <c r="B12" s="315" t="s">
        <v>447</v>
      </c>
      <c r="C12" s="336">
        <v>237258757.57883739</v>
      </c>
      <c r="D12" s="337">
        <v>235965932.35859731</v>
      </c>
      <c r="E12" s="337">
        <v>184085650.21945411</v>
      </c>
      <c r="F12" s="337">
        <v>170642026.51394957</v>
      </c>
      <c r="G12" s="338">
        <v>158757990.54148594</v>
      </c>
      <c r="I12" s="648">
        <v>208103387.59380776</v>
      </c>
      <c r="J12" s="649">
        <v>191591817.26351747</v>
      </c>
      <c r="K12" s="649">
        <v>183166203.41896465</v>
      </c>
      <c r="L12" s="650">
        <v>172176573.46557817</v>
      </c>
    </row>
    <row r="13" spans="1:12">
      <c r="A13" s="314">
        <v>6</v>
      </c>
      <c r="B13" s="315" t="s">
        <v>448</v>
      </c>
      <c r="C13" s="336">
        <v>289894568.45340198</v>
      </c>
      <c r="D13" s="337">
        <v>297781619.25709003</v>
      </c>
      <c r="E13" s="337">
        <v>242129845.12346169</v>
      </c>
      <c r="F13" s="337">
        <v>235722978.77016163</v>
      </c>
      <c r="G13" s="338">
        <v>219319118.49561319</v>
      </c>
      <c r="I13" s="648">
        <v>272011178.0017516</v>
      </c>
      <c r="J13" s="649">
        <v>250423017.24919254</v>
      </c>
      <c r="K13" s="649">
        <v>239408379.65133566</v>
      </c>
      <c r="L13" s="650">
        <v>225040345.25436014</v>
      </c>
    </row>
    <row r="14" spans="1:12">
      <c r="A14" s="333"/>
      <c r="B14" s="334" t="s">
        <v>450</v>
      </c>
      <c r="C14" s="209"/>
      <c r="D14" s="209"/>
      <c r="E14" s="209"/>
      <c r="F14" s="209"/>
      <c r="G14" s="210"/>
      <c r="I14" s="635"/>
      <c r="J14" s="209"/>
      <c r="K14" s="209"/>
      <c r="L14" s="210"/>
    </row>
    <row r="15" spans="1:12" ht="22.05" customHeight="1">
      <c r="A15" s="314">
        <v>7</v>
      </c>
      <c r="B15" s="315" t="s">
        <v>449</v>
      </c>
      <c r="C15" s="339">
        <v>1893374491.8908103</v>
      </c>
      <c r="D15" s="337">
        <v>1931098425.3504341</v>
      </c>
      <c r="E15" s="337">
        <v>1816053193.8398914</v>
      </c>
      <c r="F15" s="337">
        <v>1732452834.8370857</v>
      </c>
      <c r="G15" s="338">
        <v>1614464318.3729358</v>
      </c>
      <c r="I15" s="636">
        <v>1997562971.9483364</v>
      </c>
      <c r="J15" s="637">
        <v>1841246012.9868748</v>
      </c>
      <c r="K15" s="637">
        <v>1760935941.6892467</v>
      </c>
      <c r="L15" s="638">
        <v>1656738792.5893064</v>
      </c>
    </row>
    <row r="16" spans="1:12">
      <c r="A16" s="333"/>
      <c r="B16" s="334" t="s">
        <v>453</v>
      </c>
      <c r="C16" s="209"/>
      <c r="D16" s="209"/>
      <c r="E16" s="209"/>
      <c r="F16" s="209"/>
      <c r="G16" s="210"/>
      <c r="I16" s="635"/>
      <c r="J16" s="209"/>
      <c r="K16" s="209"/>
      <c r="L16" s="210"/>
    </row>
    <row r="17" spans="1:12">
      <c r="A17" s="314"/>
      <c r="B17" s="335" t="s">
        <v>436</v>
      </c>
      <c r="C17" s="209"/>
      <c r="D17" s="209"/>
      <c r="E17" s="209"/>
      <c r="F17" s="209"/>
      <c r="G17" s="210"/>
      <c r="I17" s="635"/>
      <c r="J17" s="209"/>
      <c r="K17" s="209"/>
      <c r="L17" s="210"/>
    </row>
    <row r="18" spans="1:12">
      <c r="A18" s="314">
        <v>8</v>
      </c>
      <c r="B18" s="315" t="s">
        <v>444</v>
      </c>
      <c r="C18" s="788">
        <f>C8/$C$15</f>
        <v>0.13165687653849284</v>
      </c>
      <c r="D18" s="348">
        <v>0.12717166867630506</v>
      </c>
      <c r="E18" s="348">
        <v>0.12917784979853544</v>
      </c>
      <c r="F18" s="348">
        <v>0.12750046810987009</v>
      </c>
      <c r="G18" s="349">
        <v>0.13307941754112518</v>
      </c>
      <c r="I18" s="639">
        <v>0.10746395259350637</v>
      </c>
      <c r="J18" s="640">
        <v>0.11248160448914241</v>
      </c>
      <c r="K18" s="640">
        <v>0.11267271353986213</v>
      </c>
      <c r="L18" s="641">
        <v>0.11920373619751212</v>
      </c>
    </row>
    <row r="19" spans="1:12" ht="15" customHeight="1">
      <c r="A19" s="314">
        <v>9</v>
      </c>
      <c r="B19" s="315" t="s">
        <v>443</v>
      </c>
      <c r="C19" s="788">
        <f t="shared" ref="C19:C20" si="1">C9/$C$15</f>
        <v>0.13165687653849284</v>
      </c>
      <c r="D19" s="348">
        <v>0.12717166867630506</v>
      </c>
      <c r="E19" s="348">
        <v>0.12917784979853544</v>
      </c>
      <c r="F19" s="348">
        <v>0.12750046810987009</v>
      </c>
      <c r="G19" s="349">
        <v>0.13307941754112518</v>
      </c>
      <c r="I19" s="639">
        <v>0.10746395259350637</v>
      </c>
      <c r="J19" s="640">
        <v>0.11248160448914241</v>
      </c>
      <c r="K19" s="640">
        <v>0.11267271353986213</v>
      </c>
      <c r="L19" s="641">
        <v>0.11920373619751212</v>
      </c>
    </row>
    <row r="20" spans="1:12">
      <c r="A20" s="314">
        <v>10</v>
      </c>
      <c r="B20" s="315" t="s">
        <v>445</v>
      </c>
      <c r="C20" s="788">
        <f t="shared" si="1"/>
        <v>0.17226598917273769</v>
      </c>
      <c r="D20" s="348">
        <v>0.1620642661304055</v>
      </c>
      <c r="E20" s="348">
        <v>0.16728251558405804</v>
      </c>
      <c r="F20" s="348">
        <v>0.16904705140070383</v>
      </c>
      <c r="G20" s="349">
        <v>0.18036567080569516</v>
      </c>
      <c r="I20" s="639">
        <v>0.15127865454335521</v>
      </c>
      <c r="J20" s="640">
        <v>0.16016682604457366</v>
      </c>
      <c r="K20" s="640">
        <v>0.16354367718075397</v>
      </c>
      <c r="L20" s="641">
        <v>0.17047313237046693</v>
      </c>
    </row>
    <row r="21" spans="1:12">
      <c r="A21" s="314">
        <v>11</v>
      </c>
      <c r="B21" s="315" t="s">
        <v>446</v>
      </c>
      <c r="C21" s="347">
        <v>0.10438</v>
      </c>
      <c r="D21" s="348">
        <v>0.10237651474188732</v>
      </c>
      <c r="E21" s="348">
        <v>8.1586869044143639E-2</v>
      </c>
      <c r="F21" s="348">
        <v>8.0115360391270818E-2</v>
      </c>
      <c r="G21" s="349">
        <v>7.9993967668310337E-2</v>
      </c>
      <c r="I21" s="639">
        <v>8.4376048905636492E-2</v>
      </c>
      <c r="J21" s="640">
        <v>8.4284124006468383E-2</v>
      </c>
      <c r="K21" s="640">
        <v>8.4254906120513007E-2</v>
      </c>
      <c r="L21" s="641">
        <v>8.4186664163444738E-2</v>
      </c>
    </row>
    <row r="22" spans="1:12">
      <c r="A22" s="314">
        <v>12</v>
      </c>
      <c r="B22" s="315" t="s">
        <v>447</v>
      </c>
      <c r="C22" s="347">
        <v>0.12530999999999998</v>
      </c>
      <c r="D22" s="348">
        <v>0.12219259736373969</v>
      </c>
      <c r="E22" s="348">
        <v>0.10136578093850904</v>
      </c>
      <c r="F22" s="348">
        <v>9.8497357666880545E-2</v>
      </c>
      <c r="G22" s="349">
        <v>9.8334778127201317E-2</v>
      </c>
      <c r="I22" s="639">
        <v>0.1041786369271917</v>
      </c>
      <c r="J22" s="640">
        <v>0.10405552322294871</v>
      </c>
      <c r="K22" s="640">
        <v>0.10401639212568704</v>
      </c>
      <c r="L22" s="641">
        <v>0.10392499664747061</v>
      </c>
    </row>
    <row r="23" spans="1:12">
      <c r="A23" s="314">
        <v>13</v>
      </c>
      <c r="B23" s="315" t="s">
        <v>448</v>
      </c>
      <c r="C23" s="347">
        <v>0.15311000000000002</v>
      </c>
      <c r="D23" s="348">
        <v>0.15420323239249287</v>
      </c>
      <c r="E23" s="348">
        <v>0.13332750711530567</v>
      </c>
      <c r="F23" s="348">
        <v>0.13606314355584073</v>
      </c>
      <c r="G23" s="349">
        <v>0.13584637083626844</v>
      </c>
      <c r="I23" s="639">
        <v>0.13617151590292229</v>
      </c>
      <c r="J23" s="640">
        <v>0.13600736429726495</v>
      </c>
      <c r="K23" s="640">
        <v>0.13595518950091609</v>
      </c>
      <c r="L23" s="641">
        <v>0.13583332886329416</v>
      </c>
    </row>
    <row r="24" spans="1:12">
      <c r="A24" s="333"/>
      <c r="B24" s="334" t="s">
        <v>7</v>
      </c>
      <c r="C24" s="209"/>
      <c r="D24" s="209"/>
      <c r="E24" s="209"/>
      <c r="F24" s="209"/>
      <c r="G24" s="210"/>
      <c r="I24" s="635"/>
      <c r="J24" s="209"/>
      <c r="K24" s="209"/>
      <c r="L24" s="210"/>
    </row>
    <row r="25" spans="1:12" ht="15" customHeight="1">
      <c r="A25" s="340">
        <v>14</v>
      </c>
      <c r="B25" s="341" t="s">
        <v>8</v>
      </c>
      <c r="C25" s="730">
        <v>0.19869999999999999</v>
      </c>
      <c r="D25" s="729">
        <v>0.217</v>
      </c>
      <c r="E25" s="729">
        <v>0.22109999999999999</v>
      </c>
      <c r="F25" s="729">
        <v>0.2243</v>
      </c>
      <c r="G25" s="718">
        <v>0.23630000000000001</v>
      </c>
      <c r="I25" s="651">
        <v>0.17369436084755779</v>
      </c>
      <c r="J25" s="652">
        <v>0.17577151248133191</v>
      </c>
      <c r="K25" s="652">
        <v>0.17594187329019867</v>
      </c>
      <c r="L25" s="653">
        <v>0.17558798173409881</v>
      </c>
    </row>
    <row r="26" spans="1:12">
      <c r="A26" s="340">
        <v>15</v>
      </c>
      <c r="B26" s="341" t="s">
        <v>9</v>
      </c>
      <c r="C26" s="730">
        <v>8.9499999999999996E-2</v>
      </c>
      <c r="D26" s="729">
        <v>9.6799999999999997E-2</v>
      </c>
      <c r="E26" s="729">
        <v>9.8500000000000004E-2</v>
      </c>
      <c r="F26" s="729">
        <v>9.8599999999999993E-2</v>
      </c>
      <c r="G26" s="718">
        <v>9.7799999999999998E-2</v>
      </c>
      <c r="I26" s="651">
        <v>9.3747599787266697E-2</v>
      </c>
      <c r="J26" s="652">
        <v>9.5226642487695606E-2</v>
      </c>
      <c r="K26" s="652">
        <v>9.4890187147007657E-2</v>
      </c>
      <c r="L26" s="653">
        <v>9.4786573956475148E-2</v>
      </c>
    </row>
    <row r="27" spans="1:12">
      <c r="A27" s="340">
        <v>16</v>
      </c>
      <c r="B27" s="341" t="s">
        <v>10</v>
      </c>
      <c r="C27" s="730">
        <v>4.3799999999999999E-2</v>
      </c>
      <c r="D27" s="729">
        <v>5.7200000000000001E-2</v>
      </c>
      <c r="E27" s="729">
        <v>5.57E-2</v>
      </c>
      <c r="F27" s="729">
        <v>5.4100000000000002E-2</v>
      </c>
      <c r="G27" s="718">
        <v>5.6800000000000003E-2</v>
      </c>
      <c r="I27" s="651">
        <v>3.6082132132482826E-2</v>
      </c>
      <c r="J27" s="652">
        <v>3.7508093087610758E-2</v>
      </c>
      <c r="K27" s="652">
        <v>3.9544071239042078E-2</v>
      </c>
      <c r="L27" s="653">
        <v>4.629038108866456E-2</v>
      </c>
    </row>
    <row r="28" spans="1:12">
      <c r="A28" s="340">
        <v>17</v>
      </c>
      <c r="B28" s="341" t="s">
        <v>141</v>
      </c>
      <c r="C28" s="730">
        <v>0.10919999999999999</v>
      </c>
      <c r="D28" s="729">
        <v>0.1202</v>
      </c>
      <c r="E28" s="729">
        <v>0.12259999999999999</v>
      </c>
      <c r="F28" s="729">
        <v>0.12570000000000001</v>
      </c>
      <c r="G28" s="718">
        <v>0.13850000000000001</v>
      </c>
      <c r="I28" s="651">
        <v>7.9946761060291097E-2</v>
      </c>
      <c r="J28" s="652">
        <v>8.0544869993636289E-2</v>
      </c>
      <c r="K28" s="652">
        <v>8.1051686143190999E-2</v>
      </c>
      <c r="L28" s="653">
        <v>8.0801407777623666E-2</v>
      </c>
    </row>
    <row r="29" spans="1:12">
      <c r="A29" s="340">
        <v>18</v>
      </c>
      <c r="B29" s="341" t="s">
        <v>11</v>
      </c>
      <c r="C29" s="730">
        <v>9.1999999999999998E-3</v>
      </c>
      <c r="D29" s="729">
        <v>2.47E-2</v>
      </c>
      <c r="E29" s="729">
        <v>2.3400000000000001E-2</v>
      </c>
      <c r="F29" s="729">
        <v>2.1600000000000001E-2</v>
      </c>
      <c r="G29" s="718">
        <v>2.4500000000000001E-2</v>
      </c>
      <c r="I29" s="651">
        <v>1.7382715990512006E-2</v>
      </c>
      <c r="J29" s="652">
        <v>1.5318970784860456E-2</v>
      </c>
      <c r="K29" s="652">
        <v>1.4009968708847517E-2</v>
      </c>
      <c r="L29" s="653">
        <v>1.6594867425930651E-2</v>
      </c>
    </row>
    <row r="30" spans="1:12">
      <c r="A30" s="340">
        <v>19</v>
      </c>
      <c r="B30" s="341" t="s">
        <v>12</v>
      </c>
      <c r="C30" s="730">
        <v>7.4800000000000005E-2</v>
      </c>
      <c r="D30" s="729">
        <v>0.19750000000000001</v>
      </c>
      <c r="E30" s="729">
        <v>0.186</v>
      </c>
      <c r="F30" s="729">
        <v>0.16980000000000001</v>
      </c>
      <c r="G30" s="718">
        <v>0.1888</v>
      </c>
      <c r="I30" s="651">
        <v>0.15770000000000001</v>
      </c>
      <c r="J30" s="652">
        <v>0.13767808099401715</v>
      </c>
      <c r="K30" s="652">
        <v>0.12374646298410533</v>
      </c>
      <c r="L30" s="653">
        <v>0.14259755119714557</v>
      </c>
    </row>
    <row r="31" spans="1:12">
      <c r="A31" s="333"/>
      <c r="B31" s="334" t="s">
        <v>13</v>
      </c>
      <c r="C31" s="209"/>
      <c r="D31" s="209"/>
      <c r="E31" s="209"/>
      <c r="F31" s="209"/>
      <c r="G31" s="210"/>
      <c r="I31" s="635"/>
      <c r="J31" s="209"/>
      <c r="K31" s="209"/>
      <c r="L31" s="210"/>
    </row>
    <row r="32" spans="1:12">
      <c r="A32" s="340">
        <v>20</v>
      </c>
      <c r="B32" s="341" t="s">
        <v>14</v>
      </c>
      <c r="C32" s="730">
        <v>8.5000000000000006E-3</v>
      </c>
      <c r="D32" s="731">
        <f>17521614/1790457690</f>
        <v>9.78610893620167E-3</v>
      </c>
      <c r="E32" s="731">
        <f>22886853/1686015215</f>
        <v>1.3574523406658582E-2</v>
      </c>
      <c r="F32" s="731">
        <f>28884081/1629882284</f>
        <v>1.7721574915897424E-2</v>
      </c>
      <c r="G32" s="743">
        <f>15661276/1522758127</f>
        <v>1.0284808678614263E-2</v>
      </c>
      <c r="I32" s="651">
        <v>2.3871096451951922E-2</v>
      </c>
      <c r="J32" s="652">
        <v>3.2383367417705866E-2</v>
      </c>
      <c r="K32" s="652">
        <v>3.5506758855341561E-2</v>
      </c>
      <c r="L32" s="653">
        <v>4.1706818566806476E-2</v>
      </c>
    </row>
    <row r="33" spans="1:12" ht="15" customHeight="1">
      <c r="A33" s="340">
        <v>21</v>
      </c>
      <c r="B33" s="341" t="s">
        <v>999</v>
      </c>
      <c r="C33" s="730">
        <v>2.41E-2</v>
      </c>
      <c r="D33" s="729">
        <v>2.0500000000000001E-2</v>
      </c>
      <c r="E33" s="729">
        <v>2.4199999999999999E-2</v>
      </c>
      <c r="F33" s="729">
        <v>0.03</v>
      </c>
      <c r="G33" s="718">
        <v>3.56E-2</v>
      </c>
      <c r="I33" s="651">
        <v>3.3211170692005902E-2</v>
      </c>
      <c r="J33" s="652">
        <v>3.7995556404880039E-2</v>
      </c>
      <c r="K33" s="652">
        <v>4.0650632765261471E-2</v>
      </c>
      <c r="L33" s="653">
        <v>4.4768195042700271E-2</v>
      </c>
    </row>
    <row r="34" spans="1:12">
      <c r="A34" s="340">
        <v>22</v>
      </c>
      <c r="B34" s="341" t="s">
        <v>15</v>
      </c>
      <c r="C34" s="730">
        <v>0.1047</v>
      </c>
      <c r="D34" s="729">
        <v>0.10639999999999999</v>
      </c>
      <c r="E34" s="729">
        <v>9.8699999999999996E-2</v>
      </c>
      <c r="F34" s="729">
        <v>9.9699999999999997E-2</v>
      </c>
      <c r="G34" s="718">
        <v>9.8100000000000007E-2</v>
      </c>
      <c r="I34" s="651">
        <v>0.10606337289064827</v>
      </c>
      <c r="J34" s="652">
        <v>9.8731863989680035E-2</v>
      </c>
      <c r="K34" s="652">
        <v>9.8676280063083432E-2</v>
      </c>
      <c r="L34" s="653">
        <v>9.5245395168892397E-2</v>
      </c>
    </row>
    <row r="35" spans="1:12" ht="15" customHeight="1">
      <c r="A35" s="340">
        <v>23</v>
      </c>
      <c r="B35" s="341" t="s">
        <v>16</v>
      </c>
      <c r="C35" s="730">
        <v>0.1651</v>
      </c>
      <c r="D35" s="729">
        <v>0.16889999999999999</v>
      </c>
      <c r="E35" s="729">
        <v>0.13589999999999999</v>
      </c>
      <c r="F35" s="729">
        <v>0.12230000000000001</v>
      </c>
      <c r="G35" s="718">
        <v>0.121</v>
      </c>
      <c r="I35" s="651">
        <v>0.16718068949181306</v>
      </c>
      <c r="J35" s="652">
        <v>0.13363272851405159</v>
      </c>
      <c r="K35" s="652">
        <v>0.11809891384951869</v>
      </c>
      <c r="L35" s="653">
        <v>0.11494656148985324</v>
      </c>
    </row>
    <row r="36" spans="1:12">
      <c r="A36" s="340">
        <v>24</v>
      </c>
      <c r="B36" s="341" t="s">
        <v>17</v>
      </c>
      <c r="C36" s="730">
        <v>9.7000000000000003E-3</v>
      </c>
      <c r="D36" s="729">
        <v>0.25</v>
      </c>
      <c r="E36" s="729">
        <v>0.17699999999999999</v>
      </c>
      <c r="F36" s="729">
        <v>0.13800000000000001</v>
      </c>
      <c r="G36" s="718">
        <v>6.2799999999999995E-2</v>
      </c>
      <c r="I36" s="651">
        <v>0.20085356712840197</v>
      </c>
      <c r="J36" s="652">
        <v>0.12773668784046888</v>
      </c>
      <c r="K36" s="652">
        <v>8.8302054385147599E-2</v>
      </c>
      <c r="L36" s="653">
        <v>1.61E-2</v>
      </c>
    </row>
    <row r="37" spans="1:12" ht="15" customHeight="1">
      <c r="A37" s="333"/>
      <c r="B37" s="334" t="s">
        <v>18</v>
      </c>
      <c r="C37" s="209"/>
      <c r="D37" s="209"/>
      <c r="E37" s="209"/>
      <c r="F37" s="209"/>
      <c r="G37" s="210"/>
      <c r="I37" s="635"/>
      <c r="J37" s="209"/>
      <c r="K37" s="209"/>
      <c r="L37" s="210"/>
    </row>
    <row r="38" spans="1:12" ht="15" customHeight="1">
      <c r="A38" s="340">
        <v>25</v>
      </c>
      <c r="B38" s="341" t="s">
        <v>19</v>
      </c>
      <c r="C38" s="730">
        <v>0.15390000000000001</v>
      </c>
      <c r="D38" s="730">
        <v>0.1338</v>
      </c>
      <c r="E38" s="730">
        <v>0.1288</v>
      </c>
      <c r="F38" s="730">
        <v>0.14560000000000001</v>
      </c>
      <c r="G38" s="719">
        <v>0.1105</v>
      </c>
      <c r="I38" s="654">
        <v>0.13224218771062179</v>
      </c>
      <c r="J38" s="655">
        <v>0.12482751523173331</v>
      </c>
      <c r="K38" s="655">
        <v>0.14015702748192332</v>
      </c>
      <c r="L38" s="656">
        <v>0.10553155570945096</v>
      </c>
    </row>
    <row r="39" spans="1:12" ht="15" customHeight="1">
      <c r="A39" s="340">
        <v>26</v>
      </c>
      <c r="B39" s="341" t="s">
        <v>20</v>
      </c>
      <c r="C39" s="730">
        <v>0.27389999999999998</v>
      </c>
      <c r="D39" s="730">
        <v>0.28139999999999998</v>
      </c>
      <c r="E39" s="730">
        <v>0.2379</v>
      </c>
      <c r="F39" s="730">
        <v>0.20399999999999999</v>
      </c>
      <c r="G39" s="719">
        <v>0.1484</v>
      </c>
      <c r="I39" s="654">
        <v>0.27629870187215017</v>
      </c>
      <c r="J39" s="655">
        <v>0.23418379388086483</v>
      </c>
      <c r="K39" s="655">
        <v>0.20049307317463336</v>
      </c>
      <c r="L39" s="656">
        <v>0.14544167620875656</v>
      </c>
    </row>
    <row r="40" spans="1:12" ht="15" customHeight="1">
      <c r="A40" s="340">
        <v>27</v>
      </c>
      <c r="B40" s="342" t="s">
        <v>21</v>
      </c>
      <c r="C40" s="730">
        <v>9.5200000000000007E-2</v>
      </c>
      <c r="D40" s="730">
        <v>0.10299999999999999</v>
      </c>
      <c r="E40" s="730">
        <v>9.1200000000000003E-2</v>
      </c>
      <c r="F40" s="730">
        <v>7.3700000000000002E-2</v>
      </c>
      <c r="G40" s="719">
        <v>5.79E-2</v>
      </c>
      <c r="I40" s="654">
        <v>0.10219181016612465</v>
      </c>
      <c r="J40" s="655">
        <v>8.9523857496763184E-2</v>
      </c>
      <c r="K40" s="655">
        <v>7.2148819076422246E-2</v>
      </c>
      <c r="L40" s="656">
        <v>5.6661406683720661E-2</v>
      </c>
    </row>
    <row r="41" spans="1:12" ht="15" customHeight="1">
      <c r="A41" s="345"/>
      <c r="B41" s="334" t="s">
        <v>357</v>
      </c>
      <c r="C41" s="209"/>
      <c r="D41" s="209"/>
      <c r="E41" s="209"/>
      <c r="F41" s="209"/>
      <c r="G41" s="210"/>
      <c r="I41" s="635"/>
      <c r="J41" s="209"/>
      <c r="K41" s="209"/>
      <c r="L41" s="210"/>
    </row>
    <row r="42" spans="1:12" ht="15" customHeight="1">
      <c r="A42" s="340">
        <v>28</v>
      </c>
      <c r="B42" s="386" t="s">
        <v>341</v>
      </c>
      <c r="C42" s="732">
        <v>286397601.06285328</v>
      </c>
      <c r="D42" s="732">
        <v>304823527.32999998</v>
      </c>
      <c r="E42" s="732">
        <v>228900364.54000002</v>
      </c>
      <c r="F42" s="732">
        <v>262558416.68000001</v>
      </c>
      <c r="G42" s="344">
        <v>169189184.3245492</v>
      </c>
      <c r="I42" s="657">
        <v>253102321.96526882</v>
      </c>
      <c r="J42" s="657">
        <v>227422413.58679929</v>
      </c>
      <c r="K42" s="643">
        <v>189194327.39918065</v>
      </c>
      <c r="L42" s="643">
        <v>169189184.3245492</v>
      </c>
    </row>
    <row r="43" spans="1:12">
      <c r="A43" s="340">
        <v>29</v>
      </c>
      <c r="B43" s="341" t="s">
        <v>342</v>
      </c>
      <c r="C43" s="732">
        <v>155335520.8722477</v>
      </c>
      <c r="D43" s="733">
        <v>132521210.6609405</v>
      </c>
      <c r="E43" s="733">
        <v>112292667.83324744</v>
      </c>
      <c r="F43" s="733">
        <v>103374574.01169285</v>
      </c>
      <c r="G43" s="343">
        <v>90968988.875303537</v>
      </c>
      <c r="I43" s="657">
        <v>119163803.34261332</v>
      </c>
      <c r="J43" s="657">
        <v>117655519.6043977</v>
      </c>
      <c r="K43" s="642">
        <v>116937133.12561239</v>
      </c>
      <c r="L43" s="642">
        <v>90968988.875303537</v>
      </c>
    </row>
    <row r="44" spans="1:12">
      <c r="A44" s="381">
        <v>30</v>
      </c>
      <c r="B44" s="382" t="s">
        <v>340</v>
      </c>
      <c r="C44" s="728">
        <v>1.8437354151494734</v>
      </c>
      <c r="D44" s="734">
        <v>2.3001867082990977</v>
      </c>
      <c r="E44" s="735">
        <v>2.0384266306675776</v>
      </c>
      <c r="F44" s="734">
        <v>2.5398742310686728</v>
      </c>
      <c r="G44" s="742">
        <v>1.859855610316463</v>
      </c>
      <c r="I44" s="658">
        <v>2.1239866038646209</v>
      </c>
      <c r="J44" s="659">
        <v>1.9329515041153986</v>
      </c>
      <c r="K44" s="655">
        <v>1.6179148773550869</v>
      </c>
      <c r="L44" s="655">
        <v>1.859855610316463</v>
      </c>
    </row>
    <row r="45" spans="1:12">
      <c r="A45" s="381"/>
      <c r="B45" s="334" t="s">
        <v>454</v>
      </c>
      <c r="C45" s="209"/>
      <c r="D45" s="209"/>
      <c r="E45" s="209"/>
      <c r="F45" s="209"/>
      <c r="G45" s="210"/>
      <c r="I45" s="635"/>
      <c r="J45" s="209"/>
      <c r="K45" s="209"/>
      <c r="L45" s="210"/>
    </row>
    <row r="46" spans="1:12">
      <c r="A46" s="381">
        <v>31</v>
      </c>
      <c r="B46" s="382" t="s">
        <v>461</v>
      </c>
      <c r="C46" s="383">
        <v>1727302081.0853016</v>
      </c>
      <c r="D46" s="384">
        <v>1662866748.7295167</v>
      </c>
      <c r="E46" s="384">
        <v>1619600342.7434216</v>
      </c>
      <c r="F46" s="384">
        <v>1563403920.9416251</v>
      </c>
      <c r="G46" s="385">
        <v>1325351979.807194</v>
      </c>
      <c r="I46" s="660">
        <v>1636746781.3146591</v>
      </c>
      <c r="J46" s="661">
        <v>1592112802.0434217</v>
      </c>
      <c r="K46" s="644">
        <v>1550796936.0216255</v>
      </c>
      <c r="L46" s="644">
        <v>1383622416.4300005</v>
      </c>
    </row>
    <row r="47" spans="1:12">
      <c r="A47" s="381">
        <v>32</v>
      </c>
      <c r="B47" s="382" t="s">
        <v>474</v>
      </c>
      <c r="C47" s="383">
        <v>1301909354.2163918</v>
      </c>
      <c r="D47" s="384">
        <v>1309431695.3216999</v>
      </c>
      <c r="E47" s="384">
        <v>1257343908.0587311</v>
      </c>
      <c r="F47" s="384">
        <v>1193959299.353611</v>
      </c>
      <c r="G47" s="385">
        <v>1103286470.4075336</v>
      </c>
      <c r="I47" s="660">
        <v>1302558651.2794161</v>
      </c>
      <c r="J47" s="661">
        <v>1233142259.7309997</v>
      </c>
      <c r="K47" s="644">
        <v>1176047953.6276989</v>
      </c>
      <c r="L47" s="644">
        <v>1135121484.5826097</v>
      </c>
    </row>
    <row r="48" spans="1:12" ht="15" thickBot="1">
      <c r="A48" s="74">
        <v>33</v>
      </c>
      <c r="B48" s="164" t="s">
        <v>488</v>
      </c>
      <c r="C48" s="752">
        <v>1.3267452726191911</v>
      </c>
      <c r="D48" s="740">
        <v>1.269914845249706</v>
      </c>
      <c r="E48" s="740">
        <v>1.2881124506691206</v>
      </c>
      <c r="F48" s="740">
        <v>1.3094281536967174</v>
      </c>
      <c r="G48" s="741">
        <v>1.2012763822959176</v>
      </c>
      <c r="I48" s="662">
        <v>1.2565628270995648</v>
      </c>
      <c r="J48" s="663">
        <v>1.2911022953594411</v>
      </c>
      <c r="K48" s="664">
        <v>1.3186511070725955</v>
      </c>
      <c r="L48" s="664">
        <v>1.2189201202008488</v>
      </c>
    </row>
    <row r="49" spans="1:2">
      <c r="A49" s="15"/>
    </row>
    <row r="50" spans="1:2" ht="41.4">
      <c r="B50" s="17" t="s">
        <v>956</v>
      </c>
    </row>
    <row r="51" spans="1:2" ht="69">
      <c r="B51" s="248" t="s">
        <v>356</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7"/>
  <sheetViews>
    <sheetView showGridLines="0" zoomScale="80" zoomScaleNormal="80" workbookViewId="0">
      <selection activeCell="H14" sqref="H14:H16"/>
    </sheetView>
  </sheetViews>
  <sheetFormatPr defaultColWidth="9.21875" defaultRowHeight="12"/>
  <cols>
    <col min="1" max="1" width="11.77734375" style="392" bestFit="1" customWidth="1"/>
    <col min="2" max="2" width="105.21875" style="392" bestFit="1" customWidth="1"/>
    <col min="3" max="3" width="25.33203125" style="392" customWidth="1"/>
    <col min="4" max="4" width="21" style="392" customWidth="1"/>
    <col min="5" max="5" width="17.33203125" style="392" bestFit="1" customWidth="1"/>
    <col min="6" max="6" width="20.33203125" style="392" customWidth="1"/>
    <col min="7" max="7" width="30.44140625" style="392" customWidth="1"/>
    <col min="8" max="8" width="19.21875" style="392" customWidth="1"/>
    <col min="9" max="16384" width="9.21875" style="392"/>
  </cols>
  <sheetData>
    <row r="1" spans="1:8" ht="13.8">
      <c r="A1" s="391" t="s">
        <v>109</v>
      </c>
      <c r="B1" s="310" t="str">
        <f>Info!C2</f>
        <v>სს "კრედობანკი"</v>
      </c>
    </row>
    <row r="2" spans="1:8">
      <c r="A2" s="391" t="s">
        <v>110</v>
      </c>
      <c r="B2" s="394">
        <f>'1. key ratios'!B2</f>
        <v>45016</v>
      </c>
    </row>
    <row r="3" spans="1:8">
      <c r="A3" s="393" t="s">
        <v>494</v>
      </c>
    </row>
    <row r="5" spans="1:8">
      <c r="A5" s="855" t="s">
        <v>495</v>
      </c>
      <c r="B5" s="856"/>
      <c r="C5" s="861" t="s">
        <v>496</v>
      </c>
      <c r="D5" s="862"/>
      <c r="E5" s="862"/>
      <c r="F5" s="862"/>
      <c r="G5" s="862"/>
      <c r="H5" s="863"/>
    </row>
    <row r="6" spans="1:8">
      <c r="A6" s="857"/>
      <c r="B6" s="858"/>
      <c r="C6" s="864"/>
      <c r="D6" s="865"/>
      <c r="E6" s="865"/>
      <c r="F6" s="865"/>
      <c r="G6" s="865"/>
      <c r="H6" s="866"/>
    </row>
    <row r="7" spans="1:8" ht="24">
      <c r="A7" s="859"/>
      <c r="B7" s="860"/>
      <c r="C7" s="503" t="s">
        <v>497</v>
      </c>
      <c r="D7" s="503" t="s">
        <v>498</v>
      </c>
      <c r="E7" s="503" t="s">
        <v>499</v>
      </c>
      <c r="F7" s="503" t="s">
        <v>500</v>
      </c>
      <c r="G7" s="503" t="s">
        <v>681</v>
      </c>
      <c r="H7" s="503" t="s">
        <v>67</v>
      </c>
    </row>
    <row r="8" spans="1:8">
      <c r="A8" s="499">
        <v>1</v>
      </c>
      <c r="B8" s="498" t="s">
        <v>135</v>
      </c>
      <c r="C8" s="679">
        <f>45906243.23+13004.74</f>
        <v>45919247.969999999</v>
      </c>
      <c r="D8" s="679"/>
      <c r="E8" s="679">
        <v>3039275</v>
      </c>
      <c r="F8" s="679">
        <v>19301237</v>
      </c>
      <c r="G8" s="679">
        <v>53898715.32</v>
      </c>
      <c r="H8" s="679">
        <f t="shared" ref="H8:H21" si="0">SUM(C8:G8)</f>
        <v>122158475.28999999</v>
      </c>
    </row>
    <row r="9" spans="1:8">
      <c r="A9" s="499">
        <v>2</v>
      </c>
      <c r="B9" s="498" t="s">
        <v>136</v>
      </c>
      <c r="C9" s="679"/>
      <c r="D9" s="679"/>
      <c r="E9" s="679"/>
      <c r="F9" s="679"/>
      <c r="G9" s="679"/>
      <c r="H9" s="679">
        <f t="shared" si="0"/>
        <v>0</v>
      </c>
    </row>
    <row r="10" spans="1:8">
      <c r="A10" s="499">
        <v>3</v>
      </c>
      <c r="B10" s="498" t="s">
        <v>137</v>
      </c>
      <c r="C10" s="679"/>
      <c r="D10" s="679">
        <v>26133134.25</v>
      </c>
      <c r="E10" s="679"/>
      <c r="F10" s="679"/>
      <c r="G10" s="679"/>
      <c r="H10" s="679">
        <f t="shared" si="0"/>
        <v>26133134.25</v>
      </c>
    </row>
    <row r="11" spans="1:8">
      <c r="A11" s="499">
        <v>4</v>
      </c>
      <c r="B11" s="498" t="s">
        <v>138</v>
      </c>
      <c r="C11" s="679"/>
      <c r="D11" s="679"/>
      <c r="E11" s="679"/>
      <c r="F11" s="679"/>
      <c r="G11" s="679"/>
      <c r="H11" s="679">
        <f t="shared" si="0"/>
        <v>0</v>
      </c>
    </row>
    <row r="12" spans="1:8">
      <c r="A12" s="499">
        <v>5</v>
      </c>
      <c r="B12" s="498" t="s">
        <v>995</v>
      </c>
      <c r="C12" s="679"/>
      <c r="D12" s="679"/>
      <c r="E12" s="679"/>
      <c r="F12" s="679"/>
      <c r="G12" s="679"/>
      <c r="H12" s="679">
        <f t="shared" si="0"/>
        <v>0</v>
      </c>
    </row>
    <row r="13" spans="1:8">
      <c r="A13" s="499">
        <v>6</v>
      </c>
      <c r="B13" s="498" t="s">
        <v>139</v>
      </c>
      <c r="C13" s="679">
        <v>105889352.80000001</v>
      </c>
      <c r="D13" s="679"/>
      <c r="E13" s="679"/>
      <c r="F13" s="679"/>
      <c r="G13" s="679"/>
      <c r="H13" s="679">
        <f t="shared" si="0"/>
        <v>105889352.80000001</v>
      </c>
    </row>
    <row r="14" spans="1:8">
      <c r="A14" s="499">
        <v>7</v>
      </c>
      <c r="B14" s="498" t="s">
        <v>72</v>
      </c>
      <c r="C14" s="679"/>
      <c r="D14" s="679">
        <v>550737</v>
      </c>
      <c r="E14" s="679">
        <v>3758672</v>
      </c>
      <c r="F14" s="679">
        <v>15755275</v>
      </c>
      <c r="G14" s="679"/>
      <c r="H14" s="679">
        <f t="shared" si="0"/>
        <v>20064684</v>
      </c>
    </row>
    <row r="15" spans="1:8">
      <c r="A15" s="499">
        <v>8</v>
      </c>
      <c r="B15" s="500" t="s">
        <v>73</v>
      </c>
      <c r="C15" s="679">
        <v>16076611</v>
      </c>
      <c r="D15" s="679">
        <f>304698271.8-20</f>
        <v>304698251.80000001</v>
      </c>
      <c r="E15" s="679">
        <v>1079728685</v>
      </c>
      <c r="F15" s="679">
        <v>252262293</v>
      </c>
      <c r="G15" s="679">
        <v>416493</v>
      </c>
      <c r="H15" s="679">
        <f t="shared" si="0"/>
        <v>1653182333.8</v>
      </c>
    </row>
    <row r="16" spans="1:8">
      <c r="A16" s="499">
        <v>9</v>
      </c>
      <c r="B16" s="498" t="s">
        <v>996</v>
      </c>
      <c r="C16" s="679">
        <v>232401</v>
      </c>
      <c r="D16" s="679">
        <v>1921473</v>
      </c>
      <c r="E16" s="679">
        <v>28989185</v>
      </c>
      <c r="F16" s="679">
        <v>59819834</v>
      </c>
      <c r="G16" s="679">
        <v>0</v>
      </c>
      <c r="H16" s="679">
        <f t="shared" si="0"/>
        <v>90962893</v>
      </c>
    </row>
    <row r="17" spans="1:8">
      <c r="A17" s="499">
        <v>10</v>
      </c>
      <c r="B17" s="502" t="s">
        <v>515</v>
      </c>
      <c r="C17" s="679">
        <v>2174025</v>
      </c>
      <c r="D17" s="679">
        <v>287159</v>
      </c>
      <c r="E17" s="679">
        <v>1277176</v>
      </c>
      <c r="F17" s="679">
        <v>1024108</v>
      </c>
      <c r="G17" s="679">
        <v>212368</v>
      </c>
      <c r="H17" s="679">
        <f t="shared" si="0"/>
        <v>4974836</v>
      </c>
    </row>
    <row r="18" spans="1:8">
      <c r="A18" s="499">
        <v>11</v>
      </c>
      <c r="B18" s="498" t="s">
        <v>69</v>
      </c>
      <c r="C18" s="679"/>
      <c r="D18" s="679"/>
      <c r="E18" s="679"/>
      <c r="F18" s="679"/>
      <c r="G18" s="679"/>
      <c r="H18" s="679">
        <f t="shared" si="0"/>
        <v>0</v>
      </c>
    </row>
    <row r="19" spans="1:8">
      <c r="A19" s="499">
        <v>12</v>
      </c>
      <c r="B19" s="498" t="s">
        <v>70</v>
      </c>
      <c r="C19" s="679"/>
      <c r="D19" s="679"/>
      <c r="E19" s="679"/>
      <c r="F19" s="679"/>
      <c r="G19" s="679"/>
      <c r="H19" s="679">
        <f t="shared" si="0"/>
        <v>0</v>
      </c>
    </row>
    <row r="20" spans="1:8">
      <c r="A20" s="501">
        <v>13</v>
      </c>
      <c r="B20" s="500" t="s">
        <v>71</v>
      </c>
      <c r="C20" s="679"/>
      <c r="D20" s="679"/>
      <c r="E20" s="679"/>
      <c r="F20" s="679"/>
      <c r="G20" s="679"/>
      <c r="H20" s="679">
        <f t="shared" si="0"/>
        <v>0</v>
      </c>
    </row>
    <row r="21" spans="1:8">
      <c r="A21" s="499">
        <v>14</v>
      </c>
      <c r="B21" s="498" t="s">
        <v>501</v>
      </c>
      <c r="C21" s="745">
        <v>77880894.669999987</v>
      </c>
      <c r="D21" s="745">
        <v>24156588</v>
      </c>
      <c r="E21" s="745">
        <v>8420150</v>
      </c>
      <c r="F21" s="745"/>
      <c r="G21" s="745">
        <v>37588515.24000001</v>
      </c>
      <c r="H21" s="679">
        <f t="shared" si="0"/>
        <v>148046147.91</v>
      </c>
    </row>
    <row r="22" spans="1:8">
      <c r="A22" s="497">
        <v>15</v>
      </c>
      <c r="B22" s="496" t="s">
        <v>67</v>
      </c>
      <c r="C22" s="679">
        <f t="shared" ref="C22:H22" si="1">SUM(C18:C21)+SUM(C8:C16)</f>
        <v>245998507.44</v>
      </c>
      <c r="D22" s="679">
        <f t="shared" si="1"/>
        <v>357460184.05000001</v>
      </c>
      <c r="E22" s="679">
        <f t="shared" si="1"/>
        <v>1123935967</v>
      </c>
      <c r="F22" s="679">
        <f t="shared" si="1"/>
        <v>347138639</v>
      </c>
      <c r="G22" s="679">
        <f t="shared" si="1"/>
        <v>91903723.560000002</v>
      </c>
      <c r="H22" s="679">
        <f t="shared" si="1"/>
        <v>2166437021.0499997</v>
      </c>
    </row>
    <row r="26" spans="1:8" ht="36">
      <c r="B26" s="409" t="s">
        <v>680</v>
      </c>
      <c r="E26" s="683"/>
      <c r="G26" s="682"/>
    </row>
    <row r="27" spans="1:8">
      <c r="G27" s="683"/>
      <c r="H27" s="683"/>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8"/>
  <sheetViews>
    <sheetView showGridLines="0" topLeftCell="B1" zoomScale="80" zoomScaleNormal="80" workbookViewId="0">
      <selection activeCell="C29" sqref="C29"/>
    </sheetView>
  </sheetViews>
  <sheetFormatPr defaultColWidth="9.21875" defaultRowHeight="12"/>
  <cols>
    <col min="1" max="1" width="11.77734375" style="395" bestFit="1" customWidth="1"/>
    <col min="2" max="2" width="86.77734375" style="392" customWidth="1"/>
    <col min="3" max="4" width="31.5546875" style="392" customWidth="1"/>
    <col min="5" max="7" width="22.21875" style="392" customWidth="1"/>
    <col min="8" max="8" width="41.44140625" style="392" customWidth="1"/>
    <col min="9" max="16384" width="9.21875" style="392"/>
  </cols>
  <sheetData>
    <row r="1" spans="1:8" ht="13.8">
      <c r="A1" s="391" t="s">
        <v>109</v>
      </c>
      <c r="B1" s="310" t="str">
        <f>Info!C2</f>
        <v>სს "კრედობანკი"</v>
      </c>
      <c r="C1" s="518"/>
      <c r="D1" s="518"/>
      <c r="E1" s="518"/>
      <c r="F1" s="518"/>
      <c r="G1" s="518"/>
      <c r="H1" s="518"/>
    </row>
    <row r="2" spans="1:8">
      <c r="A2" s="391" t="s">
        <v>110</v>
      </c>
      <c r="B2" s="394">
        <f>'1. key ratios'!B2</f>
        <v>45016</v>
      </c>
      <c r="C2" s="518"/>
      <c r="D2" s="518"/>
      <c r="E2" s="518"/>
      <c r="F2" s="518"/>
      <c r="G2" s="518"/>
      <c r="H2" s="518"/>
    </row>
    <row r="3" spans="1:8">
      <c r="A3" s="393" t="s">
        <v>502</v>
      </c>
      <c r="B3" s="518"/>
      <c r="C3" s="518"/>
      <c r="D3" s="518"/>
      <c r="E3" s="518"/>
      <c r="F3" s="518"/>
      <c r="G3" s="518"/>
      <c r="H3" s="518"/>
    </row>
    <row r="4" spans="1:8">
      <c r="A4" s="519"/>
      <c r="B4" s="518"/>
      <c r="C4" s="517" t="s">
        <v>503</v>
      </c>
      <c r="D4" s="517" t="s">
        <v>504</v>
      </c>
      <c r="E4" s="517" t="s">
        <v>505</v>
      </c>
      <c r="F4" s="517" t="s">
        <v>506</v>
      </c>
      <c r="G4" s="517" t="s">
        <v>507</v>
      </c>
      <c r="H4" s="517" t="s">
        <v>508</v>
      </c>
    </row>
    <row r="5" spans="1:8" ht="34.049999999999997" customHeight="1">
      <c r="A5" s="855" t="s">
        <v>871</v>
      </c>
      <c r="B5" s="856"/>
      <c r="C5" s="869" t="s">
        <v>597</v>
      </c>
      <c r="D5" s="869"/>
      <c r="E5" s="869" t="s">
        <v>870</v>
      </c>
      <c r="F5" s="867" t="s">
        <v>869</v>
      </c>
      <c r="G5" s="867" t="s">
        <v>512</v>
      </c>
      <c r="H5" s="515" t="s">
        <v>868</v>
      </c>
    </row>
    <row r="6" spans="1:8" ht="24">
      <c r="A6" s="859"/>
      <c r="B6" s="860"/>
      <c r="C6" s="516" t="s">
        <v>513</v>
      </c>
      <c r="D6" s="516" t="s">
        <v>514</v>
      </c>
      <c r="E6" s="869"/>
      <c r="F6" s="868"/>
      <c r="G6" s="868"/>
      <c r="H6" s="515" t="s">
        <v>867</v>
      </c>
    </row>
    <row r="7" spans="1:8">
      <c r="A7" s="511">
        <v>1</v>
      </c>
      <c r="B7" s="510" t="s">
        <v>135</v>
      </c>
      <c r="C7" s="681"/>
      <c r="D7" s="681">
        <v>122158475.28999999</v>
      </c>
      <c r="E7" s="681"/>
      <c r="F7" s="681"/>
      <c r="G7" s="681"/>
      <c r="H7" s="684">
        <f t="shared" ref="H7:H20" si="0">C7+D7-E7-F7</f>
        <v>122158475.28999999</v>
      </c>
    </row>
    <row r="8" spans="1:8" ht="24">
      <c r="A8" s="511">
        <v>2</v>
      </c>
      <c r="B8" s="510" t="s">
        <v>136</v>
      </c>
      <c r="C8" s="681"/>
      <c r="D8" s="681">
        <v>0</v>
      </c>
      <c r="E8" s="681"/>
      <c r="F8" s="681"/>
      <c r="G8" s="681"/>
      <c r="H8" s="684">
        <f t="shared" si="0"/>
        <v>0</v>
      </c>
    </row>
    <row r="9" spans="1:8">
      <c r="A9" s="511">
        <v>3</v>
      </c>
      <c r="B9" s="510" t="s">
        <v>137</v>
      </c>
      <c r="C9" s="681"/>
      <c r="D9" s="681">
        <v>26133134.25</v>
      </c>
      <c r="E9" s="681"/>
      <c r="F9" s="681"/>
      <c r="G9" s="681"/>
      <c r="H9" s="684">
        <f t="shared" si="0"/>
        <v>26133134.25</v>
      </c>
    </row>
    <row r="10" spans="1:8">
      <c r="A10" s="511">
        <v>4</v>
      </c>
      <c r="B10" s="510" t="s">
        <v>138</v>
      </c>
      <c r="C10" s="681"/>
      <c r="D10" s="681">
        <v>0</v>
      </c>
      <c r="E10" s="681"/>
      <c r="F10" s="681"/>
      <c r="G10" s="681"/>
      <c r="H10" s="684">
        <f t="shared" si="0"/>
        <v>0</v>
      </c>
    </row>
    <row r="11" spans="1:8">
      <c r="A11" s="511">
        <v>5</v>
      </c>
      <c r="B11" s="510" t="s">
        <v>995</v>
      </c>
      <c r="C11" s="681"/>
      <c r="D11" s="681">
        <v>0</v>
      </c>
      <c r="E11" s="681"/>
      <c r="F11" s="681"/>
      <c r="G11" s="681"/>
      <c r="H11" s="684">
        <f t="shared" si="0"/>
        <v>0</v>
      </c>
    </row>
    <row r="12" spans="1:8">
      <c r="A12" s="511">
        <v>6</v>
      </c>
      <c r="B12" s="510" t="s">
        <v>139</v>
      </c>
      <c r="C12" s="681"/>
      <c r="D12" s="681">
        <v>105889352.80000001</v>
      </c>
      <c r="E12" s="681"/>
      <c r="F12" s="681"/>
      <c r="G12" s="681"/>
      <c r="H12" s="684">
        <f t="shared" si="0"/>
        <v>105889352.80000001</v>
      </c>
    </row>
    <row r="13" spans="1:8">
      <c r="A13" s="511">
        <v>7</v>
      </c>
      <c r="B13" s="510" t="s">
        <v>72</v>
      </c>
      <c r="C13" s="681"/>
      <c r="D13" s="681">
        <v>20129920.647938307</v>
      </c>
      <c r="E13" s="681">
        <v>65236.780142720585</v>
      </c>
      <c r="F13" s="681"/>
      <c r="G13" s="711"/>
      <c r="H13" s="684">
        <f t="shared" si="0"/>
        <v>20064683.867795587</v>
      </c>
    </row>
    <row r="14" spans="1:8">
      <c r="A14" s="511">
        <v>8</v>
      </c>
      <c r="B14" s="512" t="s">
        <v>73</v>
      </c>
      <c r="C14" s="681">
        <v>15344144</v>
      </c>
      <c r="D14" s="711">
        <f>1680568818.0119</f>
        <v>1680568818.0118999</v>
      </c>
      <c r="E14" s="681">
        <v>42730627.524939008</v>
      </c>
      <c r="F14" s="681"/>
      <c r="G14" s="711">
        <v>15549877</v>
      </c>
      <c r="H14" s="684">
        <f t="shared" si="0"/>
        <v>1653182334.4869609</v>
      </c>
    </row>
    <row r="15" spans="1:8">
      <c r="A15" s="511">
        <v>9</v>
      </c>
      <c r="B15" s="510" t="s">
        <v>996</v>
      </c>
      <c r="C15" s="681">
        <v>23955</v>
      </c>
      <c r="D15" s="681">
        <v>91760664.93243587</v>
      </c>
      <c r="E15" s="681">
        <v>821727.92717215419</v>
      </c>
      <c r="F15" s="681"/>
      <c r="G15" s="711"/>
      <c r="H15" s="684">
        <f t="shared" si="0"/>
        <v>90962892.005263716</v>
      </c>
    </row>
    <row r="16" spans="1:8">
      <c r="A16" s="511">
        <v>10</v>
      </c>
      <c r="B16" s="514" t="s">
        <v>515</v>
      </c>
      <c r="C16" s="681">
        <v>14970284</v>
      </c>
      <c r="D16" s="681">
        <v>3398616</v>
      </c>
      <c r="E16" s="681">
        <v>13394064</v>
      </c>
      <c r="F16" s="681"/>
      <c r="G16" s="711">
        <v>15549877</v>
      </c>
      <c r="H16" s="684">
        <f t="shared" si="0"/>
        <v>4974836</v>
      </c>
    </row>
    <row r="17" spans="1:8">
      <c r="A17" s="511">
        <v>11</v>
      </c>
      <c r="B17" s="510" t="s">
        <v>69</v>
      </c>
      <c r="C17" s="681"/>
      <c r="D17" s="681"/>
      <c r="E17" s="681"/>
      <c r="F17" s="681"/>
      <c r="G17" s="681"/>
      <c r="H17" s="684">
        <f t="shared" si="0"/>
        <v>0</v>
      </c>
    </row>
    <row r="18" spans="1:8">
      <c r="A18" s="511">
        <v>12</v>
      </c>
      <c r="B18" s="510" t="s">
        <v>70</v>
      </c>
      <c r="C18" s="681"/>
      <c r="D18" s="681"/>
      <c r="E18" s="681"/>
      <c r="F18" s="681"/>
      <c r="G18" s="681"/>
      <c r="H18" s="684">
        <f t="shared" si="0"/>
        <v>0</v>
      </c>
    </row>
    <row r="19" spans="1:8">
      <c r="A19" s="513">
        <v>13</v>
      </c>
      <c r="B19" s="512" t="s">
        <v>71</v>
      </c>
      <c r="C19" s="681"/>
      <c r="D19" s="681"/>
      <c r="E19" s="681"/>
      <c r="F19" s="681"/>
      <c r="G19" s="681"/>
      <c r="H19" s="684">
        <f t="shared" si="0"/>
        <v>0</v>
      </c>
    </row>
    <row r="20" spans="1:8">
      <c r="A20" s="511">
        <v>14</v>
      </c>
      <c r="B20" s="510" t="s">
        <v>501</v>
      </c>
      <c r="C20" s="711"/>
      <c r="D20" s="711">
        <v>172048443.21622092</v>
      </c>
      <c r="E20" s="711">
        <v>3747820</v>
      </c>
      <c r="F20" s="681"/>
      <c r="G20" s="681"/>
      <c r="H20" s="684">
        <f t="shared" si="0"/>
        <v>168300623.21622092</v>
      </c>
    </row>
    <row r="21" spans="1:8" s="396" customFormat="1">
      <c r="A21" s="509">
        <v>15</v>
      </c>
      <c r="B21" s="508" t="s">
        <v>67</v>
      </c>
      <c r="C21" s="680">
        <f t="shared" ref="C21:H21" si="1">SUM(C7:C15)+SUM(C17:C20)</f>
        <v>15368099</v>
      </c>
      <c r="D21" s="680">
        <f t="shared" si="1"/>
        <v>2218688809.1484952</v>
      </c>
      <c r="E21" s="680">
        <f t="shared" si="1"/>
        <v>47365412.232253879</v>
      </c>
      <c r="F21" s="680">
        <f t="shared" si="1"/>
        <v>0</v>
      </c>
      <c r="G21" s="680">
        <f t="shared" si="1"/>
        <v>15549877</v>
      </c>
      <c r="H21" s="684">
        <f t="shared" si="1"/>
        <v>2186691495.9162412</v>
      </c>
    </row>
    <row r="22" spans="1:8">
      <c r="A22" s="507">
        <v>16</v>
      </c>
      <c r="B22" s="506" t="s">
        <v>516</v>
      </c>
      <c r="C22" s="681">
        <f>C14+C15</f>
        <v>15368099</v>
      </c>
      <c r="D22" s="681">
        <v>1792459404</v>
      </c>
      <c r="E22" s="681">
        <v>43617591.814989217</v>
      </c>
      <c r="F22" s="681"/>
      <c r="G22" s="681">
        <v>15549877</v>
      </c>
      <c r="H22" s="504">
        <f>C22+D22-E22-F22</f>
        <v>1764209911.1850107</v>
      </c>
    </row>
    <row r="23" spans="1:8">
      <c r="A23" s="507">
        <v>17</v>
      </c>
      <c r="B23" s="506" t="s">
        <v>517</v>
      </c>
      <c r="C23" s="681"/>
      <c r="D23" s="681">
        <v>48473647</v>
      </c>
      <c r="E23" s="681"/>
      <c r="F23" s="681"/>
      <c r="G23" s="681"/>
      <c r="H23" s="504">
        <f>C23+D23-E23-F23</f>
        <v>48473647</v>
      </c>
    </row>
    <row r="24" spans="1:8">
      <c r="H24" s="746"/>
    </row>
    <row r="25" spans="1:8">
      <c r="D25" s="682"/>
      <c r="H25" s="682"/>
    </row>
    <row r="26" spans="1:8" ht="42.45" customHeight="1">
      <c r="B26" s="409" t="s">
        <v>680</v>
      </c>
      <c r="D26" s="683"/>
      <c r="E26" s="682"/>
      <c r="H26" s="683"/>
    </row>
    <row r="27" spans="1:8">
      <c r="E27" s="682"/>
    </row>
    <row r="28" spans="1:8">
      <c r="E28" s="683"/>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topLeftCell="C5" zoomScaleNormal="100" workbookViewId="0">
      <selection activeCell="G31" sqref="G31"/>
    </sheetView>
  </sheetViews>
  <sheetFormatPr defaultColWidth="9.21875" defaultRowHeight="12"/>
  <cols>
    <col min="1" max="1" width="11" style="392" bestFit="1" customWidth="1"/>
    <col min="2" max="2" width="93.44140625" style="392" customWidth="1"/>
    <col min="3" max="4" width="35" style="392" customWidth="1"/>
    <col min="5" max="7" width="22" style="392" customWidth="1"/>
    <col min="8" max="8" width="42.21875" style="392" bestFit="1" customWidth="1"/>
    <col min="9" max="16384" width="9.21875" style="392"/>
  </cols>
  <sheetData>
    <row r="1" spans="1:8" ht="13.8">
      <c r="A1" s="391" t="s">
        <v>109</v>
      </c>
      <c r="B1" s="310" t="str">
        <f>Info!C2</f>
        <v>სს "კრედობანკი"</v>
      </c>
      <c r="C1" s="518"/>
      <c r="D1" s="518"/>
      <c r="E1" s="518"/>
      <c r="F1" s="518"/>
      <c r="G1" s="518"/>
      <c r="H1" s="518"/>
    </row>
    <row r="2" spans="1:8">
      <c r="A2" s="391" t="s">
        <v>110</v>
      </c>
      <c r="B2" s="394">
        <f>'1. key ratios'!B2</f>
        <v>45016</v>
      </c>
      <c r="C2" s="518"/>
      <c r="D2" s="518"/>
      <c r="E2" s="518"/>
      <c r="F2" s="518"/>
      <c r="G2" s="518"/>
      <c r="H2" s="518"/>
    </row>
    <row r="3" spans="1:8">
      <c r="A3" s="393" t="s">
        <v>518</v>
      </c>
      <c r="B3" s="518"/>
      <c r="C3" s="518"/>
      <c r="D3" s="518"/>
      <c r="E3" s="518"/>
      <c r="F3" s="518"/>
      <c r="G3" s="518"/>
      <c r="H3" s="518"/>
    </row>
    <row r="4" spans="1:8">
      <c r="A4" s="518"/>
      <c r="B4" s="518"/>
      <c r="C4" s="517" t="s">
        <v>503</v>
      </c>
      <c r="D4" s="517" t="s">
        <v>504</v>
      </c>
      <c r="E4" s="517" t="s">
        <v>505</v>
      </c>
      <c r="F4" s="517" t="s">
        <v>506</v>
      </c>
      <c r="G4" s="517" t="s">
        <v>507</v>
      </c>
      <c r="H4" s="517" t="s">
        <v>508</v>
      </c>
    </row>
    <row r="5" spans="1:8" ht="41.55" customHeight="1">
      <c r="A5" s="855" t="s">
        <v>873</v>
      </c>
      <c r="B5" s="856"/>
      <c r="C5" s="870" t="s">
        <v>597</v>
      </c>
      <c r="D5" s="871"/>
      <c r="E5" s="867" t="s">
        <v>870</v>
      </c>
      <c r="F5" s="867" t="s">
        <v>869</v>
      </c>
      <c r="G5" s="867" t="s">
        <v>512</v>
      </c>
      <c r="H5" s="515" t="s">
        <v>868</v>
      </c>
    </row>
    <row r="6" spans="1:8" ht="24">
      <c r="A6" s="859"/>
      <c r="B6" s="860"/>
      <c r="C6" s="516" t="s">
        <v>513</v>
      </c>
      <c r="D6" s="516" t="s">
        <v>514</v>
      </c>
      <c r="E6" s="868"/>
      <c r="F6" s="868"/>
      <c r="G6" s="868"/>
      <c r="H6" s="515" t="s">
        <v>867</v>
      </c>
    </row>
    <row r="7" spans="1:8">
      <c r="A7" s="505">
        <v>1</v>
      </c>
      <c r="B7" s="521" t="s">
        <v>519</v>
      </c>
      <c r="C7" s="736">
        <v>117893.21302097203</v>
      </c>
      <c r="D7" s="737">
        <v>148121446.24076313</v>
      </c>
      <c r="E7" s="737">
        <v>517347.454058017</v>
      </c>
      <c r="F7" s="505"/>
      <c r="G7" s="737">
        <v>174796.83000000007</v>
      </c>
      <c r="H7" s="504">
        <f t="shared" ref="H7:H34" si="0">C7+D7-E7-F7</f>
        <v>147721991.99972609</v>
      </c>
    </row>
    <row r="8" spans="1:8">
      <c r="A8" s="505">
        <v>2</v>
      </c>
      <c r="B8" s="521" t="s">
        <v>520</v>
      </c>
      <c r="C8" s="736">
        <v>56263.689999999995</v>
      </c>
      <c r="D8" s="737">
        <v>141004294.49600428</v>
      </c>
      <c r="E8" s="737">
        <v>150608.60972382614</v>
      </c>
      <c r="F8" s="505"/>
      <c r="G8" s="737">
        <v>28731.190000000002</v>
      </c>
      <c r="H8" s="504">
        <f t="shared" si="0"/>
        <v>140909949.57628044</v>
      </c>
    </row>
    <row r="9" spans="1:8">
      <c r="A9" s="505">
        <v>3</v>
      </c>
      <c r="B9" s="521" t="s">
        <v>872</v>
      </c>
      <c r="C9" s="686">
        <v>32162.58009413621</v>
      </c>
      <c r="D9" s="685">
        <v>6303317.9550978849</v>
      </c>
      <c r="E9" s="685">
        <v>138229.21563288043</v>
      </c>
      <c r="F9" s="505"/>
      <c r="G9" s="737">
        <v>76504.76999999999</v>
      </c>
      <c r="H9" s="504">
        <f t="shared" si="0"/>
        <v>6197251.3195591411</v>
      </c>
    </row>
    <row r="10" spans="1:8">
      <c r="A10" s="505">
        <v>4</v>
      </c>
      <c r="B10" s="521" t="s">
        <v>521</v>
      </c>
      <c r="C10" s="687"/>
      <c r="D10" s="685">
        <v>11420634.214367671</v>
      </c>
      <c r="E10" s="685">
        <v>37554.288944936838</v>
      </c>
      <c r="F10" s="505"/>
      <c r="G10" s="737"/>
      <c r="H10" s="504">
        <f t="shared" ref="H10:H31" si="1">C11+D10-E10-F10</f>
        <v>11386072.378545493</v>
      </c>
    </row>
    <row r="11" spans="1:8">
      <c r="A11" s="505">
        <v>5</v>
      </c>
      <c r="B11" s="521" t="s">
        <v>522</v>
      </c>
      <c r="C11" s="686">
        <v>2992.4531227587413</v>
      </c>
      <c r="D11" s="685">
        <v>25034176.079903472</v>
      </c>
      <c r="E11" s="685">
        <v>169577.45605243192</v>
      </c>
      <c r="F11" s="505"/>
      <c r="G11" s="737">
        <v>7328.1299999999992</v>
      </c>
      <c r="H11" s="504">
        <f t="shared" si="1"/>
        <v>24879998.69124376</v>
      </c>
    </row>
    <row r="12" spans="1:8">
      <c r="A12" s="505">
        <v>6</v>
      </c>
      <c r="B12" s="521" t="s">
        <v>523</v>
      </c>
      <c r="C12" s="686">
        <v>15400.067392723344</v>
      </c>
      <c r="D12" s="685">
        <v>7976610.3034006283</v>
      </c>
      <c r="E12" s="685">
        <v>125043.38903913624</v>
      </c>
      <c r="F12" s="505"/>
      <c r="G12" s="737">
        <v>23415.11</v>
      </c>
      <c r="H12" s="504">
        <f t="shared" si="1"/>
        <v>7898884.7504090564</v>
      </c>
    </row>
    <row r="13" spans="1:8">
      <c r="A13" s="505">
        <v>7</v>
      </c>
      <c r="B13" s="521" t="s">
        <v>524</v>
      </c>
      <c r="C13" s="686">
        <v>47317.836047564706</v>
      </c>
      <c r="D13" s="685">
        <v>3536947.4477084926</v>
      </c>
      <c r="E13" s="685">
        <v>123186.42790173787</v>
      </c>
      <c r="F13" s="505"/>
      <c r="G13" s="737">
        <v>14185.400000000001</v>
      </c>
      <c r="H13" s="504">
        <f t="shared" si="1"/>
        <v>4663872.5274121752</v>
      </c>
    </row>
    <row r="14" spans="1:8">
      <c r="A14" s="505">
        <v>8</v>
      </c>
      <c r="B14" s="521" t="s">
        <v>525</v>
      </c>
      <c r="C14" s="686">
        <v>1250111.5076054207</v>
      </c>
      <c r="D14" s="685">
        <v>129477531.97614983</v>
      </c>
      <c r="E14" s="685">
        <v>3290998.7378448616</v>
      </c>
      <c r="F14" s="505"/>
      <c r="G14" s="737">
        <v>1216023.4799999997</v>
      </c>
      <c r="H14" s="504">
        <f t="shared" si="1"/>
        <v>126441036.74744317</v>
      </c>
    </row>
    <row r="15" spans="1:8">
      <c r="A15" s="505">
        <v>9</v>
      </c>
      <c r="B15" s="521" t="s">
        <v>526</v>
      </c>
      <c r="C15" s="686">
        <v>254503.50913819842</v>
      </c>
      <c r="D15" s="685">
        <v>24586682.154636264</v>
      </c>
      <c r="E15" s="685">
        <v>571252.09052169439</v>
      </c>
      <c r="F15" s="505"/>
      <c r="G15" s="737">
        <v>121366.00999999998</v>
      </c>
      <c r="H15" s="504">
        <f t="shared" si="1"/>
        <v>24077535.36379825</v>
      </c>
    </row>
    <row r="16" spans="1:8">
      <c r="A16" s="505">
        <v>10</v>
      </c>
      <c r="B16" s="521" t="s">
        <v>527</v>
      </c>
      <c r="C16" s="686">
        <v>62105.299683678248</v>
      </c>
      <c r="D16" s="685">
        <v>11747286.357424924</v>
      </c>
      <c r="E16" s="685">
        <v>228767.12868734612</v>
      </c>
      <c r="F16" s="505"/>
      <c r="G16" s="737">
        <v>81756.94</v>
      </c>
      <c r="H16" s="504">
        <f t="shared" si="1"/>
        <v>11597967.971169338</v>
      </c>
    </row>
    <row r="17" spans="1:8">
      <c r="A17" s="505">
        <v>11</v>
      </c>
      <c r="B17" s="521" t="s">
        <v>528</v>
      </c>
      <c r="C17" s="686">
        <v>79448.742431759325</v>
      </c>
      <c r="D17" s="685">
        <v>6760355.0145456409</v>
      </c>
      <c r="E17" s="685">
        <v>205355.53608652955</v>
      </c>
      <c r="F17" s="505"/>
      <c r="G17" s="737">
        <v>45824.07</v>
      </c>
      <c r="H17" s="504">
        <f t="shared" si="1"/>
        <v>6954207.2920564273</v>
      </c>
    </row>
    <row r="18" spans="1:8">
      <c r="A18" s="505">
        <v>12</v>
      </c>
      <c r="B18" s="521" t="s">
        <v>529</v>
      </c>
      <c r="C18" s="686">
        <v>399207.81359731557</v>
      </c>
      <c r="D18" s="685">
        <v>103313036.62367421</v>
      </c>
      <c r="E18" s="685">
        <v>1830305.6978081984</v>
      </c>
      <c r="F18" s="505"/>
      <c r="G18" s="737">
        <v>513859.9200000001</v>
      </c>
      <c r="H18" s="504">
        <f t="shared" si="1"/>
        <v>101736979.62820707</v>
      </c>
    </row>
    <row r="19" spans="1:8">
      <c r="A19" s="505">
        <v>13</v>
      </c>
      <c r="B19" s="521" t="s">
        <v>530</v>
      </c>
      <c r="C19" s="686">
        <v>254248.70234104767</v>
      </c>
      <c r="D19" s="685">
        <v>16800704.46844238</v>
      </c>
      <c r="E19" s="685">
        <v>487687.3870809052</v>
      </c>
      <c r="F19" s="505"/>
      <c r="G19" s="737">
        <v>113767.59</v>
      </c>
      <c r="H19" s="504">
        <f t="shared" si="1"/>
        <v>16370968.552429913</v>
      </c>
    </row>
    <row r="20" spans="1:8">
      <c r="A20" s="505">
        <v>14</v>
      </c>
      <c r="B20" s="521" t="s">
        <v>531</v>
      </c>
      <c r="C20" s="686">
        <v>57951.471068436629</v>
      </c>
      <c r="D20" s="685">
        <v>49806440.847000502</v>
      </c>
      <c r="E20" s="685">
        <v>714970.11672471312</v>
      </c>
      <c r="F20" s="505"/>
      <c r="G20" s="737">
        <v>75057.45</v>
      </c>
      <c r="H20" s="504">
        <f t="shared" si="1"/>
        <v>49274314.602413945</v>
      </c>
    </row>
    <row r="21" spans="1:8">
      <c r="A21" s="505">
        <v>15</v>
      </c>
      <c r="B21" s="521" t="s">
        <v>532</v>
      </c>
      <c r="C21" s="686">
        <v>182843.87213815461</v>
      </c>
      <c r="D21" s="685">
        <v>29719310.654940613</v>
      </c>
      <c r="E21" s="685">
        <v>1208417.0401554012</v>
      </c>
      <c r="F21" s="505"/>
      <c r="G21" s="737">
        <v>200006.77999999994</v>
      </c>
      <c r="H21" s="504">
        <f t="shared" si="1"/>
        <v>28592669.390418772</v>
      </c>
    </row>
    <row r="22" spans="1:8">
      <c r="A22" s="505">
        <v>16</v>
      </c>
      <c r="B22" s="521" t="s">
        <v>533</v>
      </c>
      <c r="C22" s="686">
        <v>81775.775633557147</v>
      </c>
      <c r="D22" s="685">
        <v>7661152.2219398916</v>
      </c>
      <c r="E22" s="685">
        <v>212625.66853914419</v>
      </c>
      <c r="F22" s="505"/>
      <c r="G22" s="737">
        <v>16692.289999999997</v>
      </c>
      <c r="H22" s="504">
        <f t="shared" si="1"/>
        <v>7448877.2507528495</v>
      </c>
    </row>
    <row r="23" spans="1:8">
      <c r="A23" s="505">
        <v>17</v>
      </c>
      <c r="B23" s="521" t="s">
        <v>534</v>
      </c>
      <c r="C23" s="686">
        <v>350.69735210182625</v>
      </c>
      <c r="D23" s="685">
        <v>743056.01471414336</v>
      </c>
      <c r="E23" s="685">
        <v>10995.073328865592</v>
      </c>
      <c r="F23" s="505"/>
      <c r="G23" s="737">
        <v>14101.46</v>
      </c>
      <c r="H23" s="504">
        <f t="shared" si="1"/>
        <v>740854.82658178906</v>
      </c>
    </row>
    <row r="24" spans="1:8">
      <c r="A24" s="505">
        <v>18</v>
      </c>
      <c r="B24" s="521" t="s">
        <v>535</v>
      </c>
      <c r="C24" s="686">
        <v>8793.8851965112335</v>
      </c>
      <c r="D24" s="685">
        <v>2980001.7449510791</v>
      </c>
      <c r="E24" s="685">
        <v>65882.52898094496</v>
      </c>
      <c r="F24" s="505"/>
      <c r="G24" s="737">
        <v>5742.67</v>
      </c>
      <c r="H24" s="504">
        <f t="shared" si="1"/>
        <v>2946025.6613080329</v>
      </c>
    </row>
    <row r="25" spans="1:8">
      <c r="A25" s="505">
        <v>19</v>
      </c>
      <c r="B25" s="521" t="s">
        <v>536</v>
      </c>
      <c r="C25" s="686">
        <v>31906.445337898607</v>
      </c>
      <c r="D25" s="685">
        <v>4243188.2202138202</v>
      </c>
      <c r="E25" s="685">
        <v>86781.921790525012</v>
      </c>
      <c r="F25" s="505"/>
      <c r="G25" s="737">
        <v>9757.0499999999993</v>
      </c>
      <c r="H25" s="504">
        <f t="shared" si="1"/>
        <v>4195627.069104095</v>
      </c>
    </row>
    <row r="26" spans="1:8">
      <c r="A26" s="505">
        <v>20</v>
      </c>
      <c r="B26" s="521" t="s">
        <v>537</v>
      </c>
      <c r="C26" s="686">
        <v>39220.770680799898</v>
      </c>
      <c r="D26" s="685">
        <v>13471416.368334539</v>
      </c>
      <c r="E26" s="685">
        <v>169790.52567518366</v>
      </c>
      <c r="F26" s="505"/>
      <c r="G26" s="737">
        <v>80704.359999999986</v>
      </c>
      <c r="H26" s="504">
        <f t="shared" si="1"/>
        <v>13302757.217238391</v>
      </c>
    </row>
    <row r="27" spans="1:8">
      <c r="A27" s="505">
        <v>21</v>
      </c>
      <c r="B27" s="521" t="s">
        <v>538</v>
      </c>
      <c r="C27" s="686">
        <v>1131.3745790356411</v>
      </c>
      <c r="D27" s="685">
        <v>2053175.3653952014</v>
      </c>
      <c r="E27" s="685">
        <v>20664.957641769935</v>
      </c>
      <c r="F27" s="505"/>
      <c r="G27" s="737">
        <v>6165.83</v>
      </c>
      <c r="H27" s="504">
        <f t="shared" si="1"/>
        <v>2035217.59594011</v>
      </c>
    </row>
    <row r="28" spans="1:8">
      <c r="A28" s="505">
        <v>22</v>
      </c>
      <c r="B28" s="521" t="s">
        <v>539</v>
      </c>
      <c r="C28" s="686">
        <v>2707.1881866785016</v>
      </c>
      <c r="D28" s="685">
        <v>676504.67448755167</v>
      </c>
      <c r="E28" s="685">
        <v>22566.920014244788</v>
      </c>
      <c r="F28" s="505"/>
      <c r="G28" s="737">
        <v>2662.34</v>
      </c>
      <c r="H28" s="504">
        <f t="shared" si="1"/>
        <v>4642091.7293694168</v>
      </c>
    </row>
    <row r="29" spans="1:8">
      <c r="A29" s="505">
        <v>23</v>
      </c>
      <c r="B29" s="521" t="s">
        <v>540</v>
      </c>
      <c r="C29" s="686">
        <v>3988153.9748961097</v>
      </c>
      <c r="D29" s="685">
        <v>376394023.10947102</v>
      </c>
      <c r="E29" s="685">
        <v>10422144.7338199</v>
      </c>
      <c r="F29" s="505"/>
      <c r="G29" s="737">
        <v>4114188.2100000018</v>
      </c>
      <c r="H29" s="504">
        <f t="shared" si="1"/>
        <v>372165707.28704488</v>
      </c>
    </row>
    <row r="30" spans="1:8">
      <c r="A30" s="505">
        <v>24</v>
      </c>
      <c r="B30" s="521" t="s">
        <v>541</v>
      </c>
      <c r="C30" s="686">
        <v>6193828.9113937756</v>
      </c>
      <c r="D30" s="685">
        <v>722166725.15738416</v>
      </c>
      <c r="E30" s="685">
        <v>17022392.5068442</v>
      </c>
      <c r="F30" s="505"/>
      <c r="G30" s="737">
        <v>6877898.6900000004</v>
      </c>
      <c r="H30" s="504">
        <f t="shared" si="1"/>
        <v>706694539.17131424</v>
      </c>
    </row>
    <row r="31" spans="1:8">
      <c r="A31" s="505">
        <v>25</v>
      </c>
      <c r="B31" s="521" t="s">
        <v>542</v>
      </c>
      <c r="C31" s="686">
        <v>1550206.5207742299</v>
      </c>
      <c r="D31" s="685">
        <v>138529875.77974749</v>
      </c>
      <c r="E31" s="685">
        <v>4036932.4126800438</v>
      </c>
      <c r="F31" s="505"/>
      <c r="G31" s="737">
        <v>1107436.9899999986</v>
      </c>
      <c r="H31" s="504">
        <f t="shared" si="1"/>
        <v>135150515.91859201</v>
      </c>
    </row>
    <row r="32" spans="1:8">
      <c r="A32" s="505">
        <v>26</v>
      </c>
      <c r="B32" s="521" t="s">
        <v>543</v>
      </c>
      <c r="C32" s="688">
        <v>657572.55152454041</v>
      </c>
      <c r="D32" s="685">
        <v>62112472.583081685</v>
      </c>
      <c r="E32" s="685">
        <v>1747514.3151236398</v>
      </c>
      <c r="F32" s="505"/>
      <c r="G32" s="737">
        <v>621903.43999999983</v>
      </c>
      <c r="H32" s="504">
        <f t="shared" si="0"/>
        <v>61022530.819482587</v>
      </c>
    </row>
    <row r="33" spans="1:8">
      <c r="A33" s="505">
        <v>27</v>
      </c>
      <c r="B33" s="505" t="s">
        <v>100</v>
      </c>
      <c r="C33" s="711"/>
      <c r="D33" s="737">
        <v>172048443.21622092</v>
      </c>
      <c r="E33" s="737">
        <v>3747820</v>
      </c>
      <c r="F33" s="505"/>
      <c r="G33" s="737"/>
      <c r="H33" s="504">
        <f t="shared" si="0"/>
        <v>168300623.21622092</v>
      </c>
    </row>
    <row r="34" spans="1:8">
      <c r="A34" s="505">
        <v>28</v>
      </c>
      <c r="B34" s="508" t="s">
        <v>67</v>
      </c>
      <c r="C34" s="680">
        <f>SUM(C7:C33)</f>
        <v>15368098.853237405</v>
      </c>
      <c r="D34" s="689">
        <f>SUM(D7:D33)</f>
        <v>2218688809.2900019</v>
      </c>
      <c r="E34" s="689">
        <f>SUM(E7:E33)</f>
        <v>47365412.140701078</v>
      </c>
      <c r="F34" s="508">
        <f>SUM(F7:F33)</f>
        <v>0</v>
      </c>
      <c r="G34" s="738">
        <f>SUM(G7:G33)</f>
        <v>15549876.999999998</v>
      </c>
      <c r="H34" s="504">
        <f t="shared" si="0"/>
        <v>2186691496.0025382</v>
      </c>
    </row>
    <row r="36" spans="1:8">
      <c r="B36" s="397"/>
      <c r="H36" s="747"/>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1"/>
  <sheetViews>
    <sheetView showGridLines="0" zoomScaleNormal="100" workbookViewId="0">
      <selection activeCell="C6" sqref="C6"/>
    </sheetView>
  </sheetViews>
  <sheetFormatPr defaultColWidth="9.21875" defaultRowHeight="12"/>
  <cols>
    <col min="1" max="1" width="11.77734375" style="392" bestFit="1" customWidth="1"/>
    <col min="2" max="2" width="108" style="392" bestFit="1" customWidth="1"/>
    <col min="3" max="3" width="35.5546875" style="392" customWidth="1"/>
    <col min="4" max="4" width="38.44140625" style="392" customWidth="1"/>
    <col min="5" max="16384" width="9.21875" style="392"/>
  </cols>
  <sheetData>
    <row r="1" spans="1:4" ht="13.8">
      <c r="A1" s="391" t="s">
        <v>109</v>
      </c>
      <c r="B1" s="310" t="str">
        <f>Info!C2</f>
        <v>სს "კრედობანკი"</v>
      </c>
    </row>
    <row r="2" spans="1:4">
      <c r="A2" s="391" t="s">
        <v>110</v>
      </c>
      <c r="B2" s="394">
        <f>'1. key ratios'!B2</f>
        <v>45016</v>
      </c>
    </row>
    <row r="3" spans="1:4">
      <c r="A3" s="393" t="s">
        <v>544</v>
      </c>
    </row>
    <row r="5" spans="1:4">
      <c r="A5" s="872" t="s">
        <v>884</v>
      </c>
      <c r="B5" s="872"/>
      <c r="C5" s="531" t="s">
        <v>563</v>
      </c>
      <c r="D5" s="531" t="s">
        <v>883</v>
      </c>
    </row>
    <row r="6" spans="1:4">
      <c r="A6" s="530">
        <v>1</v>
      </c>
      <c r="B6" s="523" t="s">
        <v>882</v>
      </c>
      <c r="C6" s="700">
        <v>41845385.500696287</v>
      </c>
      <c r="D6" s="525"/>
    </row>
    <row r="7" spans="1:4">
      <c r="A7" s="527">
        <v>2</v>
      </c>
      <c r="B7" s="523" t="s">
        <v>881</v>
      </c>
      <c r="C7" s="700">
        <f>SUM(C8:C9)</f>
        <v>31202857</v>
      </c>
      <c r="D7" s="525">
        <f>SUM(D8:D9)</f>
        <v>0</v>
      </c>
    </row>
    <row r="8" spans="1:4">
      <c r="A8" s="529">
        <v>2.1</v>
      </c>
      <c r="B8" s="528" t="s">
        <v>880</v>
      </c>
      <c r="C8" s="700">
        <v>3574521</v>
      </c>
      <c r="D8" s="525"/>
    </row>
    <row r="9" spans="1:4">
      <c r="A9" s="529">
        <v>2.2000000000000002</v>
      </c>
      <c r="B9" s="528" t="s">
        <v>879</v>
      </c>
      <c r="C9" s="700">
        <v>27628336</v>
      </c>
      <c r="D9" s="525"/>
    </row>
    <row r="10" spans="1:4">
      <c r="A10" s="530">
        <v>3</v>
      </c>
      <c r="B10" s="523" t="s">
        <v>878</v>
      </c>
      <c r="C10" s="700">
        <f>SUM(C11:C13)</f>
        <v>29122570</v>
      </c>
      <c r="D10" s="525">
        <f>SUM(D11:D13)</f>
        <v>0</v>
      </c>
    </row>
    <row r="11" spans="1:4">
      <c r="A11" s="529">
        <v>3.1</v>
      </c>
      <c r="B11" s="528" t="s">
        <v>545</v>
      </c>
      <c r="C11" s="739">
        <v>15549877</v>
      </c>
      <c r="D11" s="525"/>
    </row>
    <row r="12" spans="1:4">
      <c r="A12" s="529">
        <v>3.2</v>
      </c>
      <c r="B12" s="528" t="s">
        <v>877</v>
      </c>
      <c r="C12" s="700">
        <v>5857278</v>
      </c>
      <c r="D12" s="525"/>
    </row>
    <row r="13" spans="1:4">
      <c r="A13" s="529">
        <v>3.3</v>
      </c>
      <c r="B13" s="528" t="s">
        <v>876</v>
      </c>
      <c r="C13" s="700">
        <v>7715415</v>
      </c>
      <c r="D13" s="525"/>
    </row>
    <row r="14" spans="1:4">
      <c r="A14" s="527">
        <v>4</v>
      </c>
      <c r="B14" s="526" t="s">
        <v>875</v>
      </c>
      <c r="C14" s="700">
        <v>-308081</v>
      </c>
      <c r="D14" s="525"/>
    </row>
    <row r="15" spans="1:4">
      <c r="A15" s="524">
        <v>5</v>
      </c>
      <c r="B15" s="523" t="s">
        <v>874</v>
      </c>
      <c r="C15" s="701">
        <f>C6+C7-C10+C14</f>
        <v>43617591.500696287</v>
      </c>
      <c r="D15" s="522">
        <f>D6+D7-D10+D14</f>
        <v>0</v>
      </c>
    </row>
    <row r="17" spans="3:3">
      <c r="C17" s="682"/>
    </row>
    <row r="19" spans="3:3">
      <c r="C19" s="683"/>
    </row>
    <row r="20" spans="3:3">
      <c r="C20" s="683"/>
    </row>
    <row r="21" spans="3:3">
      <c r="C21" s="683"/>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election activeCell="C12" sqref="C12"/>
    </sheetView>
  </sheetViews>
  <sheetFormatPr defaultColWidth="9.21875" defaultRowHeight="12"/>
  <cols>
    <col min="1" max="1" width="11.77734375" style="518" bestFit="1" customWidth="1"/>
    <col min="2" max="2" width="128.88671875" style="518" bestFit="1" customWidth="1"/>
    <col min="3" max="3" width="37" style="518" customWidth="1"/>
    <col min="4" max="4" width="50.5546875" style="518" customWidth="1"/>
    <col min="5" max="16384" width="9.21875" style="518"/>
  </cols>
  <sheetData>
    <row r="1" spans="1:4" ht="13.8">
      <c r="A1" s="391" t="s">
        <v>109</v>
      </c>
      <c r="B1" s="310" t="str">
        <f>Info!C2</f>
        <v>სს "კრედობანკი"</v>
      </c>
    </row>
    <row r="2" spans="1:4">
      <c r="A2" s="391" t="s">
        <v>110</v>
      </c>
      <c r="B2" s="394">
        <f>'1. key ratios'!B2</f>
        <v>45016</v>
      </c>
    </row>
    <row r="3" spans="1:4">
      <c r="A3" s="393" t="s">
        <v>546</v>
      </c>
    </row>
    <row r="4" spans="1:4">
      <c r="A4" s="393"/>
    </row>
    <row r="5" spans="1:4" ht="15" customHeight="1">
      <c r="A5" s="873" t="s">
        <v>547</v>
      </c>
      <c r="B5" s="874"/>
      <c r="C5" s="877" t="s">
        <v>548</v>
      </c>
      <c r="D5" s="877" t="s">
        <v>549</v>
      </c>
    </row>
    <row r="6" spans="1:4">
      <c r="A6" s="875"/>
      <c r="B6" s="876"/>
      <c r="C6" s="877"/>
      <c r="D6" s="877"/>
    </row>
    <row r="7" spans="1:4">
      <c r="A7" s="508">
        <v>1</v>
      </c>
      <c r="B7" s="508" t="s">
        <v>550</v>
      </c>
      <c r="C7" s="681">
        <v>17521614</v>
      </c>
      <c r="D7" s="532"/>
    </row>
    <row r="8" spans="1:4">
      <c r="A8" s="505">
        <v>2</v>
      </c>
      <c r="B8" s="505" t="s">
        <v>551</v>
      </c>
      <c r="C8" s="681">
        <v>19812824.823972285</v>
      </c>
      <c r="D8" s="532"/>
    </row>
    <row r="9" spans="1:4">
      <c r="A9" s="505">
        <v>3</v>
      </c>
      <c r="B9" s="535" t="s">
        <v>552</v>
      </c>
      <c r="C9" s="681">
        <v>0</v>
      </c>
      <c r="D9" s="532"/>
    </row>
    <row r="10" spans="1:4">
      <c r="A10" s="505">
        <v>4</v>
      </c>
      <c r="B10" s="505" t="s">
        <v>553</v>
      </c>
      <c r="C10" s="681">
        <f>SUM(C11:C17)</f>
        <v>21966340.018529698</v>
      </c>
      <c r="D10" s="532"/>
    </row>
    <row r="11" spans="1:4">
      <c r="A11" s="505">
        <v>5</v>
      </c>
      <c r="B11" s="534" t="s">
        <v>885</v>
      </c>
      <c r="C11" s="681"/>
      <c r="D11" s="532"/>
    </row>
    <row r="12" spans="1:4">
      <c r="A12" s="505">
        <v>6</v>
      </c>
      <c r="B12" s="534" t="s">
        <v>554</v>
      </c>
      <c r="C12" s="711">
        <v>6414252.1585296998</v>
      </c>
      <c r="D12" s="532"/>
    </row>
    <row r="13" spans="1:4">
      <c r="A13" s="505">
        <v>7</v>
      </c>
      <c r="B13" s="534" t="s">
        <v>557</v>
      </c>
      <c r="C13" s="711">
        <v>15549877</v>
      </c>
      <c r="D13" s="532"/>
    </row>
    <row r="14" spans="1:4">
      <c r="A14" s="505">
        <v>8</v>
      </c>
      <c r="B14" s="534" t="s">
        <v>555</v>
      </c>
      <c r="C14" s="681"/>
      <c r="D14" s="505"/>
    </row>
    <row r="15" spans="1:4">
      <c r="A15" s="505">
        <v>9</v>
      </c>
      <c r="B15" s="534" t="s">
        <v>556</v>
      </c>
      <c r="C15" s="681"/>
      <c r="D15" s="505"/>
    </row>
    <row r="16" spans="1:4">
      <c r="A16" s="505">
        <v>10</v>
      </c>
      <c r="B16" s="534" t="s">
        <v>558</v>
      </c>
      <c r="C16" s="681"/>
      <c r="D16" s="505"/>
    </row>
    <row r="17" spans="1:4">
      <c r="A17" s="505">
        <v>11</v>
      </c>
      <c r="B17" s="534" t="s">
        <v>559</v>
      </c>
      <c r="C17" s="681">
        <v>2210.86</v>
      </c>
      <c r="D17" s="532"/>
    </row>
    <row r="18" spans="1:4">
      <c r="A18" s="508">
        <v>12</v>
      </c>
      <c r="B18" s="533" t="s">
        <v>560</v>
      </c>
      <c r="C18" s="680">
        <f>C7+C8+C9-C10</f>
        <v>15368098.805442587</v>
      </c>
      <c r="D18" s="532"/>
    </row>
    <row r="21" spans="1:4">
      <c r="B21" s="391"/>
    </row>
    <row r="22" spans="1:4">
      <c r="B22" s="391"/>
    </row>
    <row r="23" spans="1:4">
      <c r="B23" s="39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opLeftCell="K1" zoomScale="90" zoomScaleNormal="90" workbookViewId="0">
      <selection activeCell="T8" activeCellId="1" sqref="L8 T8"/>
    </sheetView>
  </sheetViews>
  <sheetFormatPr defaultColWidth="9.21875" defaultRowHeight="12"/>
  <cols>
    <col min="1" max="1" width="11.77734375" style="518" bestFit="1" customWidth="1"/>
    <col min="2" max="2" width="63.88671875" style="518" customWidth="1"/>
    <col min="3" max="3" width="15.5546875" style="518" customWidth="1"/>
    <col min="4" max="18" width="22.21875" style="518" customWidth="1"/>
    <col min="19" max="19" width="23.21875" style="518" bestFit="1" customWidth="1"/>
    <col min="20" max="26" width="22.21875" style="518" customWidth="1"/>
    <col min="27" max="27" width="23.21875" style="518" bestFit="1" customWidth="1"/>
    <col min="28" max="28" width="20" style="518" customWidth="1"/>
    <col min="29" max="16384" width="9.21875" style="518"/>
  </cols>
  <sheetData>
    <row r="1" spans="1:28" ht="13.8">
      <c r="A1" s="391" t="s">
        <v>109</v>
      </c>
      <c r="B1" s="310" t="str">
        <f>Info!C2</f>
        <v>სს "კრედობანკი"</v>
      </c>
    </row>
    <row r="2" spans="1:28">
      <c r="A2" s="391" t="s">
        <v>110</v>
      </c>
      <c r="B2" s="394">
        <f>'1. key ratios'!B2</f>
        <v>45016</v>
      </c>
      <c r="C2" s="519"/>
    </row>
    <row r="3" spans="1:28">
      <c r="A3" s="393" t="s">
        <v>561</v>
      </c>
    </row>
    <row r="5" spans="1:28" ht="15" customHeight="1">
      <c r="A5" s="878" t="s">
        <v>898</v>
      </c>
      <c r="B5" s="879"/>
      <c r="C5" s="870" t="s">
        <v>897</v>
      </c>
      <c r="D5" s="884"/>
      <c r="E5" s="884"/>
      <c r="F5" s="884"/>
      <c r="G5" s="884"/>
      <c r="H5" s="884"/>
      <c r="I5" s="884"/>
      <c r="J5" s="884"/>
      <c r="K5" s="884"/>
      <c r="L5" s="884"/>
      <c r="M5" s="884"/>
      <c r="N5" s="884"/>
      <c r="O5" s="884"/>
      <c r="P5" s="884"/>
      <c r="Q5" s="884"/>
      <c r="R5" s="884"/>
      <c r="S5" s="884"/>
      <c r="T5" s="546"/>
      <c r="U5" s="546"/>
      <c r="V5" s="546"/>
      <c r="W5" s="546"/>
      <c r="X5" s="546"/>
      <c r="Y5" s="546"/>
      <c r="Z5" s="546"/>
      <c r="AA5" s="545"/>
      <c r="AB5" s="538"/>
    </row>
    <row r="6" spans="1:28">
      <c r="A6" s="880"/>
      <c r="B6" s="881"/>
      <c r="C6" s="885" t="s">
        <v>67</v>
      </c>
      <c r="D6" s="887" t="s">
        <v>896</v>
      </c>
      <c r="E6" s="887"/>
      <c r="F6" s="887"/>
      <c r="G6" s="887"/>
      <c r="H6" s="888" t="s">
        <v>895</v>
      </c>
      <c r="I6" s="889"/>
      <c r="J6" s="889"/>
      <c r="K6" s="890"/>
      <c r="L6" s="543"/>
      <c r="M6" s="891" t="s">
        <v>894</v>
      </c>
      <c r="N6" s="891"/>
      <c r="O6" s="891"/>
      <c r="P6" s="891"/>
      <c r="Q6" s="891"/>
      <c r="R6" s="891"/>
      <c r="S6" s="868"/>
      <c r="T6" s="544"/>
      <c r="U6" s="871" t="s">
        <v>893</v>
      </c>
      <c r="V6" s="871"/>
      <c r="W6" s="871"/>
      <c r="X6" s="871"/>
      <c r="Y6" s="871"/>
      <c r="Z6" s="871"/>
      <c r="AA6" s="869"/>
      <c r="AB6" s="543"/>
    </row>
    <row r="7" spans="1:28" ht="24">
      <c r="A7" s="882"/>
      <c r="B7" s="883"/>
      <c r="C7" s="886"/>
      <c r="D7" s="542"/>
      <c r="E7" s="515" t="s">
        <v>562</v>
      </c>
      <c r="F7" s="515" t="s">
        <v>891</v>
      </c>
      <c r="G7" s="515" t="s">
        <v>892</v>
      </c>
      <c r="H7" s="541"/>
      <c r="I7" s="515" t="s">
        <v>562</v>
      </c>
      <c r="J7" s="515" t="s">
        <v>891</v>
      </c>
      <c r="K7" s="515" t="s">
        <v>892</v>
      </c>
      <c r="L7" s="540"/>
      <c r="M7" s="515" t="s">
        <v>562</v>
      </c>
      <c r="N7" s="515" t="s">
        <v>891</v>
      </c>
      <c r="O7" s="515" t="s">
        <v>890</v>
      </c>
      <c r="P7" s="515" t="s">
        <v>889</v>
      </c>
      <c r="Q7" s="515" t="s">
        <v>888</v>
      </c>
      <c r="R7" s="515" t="s">
        <v>887</v>
      </c>
      <c r="S7" s="515" t="s">
        <v>886</v>
      </c>
      <c r="T7" s="539"/>
      <c r="U7" s="515" t="s">
        <v>562</v>
      </c>
      <c r="V7" s="515" t="s">
        <v>891</v>
      </c>
      <c r="W7" s="515" t="s">
        <v>890</v>
      </c>
      <c r="X7" s="515" t="s">
        <v>889</v>
      </c>
      <c r="Y7" s="515" t="s">
        <v>888</v>
      </c>
      <c r="Z7" s="515" t="s">
        <v>887</v>
      </c>
      <c r="AA7" s="515" t="s">
        <v>886</v>
      </c>
      <c r="AB7" s="538"/>
    </row>
    <row r="8" spans="1:28">
      <c r="A8" s="537">
        <v>1</v>
      </c>
      <c r="B8" s="508" t="s">
        <v>563</v>
      </c>
      <c r="C8" s="680">
        <f>SUM(C9:C14)</f>
        <v>1807827503.6169314</v>
      </c>
      <c r="D8" s="680">
        <f t="shared" ref="D8:AA8" si="0">SUM(D9:D14)</f>
        <v>1704159994.1859713</v>
      </c>
      <c r="E8" s="680">
        <f t="shared" si="0"/>
        <v>7635349.6912038997</v>
      </c>
      <c r="F8" s="680">
        <f t="shared" si="0"/>
        <v>0</v>
      </c>
      <c r="G8" s="680">
        <f t="shared" si="0"/>
        <v>0</v>
      </c>
      <c r="H8" s="680">
        <f t="shared" si="0"/>
        <v>88299410.14772287</v>
      </c>
      <c r="I8" s="680">
        <f t="shared" si="0"/>
        <v>2017808.2110323966</v>
      </c>
      <c r="J8" s="680">
        <f t="shared" si="0"/>
        <v>12622493.337013803</v>
      </c>
      <c r="K8" s="680">
        <f t="shared" si="0"/>
        <v>0</v>
      </c>
      <c r="L8" s="680">
        <f t="shared" si="0"/>
        <v>14969017.747337442</v>
      </c>
      <c r="M8" s="680">
        <f t="shared" si="0"/>
        <v>35174.07439501855</v>
      </c>
      <c r="N8" s="680">
        <f t="shared" si="0"/>
        <v>187115.16592424668</v>
      </c>
      <c r="O8" s="680">
        <f t="shared" si="0"/>
        <v>14037816.055677589</v>
      </c>
      <c r="P8" s="680">
        <f t="shared" si="0"/>
        <v>0</v>
      </c>
      <c r="Q8" s="680">
        <f t="shared" si="0"/>
        <v>0</v>
      </c>
      <c r="R8" s="680">
        <f t="shared" si="0"/>
        <v>0</v>
      </c>
      <c r="S8" s="680">
        <f t="shared" si="0"/>
        <v>0</v>
      </c>
      <c r="T8" s="680">
        <f t="shared" si="0"/>
        <v>399081.53590000002</v>
      </c>
      <c r="U8" s="680">
        <f t="shared" si="0"/>
        <v>1828.27</v>
      </c>
      <c r="V8" s="680">
        <f t="shared" si="0"/>
        <v>0</v>
      </c>
      <c r="W8" s="680">
        <f t="shared" si="0"/>
        <v>1266.19</v>
      </c>
      <c r="X8" s="680">
        <f t="shared" si="0"/>
        <v>0</v>
      </c>
      <c r="Y8" s="680">
        <f t="shared" si="0"/>
        <v>0</v>
      </c>
      <c r="Z8" s="680">
        <f t="shared" si="0"/>
        <v>0</v>
      </c>
      <c r="AA8" s="680">
        <f t="shared" si="0"/>
        <v>0</v>
      </c>
    </row>
    <row r="9" spans="1:28">
      <c r="A9" s="505">
        <v>1.1000000000000001</v>
      </c>
      <c r="B9" s="527" t="s">
        <v>564</v>
      </c>
      <c r="C9" s="527"/>
      <c r="D9" s="505"/>
      <c r="E9" s="505"/>
      <c r="F9" s="505"/>
      <c r="G9" s="505"/>
      <c r="H9" s="505"/>
      <c r="I9" s="505"/>
      <c r="J9" s="505"/>
      <c r="K9" s="505"/>
      <c r="L9" s="505"/>
      <c r="M9" s="505"/>
      <c r="N9" s="505"/>
      <c r="O9" s="505"/>
      <c r="P9" s="505"/>
      <c r="Q9" s="505"/>
      <c r="R9" s="505"/>
      <c r="S9" s="505"/>
      <c r="T9" s="505"/>
      <c r="U9" s="505"/>
      <c r="V9" s="505"/>
      <c r="W9" s="505"/>
      <c r="X9" s="505"/>
      <c r="Y9" s="505"/>
      <c r="Z9" s="505"/>
      <c r="AA9" s="505"/>
    </row>
    <row r="10" spans="1:28">
      <c r="A10" s="505">
        <v>1.2</v>
      </c>
      <c r="B10" s="527" t="s">
        <v>565</v>
      </c>
      <c r="C10" s="527"/>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row>
    <row r="11" spans="1:28">
      <c r="A11" s="505">
        <v>1.3</v>
      </c>
      <c r="B11" s="527" t="s">
        <v>566</v>
      </c>
      <c r="C11" s="527"/>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row>
    <row r="12" spans="1:28">
      <c r="A12" s="505">
        <v>1.4</v>
      </c>
      <c r="B12" s="527" t="s">
        <v>567</v>
      </c>
      <c r="C12" s="527"/>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row>
    <row r="13" spans="1:28">
      <c r="A13" s="505">
        <v>1.5</v>
      </c>
      <c r="B13" s="527" t="s">
        <v>568</v>
      </c>
      <c r="C13" s="690">
        <f>D13+H13+L13+T13</f>
        <v>89219517.973601803</v>
      </c>
      <c r="D13" s="681">
        <f>85327216.7639776+E13</f>
        <v>85495946.883580521</v>
      </c>
      <c r="E13" s="681">
        <v>168730.11960291315</v>
      </c>
      <c r="F13" s="505"/>
      <c r="G13" s="505"/>
      <c r="H13" s="681">
        <v>3699319.5541212885</v>
      </c>
      <c r="I13" s="681"/>
      <c r="J13" s="681"/>
      <c r="K13" s="681"/>
      <c r="L13" s="505"/>
      <c r="M13" s="505"/>
      <c r="N13" s="505"/>
      <c r="O13" s="505"/>
      <c r="P13" s="505"/>
      <c r="Q13" s="505"/>
      <c r="R13" s="505"/>
      <c r="S13" s="505"/>
      <c r="T13" s="681">
        <v>24251.535899999999</v>
      </c>
      <c r="U13" s="681"/>
      <c r="V13" s="505"/>
      <c r="W13" s="505"/>
      <c r="X13" s="505"/>
      <c r="Y13" s="505"/>
      <c r="Z13" s="505"/>
      <c r="AA13" s="505"/>
    </row>
    <row r="14" spans="1:28">
      <c r="A14" s="505">
        <v>1.6</v>
      </c>
      <c r="B14" s="527" t="s">
        <v>569</v>
      </c>
      <c r="C14" s="690">
        <f>D14+H14+L14+T14</f>
        <v>1718607985.6433296</v>
      </c>
      <c r="D14" s="681">
        <f>1611197427.73079+E14</f>
        <v>1618664047.3023908</v>
      </c>
      <c r="E14" s="681">
        <v>7466619.5716009866</v>
      </c>
      <c r="F14" s="505"/>
      <c r="G14" s="505"/>
      <c r="H14" s="681">
        <f>69959789.0455554+I14+J14+K14</f>
        <v>84600090.593601584</v>
      </c>
      <c r="I14" s="681">
        <v>2017808.2110323966</v>
      </c>
      <c r="J14" s="681">
        <v>12622493.337013803</v>
      </c>
      <c r="K14" s="681"/>
      <c r="L14" s="681">
        <f>708912.451340588+M14+N14+O14+P14</f>
        <v>14969017.747337442</v>
      </c>
      <c r="M14" s="681">
        <v>35174.07439501855</v>
      </c>
      <c r="N14" s="711">
        <v>187115.16592424668</v>
      </c>
      <c r="O14" s="711">
        <v>14037816.055677589</v>
      </c>
      <c r="P14" s="711"/>
      <c r="Q14" s="505"/>
      <c r="R14" s="505"/>
      <c r="S14" s="505"/>
      <c r="T14" s="681">
        <v>374830</v>
      </c>
      <c r="U14" s="681">
        <v>1828.27</v>
      </c>
      <c r="V14" s="505"/>
      <c r="W14" s="505">
        <v>1266.19</v>
      </c>
      <c r="X14" s="712"/>
      <c r="Y14" s="505"/>
      <c r="Z14" s="505"/>
      <c r="AA14" s="505"/>
    </row>
    <row r="15" spans="1:28">
      <c r="A15" s="537">
        <v>2</v>
      </c>
      <c r="B15" s="508" t="s">
        <v>570</v>
      </c>
      <c r="C15" s="693">
        <f t="shared" ref="C15:C20" si="1">D15+H15+L15+T15</f>
        <v>48473647.25</v>
      </c>
      <c r="D15" s="692">
        <f>SUM(D16:D21)</f>
        <v>48473647.25</v>
      </c>
      <c r="E15" s="692">
        <f t="shared" ref="E15:AA15" si="2">SUM(E16:E21)</f>
        <v>0</v>
      </c>
      <c r="F15" s="692">
        <f t="shared" si="2"/>
        <v>0</v>
      </c>
      <c r="G15" s="692">
        <f t="shared" si="2"/>
        <v>0</v>
      </c>
      <c r="H15" s="692">
        <f t="shared" si="2"/>
        <v>0</v>
      </c>
      <c r="I15" s="692">
        <f t="shared" si="2"/>
        <v>0</v>
      </c>
      <c r="J15" s="692">
        <f t="shared" si="2"/>
        <v>0</v>
      </c>
      <c r="K15" s="692">
        <f t="shared" si="2"/>
        <v>0</v>
      </c>
      <c r="L15" s="692">
        <f t="shared" si="2"/>
        <v>0</v>
      </c>
      <c r="M15" s="692">
        <f t="shared" si="2"/>
        <v>0</v>
      </c>
      <c r="N15" s="692">
        <f t="shared" si="2"/>
        <v>0</v>
      </c>
      <c r="O15" s="692">
        <f t="shared" si="2"/>
        <v>0</v>
      </c>
      <c r="P15" s="692">
        <f t="shared" si="2"/>
        <v>0</v>
      </c>
      <c r="Q15" s="692">
        <f t="shared" si="2"/>
        <v>0</v>
      </c>
      <c r="R15" s="692">
        <f t="shared" si="2"/>
        <v>0</v>
      </c>
      <c r="S15" s="692">
        <f t="shared" si="2"/>
        <v>0</v>
      </c>
      <c r="T15" s="692">
        <f t="shared" si="2"/>
        <v>0</v>
      </c>
      <c r="U15" s="692">
        <f t="shared" si="2"/>
        <v>0</v>
      </c>
      <c r="V15" s="692">
        <f t="shared" si="2"/>
        <v>0</v>
      </c>
      <c r="W15" s="692">
        <f t="shared" si="2"/>
        <v>0</v>
      </c>
      <c r="X15" s="692">
        <f t="shared" si="2"/>
        <v>0</v>
      </c>
      <c r="Y15" s="692">
        <f t="shared" si="2"/>
        <v>0</v>
      </c>
      <c r="Z15" s="692">
        <f t="shared" si="2"/>
        <v>0</v>
      </c>
      <c r="AA15" s="692">
        <f t="shared" si="2"/>
        <v>0</v>
      </c>
    </row>
    <row r="16" spans="1:28">
      <c r="A16" s="505">
        <v>2.1</v>
      </c>
      <c r="B16" s="527" t="s">
        <v>564</v>
      </c>
      <c r="C16" s="690">
        <f t="shared" si="1"/>
        <v>0</v>
      </c>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row>
    <row r="17" spans="1:27">
      <c r="A17" s="505">
        <v>2.2000000000000002</v>
      </c>
      <c r="B17" s="527" t="s">
        <v>565</v>
      </c>
      <c r="C17" s="690">
        <f t="shared" si="1"/>
        <v>22340513</v>
      </c>
      <c r="D17" s="681">
        <v>22340513</v>
      </c>
      <c r="E17" s="681"/>
      <c r="F17" s="681"/>
      <c r="G17" s="681"/>
      <c r="H17" s="681"/>
      <c r="I17" s="681"/>
      <c r="J17" s="681"/>
      <c r="K17" s="681"/>
      <c r="L17" s="681"/>
      <c r="M17" s="681"/>
      <c r="N17" s="681"/>
      <c r="O17" s="681"/>
      <c r="P17" s="681"/>
      <c r="Q17" s="681"/>
      <c r="R17" s="681"/>
      <c r="S17" s="681"/>
      <c r="T17" s="681"/>
      <c r="U17" s="681"/>
      <c r="V17" s="681"/>
      <c r="W17" s="681"/>
      <c r="X17" s="681"/>
      <c r="Y17" s="681"/>
      <c r="Z17" s="681"/>
      <c r="AA17" s="681"/>
    </row>
    <row r="18" spans="1:27">
      <c r="A18" s="505">
        <v>2.2999999999999998</v>
      </c>
      <c r="B18" s="527" t="s">
        <v>566</v>
      </c>
      <c r="C18" s="690">
        <f t="shared" si="1"/>
        <v>26133134.25</v>
      </c>
      <c r="D18" s="681">
        <v>26133134.25</v>
      </c>
      <c r="E18" s="681"/>
      <c r="F18" s="681"/>
      <c r="G18" s="681"/>
      <c r="H18" s="681"/>
      <c r="I18" s="681"/>
      <c r="J18" s="681"/>
      <c r="K18" s="681"/>
      <c r="L18" s="681"/>
      <c r="M18" s="681"/>
      <c r="N18" s="681"/>
      <c r="O18" s="681"/>
      <c r="P18" s="681"/>
      <c r="Q18" s="681"/>
      <c r="R18" s="681"/>
      <c r="S18" s="681"/>
      <c r="T18" s="681"/>
      <c r="U18" s="681"/>
      <c r="V18" s="681"/>
      <c r="W18" s="681"/>
      <c r="X18" s="681"/>
      <c r="Y18" s="681"/>
      <c r="Z18" s="681"/>
      <c r="AA18" s="681"/>
    </row>
    <row r="19" spans="1:27">
      <c r="A19" s="505">
        <v>2.4</v>
      </c>
      <c r="B19" s="527" t="s">
        <v>567</v>
      </c>
      <c r="C19" s="690">
        <f t="shared" si="1"/>
        <v>0</v>
      </c>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row>
    <row r="20" spans="1:27">
      <c r="A20" s="505">
        <v>2.5</v>
      </c>
      <c r="B20" s="527" t="s">
        <v>568</v>
      </c>
      <c r="C20" s="690">
        <f t="shared" si="1"/>
        <v>0</v>
      </c>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681"/>
    </row>
    <row r="21" spans="1:27">
      <c r="A21" s="505">
        <v>2.6</v>
      </c>
      <c r="B21" s="527" t="s">
        <v>569</v>
      </c>
      <c r="C21" s="690">
        <f>D21+H21+L21+T21</f>
        <v>0</v>
      </c>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row>
    <row r="22" spans="1:27">
      <c r="A22" s="537">
        <v>3</v>
      </c>
      <c r="B22" s="508" t="s">
        <v>571</v>
      </c>
      <c r="C22" s="680">
        <f>C27+C28</f>
        <v>42925950.250000007</v>
      </c>
      <c r="D22" s="680"/>
      <c r="E22" s="536"/>
      <c r="F22" s="536"/>
      <c r="G22" s="536"/>
      <c r="H22" s="508"/>
      <c r="I22" s="536"/>
      <c r="J22" s="536"/>
      <c r="K22" s="536"/>
      <c r="L22" s="508"/>
      <c r="M22" s="536"/>
      <c r="N22" s="536"/>
      <c r="O22" s="536"/>
      <c r="P22" s="536"/>
      <c r="Q22" s="536"/>
      <c r="R22" s="536"/>
      <c r="S22" s="536"/>
      <c r="T22" s="508"/>
      <c r="U22" s="536"/>
      <c r="V22" s="536"/>
      <c r="W22" s="536"/>
      <c r="X22" s="536"/>
      <c r="Y22" s="536"/>
      <c r="Z22" s="536"/>
      <c r="AA22" s="536"/>
    </row>
    <row r="23" spans="1:27">
      <c r="A23" s="505">
        <v>3.1</v>
      </c>
      <c r="B23" s="527" t="s">
        <v>564</v>
      </c>
      <c r="C23" s="691"/>
      <c r="D23" s="680"/>
      <c r="E23" s="536"/>
      <c r="F23" s="536"/>
      <c r="G23" s="536"/>
      <c r="H23" s="508"/>
      <c r="I23" s="536"/>
      <c r="J23" s="536"/>
      <c r="K23" s="536"/>
      <c r="L23" s="508"/>
      <c r="M23" s="536"/>
      <c r="N23" s="536"/>
      <c r="O23" s="536"/>
      <c r="P23" s="536"/>
      <c r="Q23" s="536"/>
      <c r="R23" s="536"/>
      <c r="S23" s="536"/>
      <c r="T23" s="508"/>
      <c r="U23" s="536"/>
      <c r="V23" s="536"/>
      <c r="W23" s="536"/>
      <c r="X23" s="536"/>
      <c r="Y23" s="536"/>
      <c r="Z23" s="536"/>
      <c r="AA23" s="536"/>
    </row>
    <row r="24" spans="1:27">
      <c r="A24" s="505">
        <v>3.2</v>
      </c>
      <c r="B24" s="527" t="s">
        <v>565</v>
      </c>
      <c r="C24" s="691"/>
      <c r="D24" s="680"/>
      <c r="E24" s="536"/>
      <c r="F24" s="536"/>
      <c r="G24" s="536"/>
      <c r="H24" s="508"/>
      <c r="I24" s="536"/>
      <c r="J24" s="536"/>
      <c r="K24" s="536"/>
      <c r="L24" s="508"/>
      <c r="M24" s="536"/>
      <c r="N24" s="536"/>
      <c r="O24" s="536"/>
      <c r="P24" s="536"/>
      <c r="Q24" s="536"/>
      <c r="R24" s="536"/>
      <c r="S24" s="536"/>
      <c r="T24" s="508"/>
      <c r="U24" s="536"/>
      <c r="V24" s="536"/>
      <c r="W24" s="536"/>
      <c r="X24" s="536"/>
      <c r="Y24" s="536"/>
      <c r="Z24" s="536"/>
      <c r="AA24" s="536"/>
    </row>
    <row r="25" spans="1:27">
      <c r="A25" s="505">
        <v>3.3</v>
      </c>
      <c r="B25" s="527" t="s">
        <v>566</v>
      </c>
      <c r="C25" s="691"/>
      <c r="D25" s="680"/>
      <c r="E25" s="536"/>
      <c r="F25" s="536"/>
      <c r="G25" s="536"/>
      <c r="H25" s="508"/>
      <c r="I25" s="536"/>
      <c r="J25" s="536"/>
      <c r="K25" s="536"/>
      <c r="L25" s="508"/>
      <c r="M25" s="536"/>
      <c r="N25" s="536"/>
      <c r="O25" s="536"/>
      <c r="P25" s="536"/>
      <c r="Q25" s="536"/>
      <c r="R25" s="536"/>
      <c r="S25" s="536"/>
      <c r="T25" s="508"/>
      <c r="U25" s="536"/>
      <c r="V25" s="536"/>
      <c r="W25" s="536"/>
      <c r="X25" s="536"/>
      <c r="Y25" s="536"/>
      <c r="Z25" s="536"/>
      <c r="AA25" s="536"/>
    </row>
    <row r="26" spans="1:27">
      <c r="A26" s="505">
        <v>3.4</v>
      </c>
      <c r="B26" s="527" t="s">
        <v>567</v>
      </c>
      <c r="C26" s="691"/>
      <c r="D26" s="680"/>
      <c r="E26" s="536"/>
      <c r="F26" s="536"/>
      <c r="G26" s="536"/>
      <c r="H26" s="508"/>
      <c r="I26" s="536"/>
      <c r="J26" s="536"/>
      <c r="K26" s="536"/>
      <c r="L26" s="508"/>
      <c r="M26" s="536"/>
      <c r="N26" s="536"/>
      <c r="O26" s="536"/>
      <c r="P26" s="536"/>
      <c r="Q26" s="536"/>
      <c r="R26" s="536"/>
      <c r="S26" s="536"/>
      <c r="T26" s="508"/>
      <c r="U26" s="536"/>
      <c r="V26" s="536"/>
      <c r="W26" s="536"/>
      <c r="X26" s="536"/>
      <c r="Y26" s="536"/>
      <c r="Z26" s="536"/>
      <c r="AA26" s="536"/>
    </row>
    <row r="27" spans="1:27">
      <c r="A27" s="505">
        <v>3.5</v>
      </c>
      <c r="B27" s="527" t="s">
        <v>568</v>
      </c>
      <c r="C27" s="694">
        <f>D27</f>
        <v>10482552</v>
      </c>
      <c r="D27" s="681">
        <f>10144662+337890</f>
        <v>10482552</v>
      </c>
      <c r="E27" s="536"/>
      <c r="F27" s="536"/>
      <c r="G27" s="536"/>
      <c r="H27" s="508"/>
      <c r="I27" s="536"/>
      <c r="J27" s="536"/>
      <c r="K27" s="536"/>
      <c r="L27" s="508"/>
      <c r="M27" s="536"/>
      <c r="N27" s="536"/>
      <c r="O27" s="536"/>
      <c r="P27" s="536"/>
      <c r="Q27" s="536"/>
      <c r="R27" s="536"/>
      <c r="S27" s="536"/>
      <c r="T27" s="508"/>
      <c r="U27" s="536"/>
      <c r="V27" s="536"/>
      <c r="W27" s="536"/>
      <c r="X27" s="536"/>
      <c r="Y27" s="536"/>
      <c r="Z27" s="536"/>
      <c r="AA27" s="536"/>
    </row>
    <row r="28" spans="1:27">
      <c r="A28" s="505">
        <v>3.6</v>
      </c>
      <c r="B28" s="527" t="s">
        <v>569</v>
      </c>
      <c r="C28" s="694">
        <v>32443398.250000007</v>
      </c>
      <c r="D28" s="680"/>
      <c r="E28" s="536"/>
      <c r="F28" s="536"/>
      <c r="G28" s="536"/>
      <c r="H28" s="508"/>
      <c r="I28" s="536"/>
      <c r="J28" s="536"/>
      <c r="K28" s="536"/>
      <c r="L28" s="508"/>
      <c r="M28" s="536"/>
      <c r="N28" s="536"/>
      <c r="O28" s="536"/>
      <c r="P28" s="536"/>
      <c r="Q28" s="536"/>
      <c r="R28" s="536"/>
      <c r="S28" s="536"/>
      <c r="T28" s="508"/>
      <c r="U28" s="536"/>
      <c r="V28" s="536"/>
      <c r="W28" s="536"/>
      <c r="X28" s="536"/>
      <c r="Y28" s="536"/>
      <c r="Z28" s="536"/>
      <c r="AA28" s="536"/>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topLeftCell="O1" zoomScaleNormal="100" workbookViewId="0">
      <selection activeCell="W26" sqref="W26"/>
    </sheetView>
  </sheetViews>
  <sheetFormatPr defaultColWidth="9.21875" defaultRowHeight="12"/>
  <cols>
    <col min="1" max="1" width="11.77734375" style="518" bestFit="1" customWidth="1"/>
    <col min="2" max="2" width="90.21875" style="518" bestFit="1" customWidth="1"/>
    <col min="3" max="3" width="20.21875" style="518" customWidth="1"/>
    <col min="4" max="4" width="22.21875" style="518" customWidth="1"/>
    <col min="5" max="7" width="17.109375" style="518" customWidth="1"/>
    <col min="8" max="8" width="22.21875" style="518" customWidth="1"/>
    <col min="9" max="10" width="17.109375" style="518" customWidth="1"/>
    <col min="11" max="27" width="22.21875" style="518" customWidth="1"/>
    <col min="28" max="16384" width="9.21875" style="518"/>
  </cols>
  <sheetData>
    <row r="1" spans="1:27" ht="13.8">
      <c r="A1" s="391" t="s">
        <v>109</v>
      </c>
      <c r="B1" s="310" t="str">
        <f>Info!C2</f>
        <v>სს "კრედობანკი"</v>
      </c>
    </row>
    <row r="2" spans="1:27">
      <c r="A2" s="391" t="s">
        <v>110</v>
      </c>
      <c r="B2" s="394">
        <f>'1. key ratios'!B2</f>
        <v>45016</v>
      </c>
    </row>
    <row r="3" spans="1:27">
      <c r="A3" s="393" t="s">
        <v>572</v>
      </c>
      <c r="C3" s="520"/>
    </row>
    <row r="4" spans="1:27" ht="12.6" thickBot="1">
      <c r="A4" s="393"/>
      <c r="B4" s="520"/>
      <c r="C4" s="520"/>
    </row>
    <row r="5" spans="1:27" ht="13.5" customHeight="1">
      <c r="A5" s="896" t="s">
        <v>905</v>
      </c>
      <c r="B5" s="897"/>
      <c r="C5" s="893" t="s">
        <v>573</v>
      </c>
      <c r="D5" s="894"/>
      <c r="E5" s="894"/>
      <c r="F5" s="894"/>
      <c r="G5" s="894"/>
      <c r="H5" s="894"/>
      <c r="I5" s="894"/>
      <c r="J5" s="894"/>
      <c r="K5" s="894"/>
      <c r="L5" s="894"/>
      <c r="M5" s="894"/>
      <c r="N5" s="894"/>
      <c r="O5" s="894"/>
      <c r="P5" s="894"/>
      <c r="Q5" s="894"/>
      <c r="R5" s="894"/>
      <c r="S5" s="894"/>
      <c r="T5" s="894"/>
      <c r="U5" s="894"/>
      <c r="V5" s="894"/>
      <c r="W5" s="894"/>
      <c r="X5" s="894"/>
      <c r="Y5" s="894"/>
      <c r="Z5" s="894"/>
      <c r="AA5" s="895"/>
    </row>
    <row r="6" spans="1:27" ht="12" customHeight="1">
      <c r="A6" s="898"/>
      <c r="B6" s="899"/>
      <c r="C6" s="902" t="s">
        <v>67</v>
      </c>
      <c r="D6" s="867" t="s">
        <v>896</v>
      </c>
      <c r="E6" s="867"/>
      <c r="F6" s="867"/>
      <c r="G6" s="867"/>
      <c r="H6" s="888" t="s">
        <v>895</v>
      </c>
      <c r="I6" s="889"/>
      <c r="J6" s="889"/>
      <c r="K6" s="889"/>
      <c r="L6" s="544"/>
      <c r="M6" s="871" t="s">
        <v>894</v>
      </c>
      <c r="N6" s="871"/>
      <c r="O6" s="871"/>
      <c r="P6" s="871"/>
      <c r="Q6" s="871"/>
      <c r="R6" s="871"/>
      <c r="S6" s="869"/>
      <c r="T6" s="544"/>
      <c r="U6" s="871" t="s">
        <v>893</v>
      </c>
      <c r="V6" s="871"/>
      <c r="W6" s="871"/>
      <c r="X6" s="871"/>
      <c r="Y6" s="871"/>
      <c r="Z6" s="871"/>
      <c r="AA6" s="892"/>
    </row>
    <row r="7" spans="1:27" ht="36">
      <c r="A7" s="900"/>
      <c r="B7" s="901"/>
      <c r="C7" s="903"/>
      <c r="D7" s="542"/>
      <c r="E7" s="515" t="s">
        <v>562</v>
      </c>
      <c r="F7" s="515" t="s">
        <v>891</v>
      </c>
      <c r="G7" s="515" t="s">
        <v>892</v>
      </c>
      <c r="H7" s="519"/>
      <c r="I7" s="515" t="s">
        <v>562</v>
      </c>
      <c r="J7" s="515" t="s">
        <v>891</v>
      </c>
      <c r="K7" s="515" t="s">
        <v>892</v>
      </c>
      <c r="L7" s="539"/>
      <c r="M7" s="515" t="s">
        <v>562</v>
      </c>
      <c r="N7" s="515" t="s">
        <v>904</v>
      </c>
      <c r="O7" s="515" t="s">
        <v>903</v>
      </c>
      <c r="P7" s="515" t="s">
        <v>902</v>
      </c>
      <c r="Q7" s="515" t="s">
        <v>901</v>
      </c>
      <c r="R7" s="515" t="s">
        <v>900</v>
      </c>
      <c r="S7" s="515" t="s">
        <v>886</v>
      </c>
      <c r="T7" s="539"/>
      <c r="U7" s="515" t="s">
        <v>562</v>
      </c>
      <c r="V7" s="515" t="s">
        <v>904</v>
      </c>
      <c r="W7" s="515" t="s">
        <v>903</v>
      </c>
      <c r="X7" s="515" t="s">
        <v>902</v>
      </c>
      <c r="Y7" s="515" t="s">
        <v>901</v>
      </c>
      <c r="Z7" s="515" t="s">
        <v>900</v>
      </c>
      <c r="AA7" s="515" t="s">
        <v>886</v>
      </c>
    </row>
    <row r="8" spans="1:27">
      <c r="A8" s="573">
        <v>1</v>
      </c>
      <c r="B8" s="572" t="s">
        <v>563</v>
      </c>
      <c r="C8" s="715">
        <f>D8+H8+L8+T8</f>
        <v>1807827503.6169317</v>
      </c>
      <c r="D8" s="681">
        <v>1704159994.1859713</v>
      </c>
      <c r="E8" s="681">
        <v>7635349.6912038997</v>
      </c>
      <c r="F8" s="681">
        <v>0</v>
      </c>
      <c r="G8" s="681">
        <v>0</v>
      </c>
      <c r="H8" s="681">
        <v>88299410.14772287</v>
      </c>
      <c r="I8" s="681">
        <v>2017808.2110323966</v>
      </c>
      <c r="J8" s="681">
        <v>12622493.337013803</v>
      </c>
      <c r="K8" s="681">
        <v>0</v>
      </c>
      <c r="L8" s="681">
        <v>14969017.747337442</v>
      </c>
      <c r="M8" s="681">
        <v>35174.07439501855</v>
      </c>
      <c r="N8" s="681">
        <v>187115.16592424668</v>
      </c>
      <c r="O8" s="681">
        <v>14037816.055677589</v>
      </c>
      <c r="P8" s="681">
        <v>0</v>
      </c>
      <c r="Q8" s="681">
        <v>0</v>
      </c>
      <c r="R8" s="681">
        <v>0</v>
      </c>
      <c r="S8" s="681">
        <v>0</v>
      </c>
      <c r="T8" s="681">
        <v>399081.53590000002</v>
      </c>
      <c r="U8" s="681">
        <v>1828.27</v>
      </c>
      <c r="V8" s="681">
        <v>0</v>
      </c>
      <c r="W8" s="681">
        <v>1266.19</v>
      </c>
      <c r="X8" s="681">
        <v>0</v>
      </c>
      <c r="Y8" s="681">
        <v>0</v>
      </c>
      <c r="Z8" s="681">
        <v>0</v>
      </c>
      <c r="AA8" s="714">
        <v>0</v>
      </c>
    </row>
    <row r="9" spans="1:27">
      <c r="A9" s="565">
        <v>1.1000000000000001</v>
      </c>
      <c r="B9" s="571" t="s">
        <v>574</v>
      </c>
      <c r="C9" s="717">
        <v>755253781</v>
      </c>
      <c r="D9" s="681">
        <v>717798210.97616386</v>
      </c>
      <c r="E9" s="681">
        <v>2893267.271005623</v>
      </c>
      <c r="F9" s="505"/>
      <c r="G9" s="505"/>
      <c r="H9" s="681">
        <v>34447111.194024205</v>
      </c>
      <c r="I9" s="681">
        <v>493149.34718618548</v>
      </c>
      <c r="J9" s="681">
        <v>3092936.3186307298</v>
      </c>
      <c r="K9" s="681">
        <v>74273.10892896459</v>
      </c>
      <c r="L9" s="681">
        <v>2678931.5357334809</v>
      </c>
      <c r="M9" s="681">
        <v>25106.040384824784</v>
      </c>
      <c r="N9" s="681">
        <v>18545.911577661835</v>
      </c>
      <c r="O9" s="681">
        <v>2285391.2379002888</v>
      </c>
      <c r="P9" s="681"/>
      <c r="Q9" s="505"/>
      <c r="R9" s="505"/>
      <c r="S9" s="505"/>
      <c r="T9" s="681">
        <v>329527.71590000007</v>
      </c>
      <c r="U9" s="681">
        <v>1828.27</v>
      </c>
      <c r="V9" s="505"/>
      <c r="W9" s="505"/>
      <c r="X9" s="505"/>
      <c r="Y9" s="505"/>
      <c r="Z9" s="505"/>
      <c r="AA9" s="552"/>
    </row>
    <row r="10" spans="1:27">
      <c r="A10" s="569" t="s">
        <v>158</v>
      </c>
      <c r="B10" s="570" t="s">
        <v>575</v>
      </c>
      <c r="C10" s="708">
        <f>SUM(C11:C14)</f>
        <v>463894204.01214951</v>
      </c>
      <c r="D10" s="708">
        <f t="shared" ref="D10:AA10" si="0">SUM(D11:D14)</f>
        <v>447532465.29577458</v>
      </c>
      <c r="E10" s="708">
        <f t="shared" si="0"/>
        <v>1725586.5522447142</v>
      </c>
      <c r="F10" s="708">
        <f t="shared" si="0"/>
        <v>0</v>
      </c>
      <c r="G10" s="708">
        <f t="shared" si="0"/>
        <v>0</v>
      </c>
      <c r="H10" s="708">
        <f t="shared" si="0"/>
        <v>15771726.675710242</v>
      </c>
      <c r="I10" s="708">
        <f t="shared" si="0"/>
        <v>44961.290000000008</v>
      </c>
      <c r="J10" s="708">
        <f t="shared" si="0"/>
        <v>1231300.8357498143</v>
      </c>
      <c r="K10" s="708">
        <f t="shared" si="0"/>
        <v>0</v>
      </c>
      <c r="L10" s="708">
        <f t="shared" si="0"/>
        <v>549936.38066465221</v>
      </c>
      <c r="M10" s="708">
        <f t="shared" si="0"/>
        <v>0</v>
      </c>
      <c r="N10" s="708">
        <f t="shared" si="0"/>
        <v>0</v>
      </c>
      <c r="O10" s="708">
        <f t="shared" si="0"/>
        <v>394662.97149792925</v>
      </c>
      <c r="P10" s="708">
        <f t="shared" si="0"/>
        <v>0</v>
      </c>
      <c r="Q10" s="708">
        <f t="shared" si="0"/>
        <v>0</v>
      </c>
      <c r="R10" s="708">
        <f t="shared" si="0"/>
        <v>0</v>
      </c>
      <c r="S10" s="708">
        <f t="shared" si="0"/>
        <v>0</v>
      </c>
      <c r="T10" s="708">
        <f t="shared" si="0"/>
        <v>40075.659999999996</v>
      </c>
      <c r="U10" s="708">
        <f t="shared" si="0"/>
        <v>0</v>
      </c>
      <c r="V10" s="708">
        <f t="shared" si="0"/>
        <v>0</v>
      </c>
      <c r="W10" s="708">
        <f t="shared" si="0"/>
        <v>0</v>
      </c>
      <c r="X10" s="708">
        <f t="shared" si="0"/>
        <v>0</v>
      </c>
      <c r="Y10" s="708">
        <f t="shared" si="0"/>
        <v>0</v>
      </c>
      <c r="Z10" s="708">
        <f t="shared" si="0"/>
        <v>0</v>
      </c>
      <c r="AA10" s="708">
        <f t="shared" si="0"/>
        <v>0</v>
      </c>
    </row>
    <row r="11" spans="1:27" ht="14.4">
      <c r="A11" s="567" t="s">
        <v>576</v>
      </c>
      <c r="B11" s="568" t="s">
        <v>577</v>
      </c>
      <c r="C11" s="707">
        <v>261671789.27541459</v>
      </c>
      <c r="D11" s="703">
        <v>253876763.61829099</v>
      </c>
      <c r="E11" s="703">
        <v>866043.45917186327</v>
      </c>
      <c r="F11" s="505"/>
      <c r="G11" s="505"/>
      <c r="H11" s="703">
        <v>7532420.9955619518</v>
      </c>
      <c r="I11" s="705">
        <v>44961.290000000008</v>
      </c>
      <c r="J11" s="702">
        <v>481710.11559037241</v>
      </c>
      <c r="K11" s="505"/>
      <c r="L11" s="702">
        <v>222529.00156164117</v>
      </c>
      <c r="M11" s="705"/>
      <c r="N11" s="505"/>
      <c r="O11" s="681">
        <v>67255.592394918145</v>
      </c>
      <c r="P11" s="702"/>
      <c r="Q11" s="505"/>
      <c r="R11" s="505"/>
      <c r="S11" s="505"/>
      <c r="T11" s="705">
        <v>40075.659999999996</v>
      </c>
      <c r="U11" s="505"/>
      <c r="V11" s="505"/>
      <c r="W11" s="505"/>
      <c r="X11" s="505"/>
      <c r="Y11" s="505"/>
      <c r="Z11" s="505"/>
      <c r="AA11" s="552"/>
    </row>
    <row r="12" spans="1:27" ht="14.4">
      <c r="A12" s="567" t="s">
        <v>578</v>
      </c>
      <c r="B12" s="568" t="s">
        <v>579</v>
      </c>
      <c r="C12" s="707">
        <v>102898117.71747899</v>
      </c>
      <c r="D12" s="703">
        <v>99181584.271162659</v>
      </c>
      <c r="E12" s="703">
        <v>618155.95178567048</v>
      </c>
      <c r="F12" s="505"/>
      <c r="G12" s="505"/>
      <c r="H12" s="703">
        <v>3716533.446316327</v>
      </c>
      <c r="I12" s="704"/>
      <c r="J12" s="705">
        <v>625659.99971439014</v>
      </c>
      <c r="K12" s="505"/>
      <c r="L12" s="702"/>
      <c r="M12" s="505"/>
      <c r="N12" s="505"/>
      <c r="O12" s="681"/>
      <c r="P12" s="702"/>
      <c r="Q12" s="505"/>
      <c r="R12" s="505"/>
      <c r="S12" s="505"/>
      <c r="T12" s="505"/>
      <c r="U12" s="505"/>
      <c r="V12" s="505"/>
      <c r="W12" s="505"/>
      <c r="X12" s="505"/>
      <c r="Y12" s="505"/>
      <c r="Z12" s="505"/>
      <c r="AA12" s="552"/>
    </row>
    <row r="13" spans="1:27" ht="14.4">
      <c r="A13" s="567" t="s">
        <v>580</v>
      </c>
      <c r="B13" s="568" t="s">
        <v>581</v>
      </c>
      <c r="C13" s="707">
        <v>52068545.864061229</v>
      </c>
      <c r="D13" s="703">
        <v>50628831.10888806</v>
      </c>
      <c r="E13" s="703">
        <v>208526.4684704775</v>
      </c>
      <c r="F13" s="505"/>
      <c r="G13" s="505"/>
      <c r="H13" s="703">
        <v>1422920.4442777489</v>
      </c>
      <c r="I13" s="706"/>
      <c r="J13" s="702">
        <v>123930.72044505175</v>
      </c>
      <c r="K13" s="505"/>
      <c r="L13" s="702">
        <v>16794.310895423809</v>
      </c>
      <c r="M13" s="505"/>
      <c r="N13" s="505"/>
      <c r="O13" s="681">
        <v>16794.310895423809</v>
      </c>
      <c r="P13" s="702"/>
      <c r="Q13" s="505"/>
      <c r="R13" s="505"/>
      <c r="S13" s="505"/>
      <c r="T13" s="505"/>
      <c r="U13" s="505"/>
      <c r="V13" s="505"/>
      <c r="W13" s="505"/>
      <c r="X13" s="505"/>
      <c r="Y13" s="505"/>
      <c r="Z13" s="505"/>
      <c r="AA13" s="552"/>
    </row>
    <row r="14" spans="1:27" ht="14.4">
      <c r="A14" s="567" t="s">
        <v>582</v>
      </c>
      <c r="B14" s="568" t="s">
        <v>583</v>
      </c>
      <c r="C14" s="707">
        <v>47255751.1551947</v>
      </c>
      <c r="D14" s="703">
        <v>43845286.297432899</v>
      </c>
      <c r="E14" s="703">
        <v>32860.672816702805</v>
      </c>
      <c r="F14" s="505"/>
      <c r="G14" s="505"/>
      <c r="H14" s="703">
        <v>3099851.7895542155</v>
      </c>
      <c r="I14" s="704"/>
      <c r="J14" s="505"/>
      <c r="K14" s="505"/>
      <c r="L14" s="702">
        <v>310613.06820758729</v>
      </c>
      <c r="M14" s="505"/>
      <c r="N14" s="505"/>
      <c r="O14" s="681">
        <v>310613.06820758729</v>
      </c>
      <c r="P14" s="702"/>
      <c r="Q14" s="505"/>
      <c r="R14" s="505"/>
      <c r="S14" s="505"/>
      <c r="T14" s="505"/>
      <c r="U14" s="505"/>
      <c r="V14" s="505"/>
      <c r="W14" s="505"/>
      <c r="X14" s="505"/>
      <c r="Y14" s="505"/>
      <c r="Z14" s="505"/>
      <c r="AA14" s="552"/>
    </row>
    <row r="15" spans="1:27" ht="14.4">
      <c r="A15" s="566">
        <v>1.2</v>
      </c>
      <c r="B15" s="564" t="s">
        <v>899</v>
      </c>
      <c r="C15" s="710" t="s">
        <v>957</v>
      </c>
      <c r="D15" s="705">
        <v>1938547</v>
      </c>
      <c r="E15" s="702">
        <v>267482</v>
      </c>
      <c r="F15" s="505"/>
      <c r="G15" s="505"/>
      <c r="H15" s="709">
        <v>2207258</v>
      </c>
      <c r="I15" s="709">
        <v>2888</v>
      </c>
      <c r="J15" s="709">
        <v>552892</v>
      </c>
      <c r="K15" s="505"/>
      <c r="L15" s="709">
        <v>422465</v>
      </c>
      <c r="M15" s="505"/>
      <c r="N15" s="505"/>
      <c r="O15" s="681">
        <v>304554</v>
      </c>
      <c r="P15" s="681"/>
      <c r="Q15" s="505"/>
      <c r="R15" s="505"/>
      <c r="S15" s="505"/>
      <c r="T15" s="681">
        <v>7646</v>
      </c>
      <c r="U15" s="505"/>
      <c r="V15" s="505"/>
      <c r="W15" s="505"/>
      <c r="X15" s="505"/>
      <c r="Y15" s="505"/>
      <c r="Z15" s="505"/>
      <c r="AA15" s="552"/>
    </row>
    <row r="16" spans="1:27">
      <c r="A16" s="565">
        <v>1.3</v>
      </c>
      <c r="B16" s="564" t="s">
        <v>584</v>
      </c>
      <c r="C16" s="563"/>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1"/>
    </row>
    <row r="17" spans="1:27" ht="24">
      <c r="A17" s="558" t="s">
        <v>585</v>
      </c>
      <c r="B17" s="560" t="s">
        <v>586</v>
      </c>
      <c r="C17" s="713" t="s">
        <v>958</v>
      </c>
      <c r="D17" s="681">
        <v>702211872.86201954</v>
      </c>
      <c r="E17" s="681">
        <v>2854724.9130234527</v>
      </c>
      <c r="F17" s="505"/>
      <c r="G17" s="505"/>
      <c r="H17" s="681">
        <v>33566564.152629897</v>
      </c>
      <c r="I17" s="681">
        <v>488833.57702848478</v>
      </c>
      <c r="J17" s="681">
        <v>3047462.7538540987</v>
      </c>
      <c r="K17" s="681">
        <v>74011.252830633806</v>
      </c>
      <c r="L17" s="681">
        <v>2489633.9251554916</v>
      </c>
      <c r="M17" s="681">
        <v>25106.040384824784</v>
      </c>
      <c r="N17" s="681">
        <v>18545.911577661835</v>
      </c>
      <c r="O17" s="681">
        <v>2107802.1120890826</v>
      </c>
      <c r="P17" s="505"/>
      <c r="Q17" s="505"/>
      <c r="R17" s="505"/>
      <c r="S17" s="505"/>
      <c r="T17" s="681">
        <v>329527.71590000007</v>
      </c>
      <c r="U17" s="681">
        <v>1828.27</v>
      </c>
      <c r="V17" s="505"/>
      <c r="W17" s="505"/>
      <c r="X17" s="505"/>
      <c r="Y17" s="505"/>
      <c r="Z17" s="505"/>
      <c r="AA17" s="552"/>
    </row>
    <row r="18" spans="1:27" ht="24">
      <c r="A18" s="556" t="s">
        <v>587</v>
      </c>
      <c r="B18" s="557" t="s">
        <v>588</v>
      </c>
      <c r="C18" s="713">
        <v>452161926.07448971</v>
      </c>
      <c r="D18" s="681">
        <v>436438547.67947656</v>
      </c>
      <c r="E18" s="681">
        <v>1713209.0794280116</v>
      </c>
      <c r="F18" s="505"/>
      <c r="G18" s="505"/>
      <c r="H18" s="681">
        <v>15259886.662556024</v>
      </c>
      <c r="I18" s="681">
        <v>44961.290000000008</v>
      </c>
      <c r="J18" s="681">
        <v>1231300.8357498143</v>
      </c>
      <c r="K18" s="505"/>
      <c r="L18" s="681">
        <v>423416.07245706499</v>
      </c>
      <c r="M18" s="505"/>
      <c r="N18" s="505"/>
      <c r="O18" s="681">
        <v>268142.66329034197</v>
      </c>
      <c r="P18" s="505"/>
      <c r="Q18" s="505"/>
      <c r="R18" s="505"/>
      <c r="S18" s="505"/>
      <c r="T18" s="681">
        <v>40075.659999999996</v>
      </c>
      <c r="U18" s="505"/>
      <c r="V18" s="505"/>
      <c r="W18" s="505"/>
      <c r="X18" s="505"/>
      <c r="Y18" s="505"/>
      <c r="Z18" s="505"/>
      <c r="AA18" s="552"/>
    </row>
    <row r="19" spans="1:27">
      <c r="A19" s="558" t="s">
        <v>589</v>
      </c>
      <c r="B19" s="559" t="s">
        <v>590</v>
      </c>
      <c r="C19" s="716">
        <v>1223111953</v>
      </c>
      <c r="D19" s="681">
        <v>1166167287.4138188</v>
      </c>
      <c r="E19" s="681">
        <v>4262666.2351530204</v>
      </c>
      <c r="F19" s="505"/>
      <c r="G19" s="505"/>
      <c r="H19" s="681">
        <v>51967652.977745906</v>
      </c>
      <c r="I19" s="681">
        <v>648741.5828138144</v>
      </c>
      <c r="J19" s="681">
        <v>3201190.9052727027</v>
      </c>
      <c r="K19" s="681">
        <v>59972.071071035403</v>
      </c>
      <c r="L19" s="681">
        <v>2767220.2074665199</v>
      </c>
      <c r="M19" s="681">
        <v>16925.599615175219</v>
      </c>
      <c r="N19" s="681">
        <v>51755.188422338164</v>
      </c>
      <c r="O19" s="681">
        <v>2353134.542099712</v>
      </c>
      <c r="P19" s="681"/>
      <c r="Q19" s="505"/>
      <c r="R19" s="505"/>
      <c r="S19" s="505"/>
      <c r="T19" s="681">
        <v>2209792.6840999993</v>
      </c>
      <c r="U19" s="681">
        <v>49871.729999999996</v>
      </c>
      <c r="V19" s="505"/>
      <c r="W19" s="505"/>
      <c r="X19" s="505"/>
      <c r="Y19" s="505"/>
      <c r="Z19" s="505"/>
      <c r="AA19" s="552"/>
    </row>
    <row r="20" spans="1:27">
      <c r="A20" s="556" t="s">
        <v>591</v>
      </c>
      <c r="B20" s="557" t="s">
        <v>592</v>
      </c>
      <c r="C20" s="713">
        <v>477220118.56613183</v>
      </c>
      <c r="D20" s="681">
        <v>465117348.56006867</v>
      </c>
      <c r="E20" s="681">
        <v>1094335.99257793</v>
      </c>
      <c r="F20" s="505"/>
      <c r="G20" s="505"/>
      <c r="H20" s="681">
        <v>11593837.883527797</v>
      </c>
      <c r="I20" s="681">
        <v>20328.909999999989</v>
      </c>
      <c r="J20" s="681">
        <v>819492.08028161933</v>
      </c>
      <c r="K20" s="505"/>
      <c r="L20" s="681">
        <v>339054.98253534763</v>
      </c>
      <c r="M20" s="505"/>
      <c r="N20" s="505"/>
      <c r="O20" s="681">
        <v>196789.42850207066</v>
      </c>
      <c r="P20" s="505"/>
      <c r="Q20" s="505"/>
      <c r="R20" s="505"/>
      <c r="S20" s="505"/>
      <c r="T20" s="681">
        <v>169877.14</v>
      </c>
      <c r="U20" s="505"/>
      <c r="V20" s="505"/>
      <c r="W20" s="505"/>
      <c r="X20" s="505"/>
      <c r="Y20" s="505"/>
      <c r="Z20" s="505"/>
      <c r="AA20" s="552"/>
    </row>
    <row r="21" spans="1:27">
      <c r="A21" s="555">
        <v>1.4</v>
      </c>
      <c r="B21" s="554" t="s">
        <v>682</v>
      </c>
      <c r="C21" s="553"/>
      <c r="D21" s="681">
        <f>492314*20%</f>
        <v>98462.8</v>
      </c>
      <c r="E21" s="505"/>
      <c r="F21" s="505"/>
      <c r="G21" s="505"/>
      <c r="H21" s="505"/>
      <c r="I21" s="505"/>
      <c r="J21" s="505"/>
      <c r="K21" s="505"/>
      <c r="L21" s="505"/>
      <c r="M21" s="505"/>
      <c r="N21" s="505"/>
      <c r="O21" s="505"/>
      <c r="P21" s="505"/>
      <c r="Q21" s="505"/>
      <c r="R21" s="505"/>
      <c r="S21" s="505"/>
      <c r="T21" s="505"/>
      <c r="U21" s="505"/>
      <c r="V21" s="505"/>
      <c r="W21" s="505"/>
      <c r="X21" s="505"/>
      <c r="Y21" s="505"/>
      <c r="Z21" s="505"/>
      <c r="AA21" s="552"/>
    </row>
    <row r="22" spans="1:27" ht="12.6" thickBot="1">
      <c r="A22" s="551">
        <v>1.5</v>
      </c>
      <c r="B22" s="550" t="s">
        <v>683</v>
      </c>
      <c r="C22" s="549"/>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7"/>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C6" zoomScale="90" zoomScaleNormal="90" workbookViewId="0">
      <selection activeCell="I7" sqref="I7:L32"/>
    </sheetView>
  </sheetViews>
  <sheetFormatPr defaultColWidth="9.21875" defaultRowHeight="12"/>
  <cols>
    <col min="1" max="1" width="11.77734375" style="518" bestFit="1" customWidth="1"/>
    <col min="2" max="2" width="93.44140625" style="518" customWidth="1"/>
    <col min="3" max="3" width="14.6640625" style="518" customWidth="1"/>
    <col min="4" max="5" width="16.109375" style="518" customWidth="1"/>
    <col min="6" max="6" width="16.109375" style="538" customWidth="1"/>
    <col min="7" max="7" width="25.21875" style="538" customWidth="1"/>
    <col min="8" max="8" width="16.109375" style="518" customWidth="1"/>
    <col min="9" max="11" width="16.109375" style="538" customWidth="1"/>
    <col min="12" max="12" width="26.21875" style="538" customWidth="1"/>
    <col min="13" max="16384" width="9.21875" style="518"/>
  </cols>
  <sheetData>
    <row r="1" spans="1:12" ht="13.8">
      <c r="A1" s="391" t="s">
        <v>109</v>
      </c>
      <c r="B1" s="310" t="str">
        <f>Info!C2</f>
        <v>სს "კრედობანკი"</v>
      </c>
      <c r="F1" s="518"/>
      <c r="G1" s="518"/>
      <c r="I1" s="518"/>
      <c r="J1" s="518"/>
      <c r="K1" s="518"/>
      <c r="L1" s="518"/>
    </row>
    <row r="2" spans="1:12">
      <c r="A2" s="391" t="s">
        <v>110</v>
      </c>
      <c r="B2" s="394">
        <f>'1. key ratios'!B2</f>
        <v>45016</v>
      </c>
      <c r="F2" s="518"/>
      <c r="G2" s="518"/>
      <c r="I2" s="518"/>
      <c r="J2" s="518"/>
      <c r="K2" s="518"/>
      <c r="L2" s="518"/>
    </row>
    <row r="3" spans="1:12">
      <c r="A3" s="393" t="s">
        <v>595</v>
      </c>
      <c r="F3" s="518"/>
      <c r="G3" s="518"/>
      <c r="I3" s="518"/>
      <c r="J3" s="518"/>
      <c r="K3" s="518"/>
      <c r="L3" s="518"/>
    </row>
    <row r="4" spans="1:12">
      <c r="F4" s="518"/>
      <c r="G4" s="518"/>
      <c r="I4" s="518"/>
      <c r="J4" s="518"/>
      <c r="K4" s="518"/>
      <c r="L4" s="518"/>
    </row>
    <row r="5" spans="1:12" ht="37.5" customHeight="1">
      <c r="A5" s="855" t="s">
        <v>596</v>
      </c>
      <c r="B5" s="856"/>
      <c r="C5" s="904" t="s">
        <v>597</v>
      </c>
      <c r="D5" s="905"/>
      <c r="E5" s="905"/>
      <c r="F5" s="905"/>
      <c r="G5" s="905"/>
      <c r="H5" s="904" t="s">
        <v>906</v>
      </c>
      <c r="I5" s="906"/>
      <c r="J5" s="906"/>
      <c r="K5" s="906"/>
      <c r="L5" s="907"/>
    </row>
    <row r="6" spans="1:12" ht="39.450000000000003" customHeight="1">
      <c r="A6" s="859"/>
      <c r="B6" s="860"/>
      <c r="C6" s="398"/>
      <c r="D6" s="516" t="s">
        <v>896</v>
      </c>
      <c r="E6" s="516" t="s">
        <v>895</v>
      </c>
      <c r="F6" s="516" t="s">
        <v>894</v>
      </c>
      <c r="G6" s="516" t="s">
        <v>893</v>
      </c>
      <c r="H6" s="539"/>
      <c r="I6" s="516" t="s">
        <v>896</v>
      </c>
      <c r="J6" s="516" t="s">
        <v>895</v>
      </c>
      <c r="K6" s="516" t="s">
        <v>894</v>
      </c>
      <c r="L6" s="516" t="s">
        <v>893</v>
      </c>
    </row>
    <row r="7" spans="1:12">
      <c r="A7" s="505">
        <v>1</v>
      </c>
      <c r="B7" s="521" t="s">
        <v>519</v>
      </c>
      <c r="C7" s="698">
        <f>SUM(D7:G7)</f>
        <v>26080864.163784124</v>
      </c>
      <c r="D7" s="681">
        <v>25173063.53649332</v>
      </c>
      <c r="E7" s="681">
        <v>789907.41426983208</v>
      </c>
      <c r="F7" s="681">
        <v>117893.21302097203</v>
      </c>
      <c r="G7" s="695"/>
      <c r="H7" s="681">
        <f>SUM(I7:L7)</f>
        <v>517347.45405801723</v>
      </c>
      <c r="I7" s="696">
        <v>276669.41283630498</v>
      </c>
      <c r="J7" s="696">
        <v>138925.65151535734</v>
      </c>
      <c r="K7" s="696">
        <v>101752.38970635492</v>
      </c>
      <c r="L7" s="696"/>
    </row>
    <row r="8" spans="1:12">
      <c r="A8" s="505">
        <v>2</v>
      </c>
      <c r="B8" s="521" t="s">
        <v>520</v>
      </c>
      <c r="C8" s="698">
        <f t="shared" ref="C8:C33" si="0">SUM(D8:G8)</f>
        <v>9038071.1360042598</v>
      </c>
      <c r="D8" s="681">
        <v>8839651.9998275433</v>
      </c>
      <c r="E8" s="681">
        <v>142155.44617671712</v>
      </c>
      <c r="F8" s="696">
        <v>56263.69</v>
      </c>
      <c r="G8" s="696"/>
      <c r="H8" s="681">
        <f t="shared" ref="H8:H33" si="1">SUM(I8:L8)</f>
        <v>150608.60972382617</v>
      </c>
      <c r="I8" s="696">
        <v>74911.76051930133</v>
      </c>
      <c r="J8" s="696">
        <v>34063.237455579627</v>
      </c>
      <c r="K8" s="696">
        <v>41633.611748945208</v>
      </c>
      <c r="L8" s="696"/>
    </row>
    <row r="9" spans="1:12">
      <c r="A9" s="505">
        <v>3</v>
      </c>
      <c r="B9" s="521" t="s">
        <v>872</v>
      </c>
      <c r="C9" s="698">
        <f t="shared" si="0"/>
        <v>6335480.5351920221</v>
      </c>
      <c r="D9" s="681">
        <v>6055132.2223303299</v>
      </c>
      <c r="E9" s="681">
        <v>248185.73276755546</v>
      </c>
      <c r="F9" s="697">
        <v>32162.580094136214</v>
      </c>
      <c r="G9" s="697"/>
      <c r="H9" s="681">
        <f t="shared" si="1"/>
        <v>138229.21563288051</v>
      </c>
      <c r="I9" s="697">
        <v>72571.350107912978</v>
      </c>
      <c r="J9" s="697">
        <v>37973.569388693752</v>
      </c>
      <c r="K9" s="697">
        <v>27684.296136273788</v>
      </c>
      <c r="L9" s="697"/>
    </row>
    <row r="10" spans="1:12">
      <c r="A10" s="505">
        <v>4</v>
      </c>
      <c r="B10" s="521" t="s">
        <v>521</v>
      </c>
      <c r="C10" s="698">
        <f t="shared" si="0"/>
        <v>11420634.214367671</v>
      </c>
      <c r="D10" s="681">
        <v>11411211.744225813</v>
      </c>
      <c r="E10" s="681">
        <v>9422.4701418577788</v>
      </c>
      <c r="F10" s="697"/>
      <c r="G10" s="697"/>
      <c r="H10" s="681">
        <f t="shared" si="1"/>
        <v>37554.28894493683</v>
      </c>
      <c r="I10" s="697">
        <v>36342.031980001622</v>
      </c>
      <c r="J10" s="697">
        <v>1212.256964935207</v>
      </c>
      <c r="K10" s="697"/>
      <c r="L10" s="697"/>
    </row>
    <row r="11" spans="1:12">
      <c r="A11" s="505">
        <v>5</v>
      </c>
      <c r="B11" s="521" t="s">
        <v>522</v>
      </c>
      <c r="C11" s="698">
        <f t="shared" si="0"/>
        <v>25037168.533026233</v>
      </c>
      <c r="D11" s="681">
        <v>24583382.692556221</v>
      </c>
      <c r="E11" s="681">
        <v>450793.38734725438</v>
      </c>
      <c r="F11" s="697">
        <v>2992.4531227587413</v>
      </c>
      <c r="G11" s="697"/>
      <c r="H11" s="681">
        <f t="shared" si="1"/>
        <v>169577.4560524321</v>
      </c>
      <c r="I11" s="697">
        <v>114059.69221094486</v>
      </c>
      <c r="J11" s="697">
        <v>52886.678356231823</v>
      </c>
      <c r="K11" s="697">
        <v>2631.0854852554148</v>
      </c>
      <c r="L11" s="697"/>
    </row>
    <row r="12" spans="1:12">
      <c r="A12" s="505">
        <v>6</v>
      </c>
      <c r="B12" s="521" t="s">
        <v>523</v>
      </c>
      <c r="C12" s="698">
        <f t="shared" si="0"/>
        <v>7992010.3707933528</v>
      </c>
      <c r="D12" s="681">
        <v>7473894.4538701354</v>
      </c>
      <c r="E12" s="681">
        <v>502715.84953049425</v>
      </c>
      <c r="F12" s="697">
        <v>15400.067392723338</v>
      </c>
      <c r="G12" s="697"/>
      <c r="H12" s="681">
        <f t="shared" si="1"/>
        <v>125043.38903913615</v>
      </c>
      <c r="I12" s="697">
        <v>54279.029057422871</v>
      </c>
      <c r="J12" s="697">
        <v>57521.203504374396</v>
      </c>
      <c r="K12" s="697">
        <v>13243.156477338878</v>
      </c>
      <c r="L12" s="697"/>
    </row>
    <row r="13" spans="1:12">
      <c r="A13" s="505">
        <v>7</v>
      </c>
      <c r="B13" s="521" t="s">
        <v>524</v>
      </c>
      <c r="C13" s="698">
        <f t="shared" si="0"/>
        <v>3584265.2837560568</v>
      </c>
      <c r="D13" s="681">
        <v>3277163.0433481364</v>
      </c>
      <c r="E13" s="681">
        <v>259784.40436035578</v>
      </c>
      <c r="F13" s="697">
        <v>47317.836047564706</v>
      </c>
      <c r="G13" s="697"/>
      <c r="H13" s="681">
        <f t="shared" si="1"/>
        <v>123186.42790173796</v>
      </c>
      <c r="I13" s="697">
        <v>37321.717451107485</v>
      </c>
      <c r="J13" s="697">
        <v>45150.980031008134</v>
      </c>
      <c r="K13" s="697">
        <v>40713.730419622341</v>
      </c>
      <c r="L13" s="697"/>
    </row>
    <row r="14" spans="1:12">
      <c r="A14" s="505">
        <v>8</v>
      </c>
      <c r="B14" s="521" t="s">
        <v>525</v>
      </c>
      <c r="C14" s="698">
        <f t="shared" si="0"/>
        <v>130727643.48375523</v>
      </c>
      <c r="D14" s="681">
        <v>123081599.74795036</v>
      </c>
      <c r="E14" s="681">
        <v>6395932.228199454</v>
      </c>
      <c r="F14" s="697">
        <v>1191372.5976054205</v>
      </c>
      <c r="G14" s="697">
        <v>58738.91</v>
      </c>
      <c r="H14" s="681">
        <f t="shared" si="1"/>
        <v>3290998.7378448639</v>
      </c>
      <c r="I14" s="697">
        <v>1252446.5726139492</v>
      </c>
      <c r="J14" s="697">
        <v>1011519.1328804647</v>
      </c>
      <c r="K14" s="697">
        <v>1024086.7956459492</v>
      </c>
      <c r="L14" s="697">
        <v>2946.2367045004844</v>
      </c>
    </row>
    <row r="15" spans="1:12">
      <c r="A15" s="505">
        <v>9</v>
      </c>
      <c r="B15" s="521" t="s">
        <v>526</v>
      </c>
      <c r="C15" s="698">
        <f t="shared" si="0"/>
        <v>24841185.663774464</v>
      </c>
      <c r="D15" s="681">
        <v>23412640.731122948</v>
      </c>
      <c r="E15" s="681">
        <v>1174041.4235133177</v>
      </c>
      <c r="F15" s="697">
        <v>250927.96913819844</v>
      </c>
      <c r="G15" s="697">
        <v>3575.54</v>
      </c>
      <c r="H15" s="681">
        <f t="shared" si="1"/>
        <v>571252.09052169567</v>
      </c>
      <c r="I15" s="697">
        <v>211319.80492178068</v>
      </c>
      <c r="J15" s="697">
        <v>153632.31265598087</v>
      </c>
      <c r="K15" s="697">
        <v>206252.97447446594</v>
      </c>
      <c r="L15" s="697">
        <v>46.998469468208398</v>
      </c>
    </row>
    <row r="16" spans="1:12">
      <c r="A16" s="505">
        <v>10</v>
      </c>
      <c r="B16" s="521" t="s">
        <v>527</v>
      </c>
      <c r="C16" s="698">
        <f t="shared" si="0"/>
        <v>11809391.657108603</v>
      </c>
      <c r="D16" s="681">
        <v>11083191.710973818</v>
      </c>
      <c r="E16" s="681">
        <v>664094.64645110699</v>
      </c>
      <c r="F16" s="697">
        <v>62105.299683678248</v>
      </c>
      <c r="G16" s="697"/>
      <c r="H16" s="681">
        <f t="shared" si="1"/>
        <v>228767.12868734627</v>
      </c>
      <c r="I16" s="697">
        <v>87745.634171841593</v>
      </c>
      <c r="J16" s="697">
        <v>86763.574444251906</v>
      </c>
      <c r="K16" s="697">
        <v>54257.920071252775</v>
      </c>
      <c r="L16" s="697"/>
    </row>
    <row r="17" spans="1:12">
      <c r="A17" s="505">
        <v>11</v>
      </c>
      <c r="B17" s="521" t="s">
        <v>528</v>
      </c>
      <c r="C17" s="698">
        <f t="shared" si="0"/>
        <v>6839803.7569774026</v>
      </c>
      <c r="D17" s="681">
        <v>6352467.7462141113</v>
      </c>
      <c r="E17" s="681">
        <v>407887.26833153173</v>
      </c>
      <c r="F17" s="697">
        <v>58978.622431759293</v>
      </c>
      <c r="G17" s="697">
        <v>20470.120000000003</v>
      </c>
      <c r="H17" s="681">
        <f t="shared" si="1"/>
        <v>205355.53608652923</v>
      </c>
      <c r="I17" s="697">
        <v>67212.136713800937</v>
      </c>
      <c r="J17" s="697">
        <v>86562.700035632748</v>
      </c>
      <c r="K17" s="697">
        <v>51345.901818144819</v>
      </c>
      <c r="L17" s="697">
        <v>234.79751895073264</v>
      </c>
    </row>
    <row r="18" spans="1:12">
      <c r="A18" s="505">
        <v>12</v>
      </c>
      <c r="B18" s="521" t="s">
        <v>529</v>
      </c>
      <c r="C18" s="698">
        <f t="shared" si="0"/>
        <v>103712244.43727137</v>
      </c>
      <c r="D18" s="681">
        <v>98477557.840110034</v>
      </c>
      <c r="E18" s="681">
        <v>4835478.7835640293</v>
      </c>
      <c r="F18" s="697">
        <v>371026.57359731576</v>
      </c>
      <c r="G18" s="697">
        <v>28181.239999999998</v>
      </c>
      <c r="H18" s="681">
        <f t="shared" si="1"/>
        <v>1830305.6978081996</v>
      </c>
      <c r="I18" s="697">
        <v>804676.50519097282</v>
      </c>
      <c r="J18" s="697">
        <v>699470.2874300665</v>
      </c>
      <c r="K18" s="697">
        <v>322986.11551899248</v>
      </c>
      <c r="L18" s="697">
        <v>3172.7896681678108</v>
      </c>
    </row>
    <row r="19" spans="1:12">
      <c r="A19" s="505">
        <v>13</v>
      </c>
      <c r="B19" s="521" t="s">
        <v>530</v>
      </c>
      <c r="C19" s="698">
        <f t="shared" si="0"/>
        <v>17054953.170783427</v>
      </c>
      <c r="D19" s="681">
        <v>16047721.535800623</v>
      </c>
      <c r="E19" s="681">
        <v>752982.93264175928</v>
      </c>
      <c r="F19" s="697">
        <v>254248.70234104761</v>
      </c>
      <c r="G19" s="697"/>
      <c r="H19" s="681">
        <f t="shared" si="1"/>
        <v>487687.38708090584</v>
      </c>
      <c r="I19" s="697">
        <v>146731.17242741681</v>
      </c>
      <c r="J19" s="697">
        <v>137009.6617841222</v>
      </c>
      <c r="K19" s="697">
        <v>203946.55286936683</v>
      </c>
      <c r="L19" s="697"/>
    </row>
    <row r="20" spans="1:12">
      <c r="A20" s="505">
        <v>14</v>
      </c>
      <c r="B20" s="521" t="s">
        <v>531</v>
      </c>
      <c r="C20" s="698">
        <f t="shared" si="0"/>
        <v>49864392.318068959</v>
      </c>
      <c r="D20" s="681">
        <v>45870865.551132143</v>
      </c>
      <c r="E20" s="681">
        <v>3935575.29586838</v>
      </c>
      <c r="F20" s="697">
        <v>57951.471068436629</v>
      </c>
      <c r="G20" s="697"/>
      <c r="H20" s="681">
        <f t="shared" si="1"/>
        <v>714970.11672471208</v>
      </c>
      <c r="I20" s="697">
        <v>239867.78100294186</v>
      </c>
      <c r="J20" s="697">
        <v>427754.16736490565</v>
      </c>
      <c r="K20" s="697">
        <v>47348.168356864633</v>
      </c>
      <c r="L20" s="697"/>
    </row>
    <row r="21" spans="1:12">
      <c r="A21" s="505">
        <v>15</v>
      </c>
      <c r="B21" s="521" t="s">
        <v>532</v>
      </c>
      <c r="C21" s="698">
        <f t="shared" si="0"/>
        <v>29902154.527078781</v>
      </c>
      <c r="D21" s="681">
        <v>24302654.317109428</v>
      </c>
      <c r="E21" s="681">
        <v>5416656.3378311982</v>
      </c>
      <c r="F21" s="697">
        <v>157770.04213815447</v>
      </c>
      <c r="G21" s="697">
        <v>25073.83</v>
      </c>
      <c r="H21" s="681">
        <f t="shared" si="1"/>
        <v>1208417.0401554031</v>
      </c>
      <c r="I21" s="697">
        <v>236778.93051767081</v>
      </c>
      <c r="J21" s="697">
        <v>832844.10546079569</v>
      </c>
      <c r="K21" s="697">
        <v>135811.54118531573</v>
      </c>
      <c r="L21" s="697">
        <v>2982.4629916207869</v>
      </c>
    </row>
    <row r="22" spans="1:12">
      <c r="A22" s="505">
        <v>16</v>
      </c>
      <c r="B22" s="521" t="s">
        <v>533</v>
      </c>
      <c r="C22" s="698">
        <f t="shared" si="0"/>
        <v>7742927.9975734521</v>
      </c>
      <c r="D22" s="681">
        <v>7163813.2139821779</v>
      </c>
      <c r="E22" s="681">
        <v>497339.00795771769</v>
      </c>
      <c r="F22" s="697">
        <v>81480.635633557147</v>
      </c>
      <c r="G22" s="697">
        <v>295.14</v>
      </c>
      <c r="H22" s="681">
        <f t="shared" si="1"/>
        <v>212625.66853914404</v>
      </c>
      <c r="I22" s="697">
        <v>78922.673164767897</v>
      </c>
      <c r="J22" s="697">
        <v>63465.564182683527</v>
      </c>
      <c r="K22" s="697">
        <v>70234.045860305036</v>
      </c>
      <c r="L22" s="697">
        <v>3.385331387559976</v>
      </c>
    </row>
    <row r="23" spans="1:12">
      <c r="A23" s="505">
        <v>17</v>
      </c>
      <c r="B23" s="521" t="s">
        <v>534</v>
      </c>
      <c r="C23" s="698">
        <f t="shared" si="0"/>
        <v>743406.71206624515</v>
      </c>
      <c r="D23" s="681">
        <v>710860.69682302675</v>
      </c>
      <c r="E23" s="681">
        <v>32195.317891116596</v>
      </c>
      <c r="F23" s="697">
        <v>350.69735210182625</v>
      </c>
      <c r="G23" s="697"/>
      <c r="H23" s="681">
        <f t="shared" si="1"/>
        <v>10995.07332886559</v>
      </c>
      <c r="I23" s="697">
        <v>7298.5007022174423</v>
      </c>
      <c r="J23" s="697">
        <v>3395.4605615028131</v>
      </c>
      <c r="K23" s="697">
        <v>301.11206514533512</v>
      </c>
      <c r="L23" s="697"/>
    </row>
    <row r="24" spans="1:12">
      <c r="A24" s="505">
        <v>18</v>
      </c>
      <c r="B24" s="521" t="s">
        <v>535</v>
      </c>
      <c r="C24" s="698">
        <f t="shared" si="0"/>
        <v>2988795.6301475912</v>
      </c>
      <c r="D24" s="681">
        <v>2844968.6213199855</v>
      </c>
      <c r="E24" s="681">
        <v>135033.12363109452</v>
      </c>
      <c r="F24" s="697">
        <v>8793.8851965112353</v>
      </c>
      <c r="G24" s="697"/>
      <c r="H24" s="681">
        <f t="shared" si="1"/>
        <v>65882.52898094496</v>
      </c>
      <c r="I24" s="697">
        <v>34703.09207089118</v>
      </c>
      <c r="J24" s="697">
        <v>23600.160509152516</v>
      </c>
      <c r="K24" s="697">
        <v>7579.2764009012581</v>
      </c>
      <c r="L24" s="697"/>
    </row>
    <row r="25" spans="1:12">
      <c r="A25" s="505">
        <v>19</v>
      </c>
      <c r="B25" s="521" t="s">
        <v>536</v>
      </c>
      <c r="C25" s="698">
        <f t="shared" si="0"/>
        <v>4275095.2655517217</v>
      </c>
      <c r="D25" s="681">
        <v>3949835.5532092038</v>
      </c>
      <c r="E25" s="681">
        <v>293353.26700461924</v>
      </c>
      <c r="F25" s="697">
        <v>12616.929437898607</v>
      </c>
      <c r="G25" s="697">
        <v>19289.515899999999</v>
      </c>
      <c r="H25" s="681">
        <f t="shared" si="1"/>
        <v>86781.921790525084</v>
      </c>
      <c r="I25" s="697">
        <v>37408.054651590777</v>
      </c>
      <c r="J25" s="697">
        <v>37215.55756531316</v>
      </c>
      <c r="K25" s="697">
        <v>10918.998536291661</v>
      </c>
      <c r="L25" s="697">
        <v>1239.3110373294778</v>
      </c>
    </row>
    <row r="26" spans="1:12">
      <c r="A26" s="505">
        <v>20</v>
      </c>
      <c r="B26" s="521" t="s">
        <v>537</v>
      </c>
      <c r="C26" s="698">
        <f t="shared" si="0"/>
        <v>13510637.139015345</v>
      </c>
      <c r="D26" s="681">
        <v>13331961.496316133</v>
      </c>
      <c r="E26" s="681">
        <v>139454.87201841097</v>
      </c>
      <c r="F26" s="697">
        <v>32261.63068079991</v>
      </c>
      <c r="G26" s="697">
        <v>6959.14</v>
      </c>
      <c r="H26" s="681">
        <f t="shared" si="1"/>
        <v>169790.52567518331</v>
      </c>
      <c r="I26" s="697">
        <v>120266.1687513362</v>
      </c>
      <c r="J26" s="697">
        <v>21674.343175471062</v>
      </c>
      <c r="K26" s="697">
        <v>27770.190630288274</v>
      </c>
      <c r="L26" s="697">
        <v>79.823118087768975</v>
      </c>
    </row>
    <row r="27" spans="1:12">
      <c r="A27" s="505">
        <v>21</v>
      </c>
      <c r="B27" s="521" t="s">
        <v>538</v>
      </c>
      <c r="C27" s="698">
        <f t="shared" si="0"/>
        <v>2054306.7399742373</v>
      </c>
      <c r="D27" s="681">
        <v>2032451.749208597</v>
      </c>
      <c r="E27" s="681">
        <v>20723.61618660461</v>
      </c>
      <c r="F27" s="697">
        <v>1131.3745790356411</v>
      </c>
      <c r="G27" s="697"/>
      <c r="H27" s="681">
        <f t="shared" si="1"/>
        <v>20664.957641769943</v>
      </c>
      <c r="I27" s="697">
        <v>17225.32852541063</v>
      </c>
      <c r="J27" s="697">
        <v>2468.2201966608218</v>
      </c>
      <c r="K27" s="697">
        <v>971.40891969849008</v>
      </c>
      <c r="L27" s="697"/>
    </row>
    <row r="28" spans="1:12">
      <c r="A28" s="505">
        <v>22</v>
      </c>
      <c r="B28" s="521" t="s">
        <v>539</v>
      </c>
      <c r="C28" s="698">
        <f t="shared" si="0"/>
        <v>679211.86267423013</v>
      </c>
      <c r="D28" s="681">
        <v>614573.56021686539</v>
      </c>
      <c r="E28" s="681">
        <v>61931.114270686317</v>
      </c>
      <c r="F28" s="697">
        <v>2707.1881866785016</v>
      </c>
      <c r="G28" s="697"/>
      <c r="H28" s="681">
        <f t="shared" si="1"/>
        <v>22566.920014244795</v>
      </c>
      <c r="I28" s="697">
        <v>7090.3019985768051</v>
      </c>
      <c r="J28" s="697">
        <v>13152.200620605563</v>
      </c>
      <c r="K28" s="697">
        <v>2324.4173950624295</v>
      </c>
      <c r="L28" s="697"/>
    </row>
    <row r="29" spans="1:12">
      <c r="A29" s="505">
        <v>23</v>
      </c>
      <c r="B29" s="521" t="s">
        <v>540</v>
      </c>
      <c r="C29" s="698">
        <f t="shared" si="0"/>
        <v>380382177.08437103</v>
      </c>
      <c r="D29" s="681">
        <v>356970199.00802863</v>
      </c>
      <c r="E29" s="681">
        <v>19423824.101446357</v>
      </c>
      <c r="F29" s="697">
        <v>3949508.5348961027</v>
      </c>
      <c r="G29" s="697">
        <v>38645.440000000002</v>
      </c>
      <c r="H29" s="681">
        <f t="shared" si="1"/>
        <v>10422144.10030511</v>
      </c>
      <c r="I29" s="697">
        <v>3690496.9971887986</v>
      </c>
      <c r="J29" s="697">
        <v>3288537.0786827141</v>
      </c>
      <c r="K29" s="697">
        <v>3439122.6570112105</v>
      </c>
      <c r="L29" s="697">
        <v>3987.3674223866378</v>
      </c>
    </row>
    <row r="30" spans="1:12">
      <c r="A30" s="505">
        <v>24</v>
      </c>
      <c r="B30" s="521" t="s">
        <v>541</v>
      </c>
      <c r="C30" s="698">
        <f t="shared" si="0"/>
        <v>728360554.06877589</v>
      </c>
      <c r="D30" s="681">
        <v>690225994.24908805</v>
      </c>
      <c r="E30" s="681">
        <v>31940730.908294044</v>
      </c>
      <c r="F30" s="697">
        <v>6055177.7613937967</v>
      </c>
      <c r="G30" s="697">
        <v>138651.14999999997</v>
      </c>
      <c r="H30" s="681">
        <f t="shared" si="1"/>
        <v>17022392.556844465</v>
      </c>
      <c r="I30" s="697">
        <v>6570827.2372661214</v>
      </c>
      <c r="J30" s="697">
        <v>5215728.939329192</v>
      </c>
      <c r="K30" s="697">
        <v>5224356.9227726543</v>
      </c>
      <c r="L30" s="697">
        <v>11479.457476496522</v>
      </c>
    </row>
    <row r="31" spans="1:12">
      <c r="A31" s="505">
        <v>25</v>
      </c>
      <c r="B31" s="521" t="s">
        <v>542</v>
      </c>
      <c r="C31" s="698">
        <f t="shared" si="0"/>
        <v>140080082.30052134</v>
      </c>
      <c r="D31" s="681">
        <v>132146738.3781555</v>
      </c>
      <c r="E31" s="681">
        <v>6383137.4015916092</v>
      </c>
      <c r="F31" s="697">
        <v>1514712.9107742321</v>
      </c>
      <c r="G31" s="697">
        <v>35493.61</v>
      </c>
      <c r="H31" s="681">
        <f t="shared" si="1"/>
        <v>4036933.0461949357</v>
      </c>
      <c r="I31" s="697">
        <v>1316746.0828792499</v>
      </c>
      <c r="J31" s="697">
        <v>1438260.2834206584</v>
      </c>
      <c r="K31" s="697">
        <v>1281306.3764719211</v>
      </c>
      <c r="L31" s="697">
        <v>620.30342310636502</v>
      </c>
    </row>
    <row r="32" spans="1:12">
      <c r="A32" s="505">
        <v>26</v>
      </c>
      <c r="B32" s="521" t="s">
        <v>598</v>
      </c>
      <c r="C32" s="698">
        <f t="shared" si="0"/>
        <v>62770045.134606503</v>
      </c>
      <c r="D32" s="681">
        <v>58726398.786645971</v>
      </c>
      <c r="E32" s="681">
        <v>3386073.7964359918</v>
      </c>
      <c r="F32" s="697">
        <v>633865.08152454044</v>
      </c>
      <c r="G32" s="697">
        <v>23707.47</v>
      </c>
      <c r="H32" s="681">
        <f t="shared" si="1"/>
        <v>1747514.3151236535</v>
      </c>
      <c r="I32" s="697">
        <v>678700.47779564571</v>
      </c>
      <c r="J32" s="697">
        <v>520201.40483625646</v>
      </c>
      <c r="K32" s="697">
        <v>548362.16548627941</v>
      </c>
      <c r="L32" s="697">
        <v>250.2670054720825</v>
      </c>
    </row>
    <row r="33" spans="1:12">
      <c r="A33" s="505">
        <v>27</v>
      </c>
      <c r="B33" s="575" t="s">
        <v>67</v>
      </c>
      <c r="C33" s="699">
        <f t="shared" si="0"/>
        <v>1807827503.1870193</v>
      </c>
      <c r="D33" s="692">
        <f>SUM(D7:D32)</f>
        <v>1704159994.1860588</v>
      </c>
      <c r="E33" s="692">
        <f t="shared" ref="E33:G33" si="2">SUM(E7:E32)</f>
        <v>88299410.147723109</v>
      </c>
      <c r="F33" s="692">
        <f t="shared" si="2"/>
        <v>14969017.747337421</v>
      </c>
      <c r="G33" s="692">
        <f t="shared" si="2"/>
        <v>399081.10589999997</v>
      </c>
      <c r="H33" s="680">
        <f t="shared" si="1"/>
        <v>43617592.190701462</v>
      </c>
      <c r="I33" s="692">
        <f t="shared" ref="I33" si="3">SUM(I7:I32)</f>
        <v>16272618.446717978</v>
      </c>
      <c r="J33" s="692">
        <f t="shared" ref="J33" si="4">SUM(J7:J32)</f>
        <v>14430988.732352609</v>
      </c>
      <c r="K33" s="692">
        <f t="shared" ref="K33" si="5">SUM(K7:K32)</f>
        <v>12886941.811463902</v>
      </c>
      <c r="L33" s="692">
        <f t="shared" ref="L33" si="6">SUM(L7:L32)</f>
        <v>27043.200166974439</v>
      </c>
    </row>
    <row r="35" spans="1:12">
      <c r="B35" s="574"/>
      <c r="C35" s="574"/>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topLeftCell="C1" zoomScale="80" zoomScaleNormal="80" workbookViewId="0">
      <selection activeCell="C6" sqref="C6:K11"/>
    </sheetView>
  </sheetViews>
  <sheetFormatPr defaultColWidth="8.77734375" defaultRowHeight="12"/>
  <cols>
    <col min="1" max="1" width="11.77734375" style="399" bestFit="1" customWidth="1"/>
    <col min="2" max="2" width="59.21875" style="399" customWidth="1"/>
    <col min="3" max="3" width="18.88671875" style="399" bestFit="1" customWidth="1"/>
    <col min="4" max="4" width="25.77734375" style="399" bestFit="1" customWidth="1"/>
    <col min="5" max="5" width="23" style="399" bestFit="1" customWidth="1"/>
    <col min="6" max="6" width="25.109375" style="399" bestFit="1" customWidth="1"/>
    <col min="7" max="7" width="18.21875" style="399" bestFit="1" customWidth="1"/>
    <col min="8" max="8" width="25.5546875" style="399" bestFit="1" customWidth="1"/>
    <col min="9" max="9" width="22.5546875" style="399" bestFit="1" customWidth="1"/>
    <col min="10" max="10" width="18.21875" style="399" bestFit="1" customWidth="1"/>
    <col min="11" max="11" width="21.109375" style="399" bestFit="1" customWidth="1"/>
    <col min="12" max="16384" width="8.77734375" style="399"/>
  </cols>
  <sheetData>
    <row r="1" spans="1:11" s="392" customFormat="1" ht="13.8">
      <c r="A1" s="391" t="s">
        <v>109</v>
      </c>
      <c r="B1" s="310" t="str">
        <f>Info!C2</f>
        <v>სს "კრედობანკი"</v>
      </c>
      <c r="C1" s="518"/>
      <c r="D1" s="518"/>
      <c r="E1" s="518"/>
      <c r="F1" s="518"/>
      <c r="G1" s="518"/>
      <c r="H1" s="518"/>
      <c r="I1" s="518"/>
      <c r="J1" s="518"/>
      <c r="K1" s="518"/>
    </row>
    <row r="2" spans="1:11" s="392" customFormat="1">
      <c r="A2" s="391" t="s">
        <v>110</v>
      </c>
      <c r="B2" s="394">
        <f>'1. key ratios'!B2</f>
        <v>45016</v>
      </c>
      <c r="C2" s="518"/>
      <c r="D2" s="518"/>
      <c r="E2" s="518"/>
      <c r="F2" s="518"/>
      <c r="G2" s="518"/>
      <c r="H2" s="518"/>
      <c r="I2" s="518"/>
      <c r="J2" s="518"/>
      <c r="K2" s="518"/>
    </row>
    <row r="3" spans="1:11" s="392" customFormat="1">
      <c r="A3" s="393" t="s">
        <v>599</v>
      </c>
      <c r="B3" s="518"/>
      <c r="C3" s="518"/>
      <c r="D3" s="518"/>
      <c r="E3" s="518"/>
      <c r="F3" s="518"/>
      <c r="G3" s="518"/>
      <c r="H3" s="518"/>
      <c r="I3" s="518"/>
      <c r="J3" s="518"/>
      <c r="K3" s="518"/>
    </row>
    <row r="4" spans="1:11">
      <c r="A4" s="579"/>
      <c r="B4" s="579"/>
      <c r="C4" s="578" t="s">
        <v>503</v>
      </c>
      <c r="D4" s="578" t="s">
        <v>504</v>
      </c>
      <c r="E4" s="578" t="s">
        <v>505</v>
      </c>
      <c r="F4" s="578" t="s">
        <v>506</v>
      </c>
      <c r="G4" s="578" t="s">
        <v>507</v>
      </c>
      <c r="H4" s="578" t="s">
        <v>508</v>
      </c>
      <c r="I4" s="578" t="s">
        <v>509</v>
      </c>
      <c r="J4" s="578" t="s">
        <v>510</v>
      </c>
      <c r="K4" s="578" t="s">
        <v>511</v>
      </c>
    </row>
    <row r="5" spans="1:11" ht="103.95" customHeight="1">
      <c r="A5" s="908" t="s">
        <v>911</v>
      </c>
      <c r="B5" s="909"/>
      <c r="C5" s="577" t="s">
        <v>600</v>
      </c>
      <c r="D5" s="577" t="s">
        <v>593</v>
      </c>
      <c r="E5" s="577" t="s">
        <v>594</v>
      </c>
      <c r="F5" s="577" t="s">
        <v>910</v>
      </c>
      <c r="G5" s="577" t="s">
        <v>601</v>
      </c>
      <c r="H5" s="577" t="s">
        <v>602</v>
      </c>
      <c r="I5" s="577" t="s">
        <v>603</v>
      </c>
      <c r="J5" s="577" t="s">
        <v>604</v>
      </c>
      <c r="K5" s="577" t="s">
        <v>605</v>
      </c>
    </row>
    <row r="6" spans="1:11" ht="13.8">
      <c r="A6" s="505">
        <v>1</v>
      </c>
      <c r="B6" s="505" t="s">
        <v>606</v>
      </c>
      <c r="C6" s="709">
        <v>4680333.1568061644</v>
      </c>
      <c r="D6" s="709">
        <v>99319.948000000004</v>
      </c>
      <c r="E6" s="709"/>
      <c r="F6" s="709">
        <v>37382.965856156174</v>
      </c>
      <c r="G6" s="709">
        <v>441588724.38206172</v>
      </c>
      <c r="H6" s="709"/>
      <c r="I6" s="709">
        <v>41863430</v>
      </c>
      <c r="J6" s="709">
        <v>250328407.85812917</v>
      </c>
      <c r="K6" s="709">
        <v>1069229904.8761668</v>
      </c>
    </row>
    <row r="7" spans="1:11" ht="13.8">
      <c r="A7" s="505">
        <v>2</v>
      </c>
      <c r="B7" s="505" t="s">
        <v>607</v>
      </c>
      <c r="C7" s="768"/>
      <c r="D7" s="768"/>
      <c r="E7" s="768"/>
      <c r="F7" s="768"/>
      <c r="G7" s="768"/>
      <c r="H7" s="768"/>
      <c r="I7" s="768"/>
      <c r="J7" s="768"/>
      <c r="K7" s="768"/>
    </row>
    <row r="8" spans="1:11" ht="13.8">
      <c r="A8" s="505">
        <v>3</v>
      </c>
      <c r="B8" s="505" t="s">
        <v>571</v>
      </c>
      <c r="C8" s="709">
        <v>2560400</v>
      </c>
      <c r="D8" s="768"/>
      <c r="E8" s="768"/>
      <c r="F8" s="768"/>
      <c r="G8" s="709">
        <f>337890+1346</f>
        <v>339236</v>
      </c>
      <c r="H8" s="768"/>
      <c r="I8" s="768"/>
      <c r="J8" s="768"/>
      <c r="K8" s="709">
        <v>40026314.25</v>
      </c>
    </row>
    <row r="9" spans="1:11" ht="13.8">
      <c r="A9" s="505">
        <v>4</v>
      </c>
      <c r="B9" s="527" t="s">
        <v>909</v>
      </c>
      <c r="C9" s="769"/>
      <c r="D9" s="768"/>
      <c r="E9" s="769"/>
      <c r="F9" s="769"/>
      <c r="G9" s="767">
        <v>463491.73245706497</v>
      </c>
      <c r="H9" s="769"/>
      <c r="I9" s="767">
        <v>61256.673207562431</v>
      </c>
      <c r="J9" s="767">
        <v>2294413.2353908657</v>
      </c>
      <c r="K9" s="767">
        <v>12548937.164387107</v>
      </c>
    </row>
    <row r="10" spans="1:11" ht="13.8">
      <c r="A10" s="505">
        <v>5</v>
      </c>
      <c r="B10" s="527" t="s">
        <v>908</v>
      </c>
      <c r="C10" s="769"/>
      <c r="D10" s="769"/>
      <c r="E10" s="769"/>
      <c r="F10" s="769"/>
      <c r="G10" s="769"/>
      <c r="H10" s="769"/>
      <c r="I10" s="769"/>
      <c r="J10" s="769"/>
      <c r="K10" s="769"/>
    </row>
    <row r="11" spans="1:11" ht="13.8">
      <c r="A11" s="505">
        <v>6</v>
      </c>
      <c r="B11" s="527" t="s">
        <v>907</v>
      </c>
      <c r="C11" s="769"/>
      <c r="D11" s="769"/>
      <c r="E11" s="769"/>
      <c r="F11" s="769"/>
      <c r="G11" s="769"/>
      <c r="H11" s="769"/>
      <c r="I11" s="769"/>
      <c r="J11" s="769"/>
      <c r="K11" s="769"/>
    </row>
    <row r="12" spans="1:11">
      <c r="C12" s="770"/>
      <c r="D12" s="770"/>
      <c r="E12" s="770"/>
      <c r="F12" s="770"/>
      <c r="G12" s="770"/>
      <c r="H12" s="770"/>
      <c r="I12" s="770"/>
      <c r="J12" s="770"/>
      <c r="K12" s="770"/>
    </row>
    <row r="13" spans="1:11" ht="13.8">
      <c r="B13" s="576"/>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97" zoomScaleNormal="100" workbookViewId="0">
      <pane xSplit="1" topLeftCell="B1" activePane="topRight" state="frozen"/>
      <selection pane="topRight" activeCell="U19" sqref="U19"/>
    </sheetView>
  </sheetViews>
  <sheetFormatPr defaultColWidth="8.77734375" defaultRowHeight="14.4"/>
  <cols>
    <col min="1" max="1" width="10" style="580" bestFit="1" customWidth="1"/>
    <col min="2" max="2" width="71.77734375" style="580" customWidth="1"/>
    <col min="3" max="3" width="11.33203125" style="580" bestFit="1" customWidth="1"/>
    <col min="4" max="5" width="15.21875" style="580" bestFit="1" customWidth="1"/>
    <col min="6" max="6" width="20" style="580" bestFit="1" customWidth="1"/>
    <col min="7" max="7" width="37.6640625" style="580" bestFit="1" customWidth="1"/>
    <col min="8" max="8" width="11.33203125" style="580" bestFit="1" customWidth="1"/>
    <col min="9" max="10" width="15.21875" style="580" bestFit="1" customWidth="1"/>
    <col min="11" max="11" width="20" style="580" bestFit="1" customWidth="1"/>
    <col min="12" max="12" width="37.6640625" style="580" bestFit="1" customWidth="1"/>
    <col min="13" max="13" width="10.6640625" style="580" bestFit="1" customWidth="1"/>
    <col min="14" max="15" width="15.21875" style="580" bestFit="1" customWidth="1"/>
    <col min="16" max="16" width="20" style="580" bestFit="1" customWidth="1"/>
    <col min="17" max="17" width="37.6640625" style="580" bestFit="1" customWidth="1"/>
    <col min="18" max="18" width="18" style="580" bestFit="1" customWidth="1"/>
    <col min="19" max="19" width="48" style="580" bestFit="1" customWidth="1"/>
    <col min="20" max="20" width="45.77734375" style="580" bestFit="1" customWidth="1"/>
    <col min="21" max="21" width="48" style="580" bestFit="1" customWidth="1"/>
    <col min="22" max="22" width="44.33203125" style="580" bestFit="1" customWidth="1"/>
    <col min="23" max="16384" width="8.77734375" style="580"/>
  </cols>
  <sheetData>
    <row r="1" spans="1:22">
      <c r="A1" s="391" t="s">
        <v>109</v>
      </c>
      <c r="B1" s="310" t="str">
        <f>Info!C2</f>
        <v>სს "კრედობანკი"</v>
      </c>
    </row>
    <row r="2" spans="1:22">
      <c r="A2" s="391" t="s">
        <v>110</v>
      </c>
      <c r="B2" s="394">
        <f>'1. key ratios'!B2</f>
        <v>45016</v>
      </c>
    </row>
    <row r="3" spans="1:22">
      <c r="A3" s="393" t="s">
        <v>691</v>
      </c>
      <c r="B3" s="518"/>
    </row>
    <row r="4" spans="1:22">
      <c r="A4" s="393"/>
      <c r="B4" s="518"/>
    </row>
    <row r="5" spans="1:22" ht="24" customHeight="1">
      <c r="A5" s="910" t="s">
        <v>719</v>
      </c>
      <c r="B5" s="910"/>
      <c r="C5" s="912" t="s">
        <v>913</v>
      </c>
      <c r="D5" s="912"/>
      <c r="E5" s="912"/>
      <c r="F5" s="912"/>
      <c r="G5" s="912"/>
      <c r="H5" s="912" t="s">
        <v>597</v>
      </c>
      <c r="I5" s="912"/>
      <c r="J5" s="912"/>
      <c r="K5" s="912"/>
      <c r="L5" s="912"/>
      <c r="M5" s="912" t="s">
        <v>912</v>
      </c>
      <c r="N5" s="912"/>
      <c r="O5" s="912"/>
      <c r="P5" s="912"/>
      <c r="Q5" s="912"/>
      <c r="R5" s="911" t="s">
        <v>717</v>
      </c>
      <c r="S5" s="911" t="s">
        <v>722</v>
      </c>
      <c r="T5" s="911" t="s">
        <v>721</v>
      </c>
      <c r="U5" s="911" t="s">
        <v>997</v>
      </c>
      <c r="V5" s="911" t="s">
        <v>998</v>
      </c>
    </row>
    <row r="6" spans="1:22" ht="36" customHeight="1">
      <c r="A6" s="910"/>
      <c r="B6" s="910"/>
      <c r="C6" s="589"/>
      <c r="D6" s="516" t="s">
        <v>896</v>
      </c>
      <c r="E6" s="516" t="s">
        <v>895</v>
      </c>
      <c r="F6" s="516" t="s">
        <v>894</v>
      </c>
      <c r="G6" s="516" t="s">
        <v>893</v>
      </c>
      <c r="H6" s="589"/>
      <c r="I6" s="516" t="s">
        <v>896</v>
      </c>
      <c r="J6" s="516" t="s">
        <v>895</v>
      </c>
      <c r="K6" s="516" t="s">
        <v>894</v>
      </c>
      <c r="L6" s="516" t="s">
        <v>893</v>
      </c>
      <c r="M6" s="589"/>
      <c r="N6" s="516" t="s">
        <v>896</v>
      </c>
      <c r="O6" s="516" t="s">
        <v>895</v>
      </c>
      <c r="P6" s="516" t="s">
        <v>894</v>
      </c>
      <c r="Q6" s="516" t="s">
        <v>893</v>
      </c>
      <c r="R6" s="911"/>
      <c r="S6" s="911"/>
      <c r="T6" s="911"/>
      <c r="U6" s="911"/>
      <c r="V6" s="911"/>
    </row>
    <row r="7" spans="1:22">
      <c r="A7" s="584">
        <v>1</v>
      </c>
      <c r="B7" s="588" t="s">
        <v>692</v>
      </c>
      <c r="C7" s="773">
        <f>SUM(D7:G7)</f>
        <v>11326267.750000002</v>
      </c>
      <c r="D7" s="771">
        <v>10802169.330000002</v>
      </c>
      <c r="E7" s="771">
        <v>411941.46000000008</v>
      </c>
      <c r="F7" s="771">
        <v>69299.42</v>
      </c>
      <c r="G7" s="771">
        <v>42857.54</v>
      </c>
      <c r="H7" s="773">
        <f>SUM(I7:L7)</f>
        <v>11331437.357124548</v>
      </c>
      <c r="I7" s="771">
        <v>10788663.194534887</v>
      </c>
      <c r="J7" s="771">
        <v>412569.01244783221</v>
      </c>
      <c r="K7" s="771">
        <v>86758.310141830691</v>
      </c>
      <c r="L7" s="771">
        <v>43446.84</v>
      </c>
      <c r="M7" s="773">
        <f>SUM(N7:Q7)</f>
        <v>294013.17870203446</v>
      </c>
      <c r="N7" s="771">
        <v>130044.34856352951</v>
      </c>
      <c r="O7" s="771">
        <v>86433.459575161411</v>
      </c>
      <c r="P7" s="771">
        <v>75184.499629883969</v>
      </c>
      <c r="Q7" s="771">
        <v>2350.8709334595424</v>
      </c>
      <c r="R7" s="771">
        <v>10413</v>
      </c>
      <c r="S7" s="778">
        <v>0.24621661067987166</v>
      </c>
      <c r="T7" s="778">
        <v>0.31864983203961506</v>
      </c>
      <c r="U7" s="778">
        <v>0.22</v>
      </c>
      <c r="V7" s="771">
        <v>30.294332000000001</v>
      </c>
    </row>
    <row r="8" spans="1:22">
      <c r="A8" s="584">
        <v>2</v>
      </c>
      <c r="B8" s="587" t="s">
        <v>693</v>
      </c>
      <c r="C8" s="773">
        <f t="shared" ref="C8:C20" si="0">SUM(D8:G8)</f>
        <v>807441217.3050009</v>
      </c>
      <c r="D8" s="771">
        <v>752392495.03600085</v>
      </c>
      <c r="E8" s="771">
        <v>48579775.495600045</v>
      </c>
      <c r="F8" s="771">
        <v>6349382.653400002</v>
      </c>
      <c r="G8" s="771">
        <v>119564.12</v>
      </c>
      <c r="H8" s="773">
        <f t="shared" ref="H8:H20" si="1">SUM(I8:L8)</f>
        <v>802425851.89813519</v>
      </c>
      <c r="I8" s="771">
        <v>744127111.54197514</v>
      </c>
      <c r="J8" s="771">
        <v>49906790.989279173</v>
      </c>
      <c r="K8" s="771">
        <v>8272227.3168809498</v>
      </c>
      <c r="L8" s="771">
        <v>119722.04999999999</v>
      </c>
      <c r="M8" s="773">
        <f t="shared" ref="M8:M20" si="2">SUM(N8:Q8)</f>
        <v>23308449.566590406</v>
      </c>
      <c r="N8" s="771">
        <v>8133425.0200603157</v>
      </c>
      <c r="O8" s="771">
        <v>7986571.2848547939</v>
      </c>
      <c r="P8" s="771">
        <v>7174813.3595819548</v>
      </c>
      <c r="Q8" s="771">
        <v>13639.90209334368</v>
      </c>
      <c r="R8" s="776">
        <v>180038</v>
      </c>
      <c r="S8" s="778">
        <v>0.2462221412486264</v>
      </c>
      <c r="T8" s="778">
        <v>0.34866642374587925</v>
      </c>
      <c r="U8" s="778">
        <v>0.24</v>
      </c>
      <c r="V8" s="771">
        <v>34.557791999999999</v>
      </c>
    </row>
    <row r="9" spans="1:22">
      <c r="A9" s="584">
        <v>3</v>
      </c>
      <c r="B9" s="587" t="s">
        <v>694</v>
      </c>
      <c r="C9" s="773">
        <f t="shared" si="0"/>
        <v>0</v>
      </c>
      <c r="D9" s="771"/>
      <c r="E9" s="771"/>
      <c r="F9" s="771"/>
      <c r="G9" s="771"/>
      <c r="H9" s="773">
        <f t="shared" si="1"/>
        <v>0</v>
      </c>
      <c r="I9" s="771"/>
      <c r="J9" s="771"/>
      <c r="K9" s="771"/>
      <c r="L9" s="771"/>
      <c r="M9" s="773">
        <f t="shared" si="2"/>
        <v>0</v>
      </c>
      <c r="N9" s="771"/>
      <c r="O9" s="771"/>
      <c r="P9" s="771"/>
      <c r="Q9" s="771"/>
      <c r="R9" s="771"/>
      <c r="S9" s="778"/>
      <c r="T9" s="778"/>
      <c r="U9" s="778"/>
      <c r="V9" s="771"/>
    </row>
    <row r="10" spans="1:22">
      <c r="A10" s="584">
        <v>4</v>
      </c>
      <c r="B10" s="587" t="s">
        <v>695</v>
      </c>
      <c r="C10" s="773">
        <f t="shared" si="0"/>
        <v>182025743.09000292</v>
      </c>
      <c r="D10" s="771">
        <v>177871870.84000292</v>
      </c>
      <c r="E10" s="771">
        <v>2781335.6199999978</v>
      </c>
      <c r="F10" s="771">
        <v>1372536.6299999987</v>
      </c>
      <c r="G10" s="771"/>
      <c r="H10" s="773">
        <f t="shared" si="1"/>
        <v>182963528.54475436</v>
      </c>
      <c r="I10" s="771">
        <v>177908600.40698564</v>
      </c>
      <c r="J10" s="771">
        <v>3060212.5603579879</v>
      </c>
      <c r="K10" s="771">
        <v>1994715.5774107289</v>
      </c>
      <c r="L10" s="771"/>
      <c r="M10" s="773">
        <f t="shared" si="2"/>
        <v>5198312.0843774611</v>
      </c>
      <c r="N10" s="771">
        <v>2596392.0309403343</v>
      </c>
      <c r="O10" s="771">
        <v>889238.38278305065</v>
      </c>
      <c r="P10" s="771">
        <v>1712681.6706540762</v>
      </c>
      <c r="Q10" s="771"/>
      <c r="R10" s="776">
        <v>246006</v>
      </c>
      <c r="S10" s="778">
        <v>4.9461084765577909E-2</v>
      </c>
      <c r="T10" s="778">
        <v>0.20775687410699886</v>
      </c>
      <c r="U10" s="778">
        <v>0.04</v>
      </c>
      <c r="V10" s="771">
        <v>11.149573999999999</v>
      </c>
    </row>
    <row r="11" spans="1:22">
      <c r="A11" s="584">
        <v>5</v>
      </c>
      <c r="B11" s="587" t="s">
        <v>696</v>
      </c>
      <c r="C11" s="773">
        <f t="shared" si="0"/>
        <v>32098.980000000003</v>
      </c>
      <c r="D11" s="771">
        <v>32098.980000000003</v>
      </c>
      <c r="E11" s="771"/>
      <c r="F11" s="771"/>
      <c r="G11" s="771"/>
      <c r="H11" s="773">
        <f t="shared" si="1"/>
        <v>34478.060000000005</v>
      </c>
      <c r="I11" s="771">
        <v>34478.060000000005</v>
      </c>
      <c r="J11" s="771"/>
      <c r="K11" s="771"/>
      <c r="L11" s="771"/>
      <c r="M11" s="773">
        <f t="shared" si="2"/>
        <v>453.1947762388499</v>
      </c>
      <c r="N11" s="771">
        <v>453.1947762388499</v>
      </c>
      <c r="O11" s="771"/>
      <c r="P11" s="771"/>
      <c r="Q11" s="771"/>
      <c r="R11" s="776">
        <v>20</v>
      </c>
      <c r="S11" s="778">
        <v>0.20147808074560364</v>
      </c>
      <c r="T11" s="778">
        <v>0.33940883015680057</v>
      </c>
      <c r="U11" s="778">
        <v>0.36</v>
      </c>
      <c r="V11" s="771">
        <v>5.1687560000000001</v>
      </c>
    </row>
    <row r="12" spans="1:22">
      <c r="A12" s="584">
        <v>6</v>
      </c>
      <c r="B12" s="587" t="s">
        <v>697</v>
      </c>
      <c r="C12" s="773">
        <f t="shared" si="0"/>
        <v>18869366.700000033</v>
      </c>
      <c r="D12" s="771">
        <v>18322358.540000033</v>
      </c>
      <c r="E12" s="771">
        <v>343772.33999999985</v>
      </c>
      <c r="F12" s="771">
        <v>203235.82000000007</v>
      </c>
      <c r="G12" s="771"/>
      <c r="H12" s="773">
        <f t="shared" si="1"/>
        <v>18869923.486182161</v>
      </c>
      <c r="I12" s="771">
        <v>18322245.089078486</v>
      </c>
      <c r="J12" s="771">
        <v>343963.18710367527</v>
      </c>
      <c r="K12" s="771">
        <v>203715.21000000005</v>
      </c>
      <c r="L12" s="771"/>
      <c r="M12" s="773">
        <f t="shared" si="2"/>
        <v>649118.15078514372</v>
      </c>
      <c r="N12" s="771">
        <v>307356.47535916383</v>
      </c>
      <c r="O12" s="771">
        <v>166849.8683735987</v>
      </c>
      <c r="P12" s="771">
        <v>174911.80705238116</v>
      </c>
      <c r="Q12" s="771"/>
      <c r="R12" s="776">
        <v>33944</v>
      </c>
      <c r="S12" s="778">
        <v>0.3</v>
      </c>
      <c r="T12" s="778">
        <v>0.37</v>
      </c>
      <c r="U12" s="778">
        <v>0.3</v>
      </c>
      <c r="V12" s="771">
        <v>311.37521299999997</v>
      </c>
    </row>
    <row r="13" spans="1:22">
      <c r="A13" s="584">
        <v>7</v>
      </c>
      <c r="B13" s="587" t="s">
        <v>698</v>
      </c>
      <c r="C13" s="773">
        <f t="shared" si="0"/>
        <v>180150099.85029989</v>
      </c>
      <c r="D13" s="774">
        <f>SUM(D14:D16)</f>
        <v>174663006.47949988</v>
      </c>
      <c r="E13" s="774">
        <f t="shared" ref="E13:G13" si="3">SUM(E14:E16)</f>
        <v>4868768.5108000059</v>
      </c>
      <c r="F13" s="774">
        <f t="shared" si="3"/>
        <v>551208.99999999988</v>
      </c>
      <c r="G13" s="774">
        <f t="shared" si="3"/>
        <v>67115.86</v>
      </c>
      <c r="H13" s="773">
        <f t="shared" si="1"/>
        <v>178724425.0215207</v>
      </c>
      <c r="I13" s="774">
        <f>SUM(I14:I16)</f>
        <v>172996402.43326479</v>
      </c>
      <c r="J13" s="774">
        <f t="shared" ref="J13" si="4">SUM(J14:J16)</f>
        <v>4969128.6460587103</v>
      </c>
      <c r="K13" s="774">
        <f t="shared" ref="K13" si="5">SUM(K14:K16)</f>
        <v>691524.70219718292</v>
      </c>
      <c r="L13" s="774">
        <f t="shared" ref="L13" si="6">SUM(L14:L16)</f>
        <v>67369.240000000005</v>
      </c>
      <c r="M13" s="773">
        <f t="shared" si="2"/>
        <v>3162483.9242339367</v>
      </c>
      <c r="N13" s="774">
        <f>SUM(N14:N16)</f>
        <v>1354285.984850389</v>
      </c>
      <c r="O13" s="774">
        <f t="shared" ref="O13" si="7">SUM(O14:O16)</f>
        <v>1212900.4366144978</v>
      </c>
      <c r="P13" s="774">
        <f t="shared" ref="P13" si="8">SUM(P14:P16)</f>
        <v>592744.26362727769</v>
      </c>
      <c r="Q13" s="774">
        <f t="shared" ref="Q13:R13" si="9">SUM(Q14:Q16)</f>
        <v>2553.2391417725999</v>
      </c>
      <c r="R13" s="775">
        <f t="shared" si="9"/>
        <v>17944</v>
      </c>
      <c r="S13" s="780">
        <v>0.19683972147815343</v>
      </c>
      <c r="T13" s="780">
        <v>0.25302491369603219</v>
      </c>
      <c r="U13" s="780">
        <v>0.19</v>
      </c>
      <c r="V13" s="774">
        <v>68.104471000000004</v>
      </c>
    </row>
    <row r="14" spans="1:22">
      <c r="A14" s="582">
        <v>7.1</v>
      </c>
      <c r="B14" s="581" t="s">
        <v>699</v>
      </c>
      <c r="C14" s="773">
        <f t="shared" si="0"/>
        <v>70891480.711500004</v>
      </c>
      <c r="D14" s="771">
        <v>69614290.344099998</v>
      </c>
      <c r="E14" s="771">
        <v>1200300.0873999998</v>
      </c>
      <c r="F14" s="771">
        <v>70704.44</v>
      </c>
      <c r="G14" s="771">
        <v>6185.84</v>
      </c>
      <c r="H14" s="773">
        <f t="shared" si="1"/>
        <v>70538176.983497784</v>
      </c>
      <c r="I14" s="771">
        <v>69216961.091490999</v>
      </c>
      <c r="J14" s="771">
        <v>1235083.6974288626</v>
      </c>
      <c r="K14" s="771">
        <v>79946.354577919294</v>
      </c>
      <c r="L14" s="771">
        <v>6185.84</v>
      </c>
      <c r="M14" s="773">
        <f t="shared" si="2"/>
        <v>933280.67792723712</v>
      </c>
      <c r="N14" s="771">
        <v>342246.74669831916</v>
      </c>
      <c r="O14" s="771">
        <v>531760.33873009915</v>
      </c>
      <c r="P14" s="771">
        <v>59220.548245086859</v>
      </c>
      <c r="Q14" s="771">
        <v>53.04425373191728</v>
      </c>
      <c r="R14" s="776">
        <v>1099</v>
      </c>
      <c r="S14" s="778">
        <v>0.14620447917839596</v>
      </c>
      <c r="T14" s="778">
        <v>0.16363227952465484</v>
      </c>
      <c r="U14" s="778">
        <v>0.14000000000000001</v>
      </c>
      <c r="V14" s="771">
        <v>119.171907</v>
      </c>
    </row>
    <row r="15" spans="1:22" ht="24">
      <c r="A15" s="582">
        <v>7.2</v>
      </c>
      <c r="B15" s="581" t="s">
        <v>700</v>
      </c>
      <c r="C15" s="773">
        <f t="shared" si="0"/>
        <v>3261573.1516000004</v>
      </c>
      <c r="D15" s="771">
        <v>3184725.3616000004</v>
      </c>
      <c r="E15" s="771">
        <v>76847.790000000008</v>
      </c>
      <c r="F15" s="771"/>
      <c r="G15" s="771"/>
      <c r="H15" s="773">
        <f t="shared" si="1"/>
        <v>3254492.3620321793</v>
      </c>
      <c r="I15" s="771">
        <v>3176403.8976306315</v>
      </c>
      <c r="J15" s="771">
        <v>78088.464401547884</v>
      </c>
      <c r="K15" s="771"/>
      <c r="L15" s="771"/>
      <c r="M15" s="773">
        <f t="shared" si="2"/>
        <v>15385.192336951892</v>
      </c>
      <c r="N15" s="771">
        <v>9987.6459437376634</v>
      </c>
      <c r="O15" s="771">
        <v>5397.5463932142293</v>
      </c>
      <c r="P15" s="771"/>
      <c r="Q15" s="771"/>
      <c r="R15" s="776">
        <v>58</v>
      </c>
      <c r="S15" s="778">
        <v>0.11979220928313818</v>
      </c>
      <c r="T15" s="778">
        <v>0.13979220928313815</v>
      </c>
      <c r="U15" s="778">
        <v>0.13</v>
      </c>
      <c r="V15" s="771">
        <v>89.925995</v>
      </c>
    </row>
    <row r="16" spans="1:22">
      <c r="A16" s="582">
        <v>7.3</v>
      </c>
      <c r="B16" s="581" t="s">
        <v>701</v>
      </c>
      <c r="C16" s="773">
        <f t="shared" si="0"/>
        <v>105997045.98719987</v>
      </c>
      <c r="D16" s="771">
        <v>101863990.77379987</v>
      </c>
      <c r="E16" s="771">
        <v>3591620.6334000062</v>
      </c>
      <c r="F16" s="771">
        <v>480504.55999999988</v>
      </c>
      <c r="G16" s="771">
        <v>60930.020000000004</v>
      </c>
      <c r="H16" s="773">
        <f t="shared" si="1"/>
        <v>104931755.67599073</v>
      </c>
      <c r="I16" s="771">
        <v>100603037.44414316</v>
      </c>
      <c r="J16" s="771">
        <v>3655956.4842283004</v>
      </c>
      <c r="K16" s="771">
        <v>611578.34761926369</v>
      </c>
      <c r="L16" s="771">
        <v>61183.4</v>
      </c>
      <c r="M16" s="773">
        <f t="shared" si="2"/>
        <v>2213818.0539697483</v>
      </c>
      <c r="N16" s="771">
        <v>1002051.5922083323</v>
      </c>
      <c r="O16" s="771">
        <v>675742.55149118439</v>
      </c>
      <c r="P16" s="771">
        <v>533523.71538219089</v>
      </c>
      <c r="Q16" s="771">
        <v>2500.1948880406826</v>
      </c>
      <c r="R16" s="776">
        <v>16787</v>
      </c>
      <c r="S16" s="778">
        <v>0.23659223229488213</v>
      </c>
      <c r="T16" s="778">
        <v>0.32578875425727993</v>
      </c>
      <c r="U16" s="778">
        <v>0.22</v>
      </c>
      <c r="V16" s="771">
        <v>33.233232000000001</v>
      </c>
    </row>
    <row r="17" spans="1:22">
      <c r="A17" s="584">
        <v>8</v>
      </c>
      <c r="B17" s="587" t="s">
        <v>702</v>
      </c>
      <c r="C17" s="773">
        <f t="shared" si="0"/>
        <v>0</v>
      </c>
      <c r="D17" s="771"/>
      <c r="E17" s="771"/>
      <c r="F17" s="771"/>
      <c r="G17" s="771"/>
      <c r="H17" s="773">
        <f t="shared" si="1"/>
        <v>0</v>
      </c>
      <c r="I17" s="771"/>
      <c r="J17" s="771"/>
      <c r="K17" s="771"/>
      <c r="L17" s="771"/>
      <c r="M17" s="773">
        <f t="shared" si="2"/>
        <v>0</v>
      </c>
      <c r="N17" s="771"/>
      <c r="O17" s="771"/>
      <c r="P17" s="771"/>
      <c r="Q17" s="771"/>
      <c r="R17" s="776"/>
      <c r="S17" s="778"/>
      <c r="T17" s="778"/>
      <c r="U17" s="778"/>
      <c r="V17" s="771"/>
    </row>
    <row r="18" spans="1:22">
      <c r="A18" s="586">
        <v>9</v>
      </c>
      <c r="B18" s="585" t="s">
        <v>703</v>
      </c>
      <c r="C18" s="773">
        <f t="shared" si="0"/>
        <v>2892120.5538999969</v>
      </c>
      <c r="D18" s="772">
        <v>2829516.0999999968</v>
      </c>
      <c r="E18" s="772">
        <v>56583.833899999991</v>
      </c>
      <c r="F18" s="772">
        <v>6020.62</v>
      </c>
      <c r="G18" s="772"/>
      <c r="H18" s="773">
        <f t="shared" si="1"/>
        <v>2906593.6809562147</v>
      </c>
      <c r="I18" s="772">
        <v>2841577.0929606184</v>
      </c>
      <c r="J18" s="772">
        <v>57710.760927810588</v>
      </c>
      <c r="K18" s="772">
        <v>7305.8270677853443</v>
      </c>
      <c r="L18" s="772"/>
      <c r="M18" s="773">
        <f t="shared" si="2"/>
        <v>65237.160982403453</v>
      </c>
      <c r="N18" s="772">
        <v>38510.466162064578</v>
      </c>
      <c r="O18" s="772">
        <v>20453.84256527881</v>
      </c>
      <c r="P18" s="772">
        <v>6272.8522550600619</v>
      </c>
      <c r="Q18" s="772"/>
      <c r="R18" s="777">
        <v>1101</v>
      </c>
      <c r="S18" s="779">
        <v>7.3307132707982017E-2</v>
      </c>
      <c r="T18" s="779">
        <v>9.2906800296432238E-2</v>
      </c>
      <c r="U18" s="779">
        <v>0.08</v>
      </c>
      <c r="V18" s="772">
        <v>40.746054999999998</v>
      </c>
    </row>
    <row r="19" spans="1:22">
      <c r="A19" s="584">
        <v>10</v>
      </c>
      <c r="B19" s="583" t="s">
        <v>720</v>
      </c>
      <c r="C19" s="773">
        <f>SUM(C7:C13)+C17+C18</f>
        <v>1202736914.2292037</v>
      </c>
      <c r="D19" s="773">
        <f t="shared" ref="D19:G19" si="10">SUM(D7:D13)+D17+D18</f>
        <v>1136913515.3055036</v>
      </c>
      <c r="E19" s="773">
        <f t="shared" si="10"/>
        <v>57042177.260300048</v>
      </c>
      <c r="F19" s="773">
        <f t="shared" si="10"/>
        <v>8551684.1434000004</v>
      </c>
      <c r="G19" s="773">
        <f t="shared" si="10"/>
        <v>229537.52000000002</v>
      </c>
      <c r="H19" s="773">
        <f>SUM(H7:H13)+H17+H18</f>
        <v>1197256238.0486732</v>
      </c>
      <c r="I19" s="773">
        <f t="shared" ref="I19:L19" si="11">SUM(I7:I13)+I17+I18</f>
        <v>1127019077.8187995</v>
      </c>
      <c r="J19" s="773">
        <f t="shared" si="11"/>
        <v>58750375.156175189</v>
      </c>
      <c r="K19" s="773">
        <f t="shared" si="11"/>
        <v>11256246.943698479</v>
      </c>
      <c r="L19" s="773">
        <f t="shared" si="11"/>
        <v>230538.13</v>
      </c>
      <c r="M19" s="773">
        <f>SUM(M7:M13)+M17+M18</f>
        <v>32678067.260447621</v>
      </c>
      <c r="N19" s="773">
        <f t="shared" ref="N19:Q19" si="12">SUM(N7:N13)+N17+N18</f>
        <v>12560467.520712039</v>
      </c>
      <c r="O19" s="773">
        <f t="shared" si="12"/>
        <v>10362447.274766382</v>
      </c>
      <c r="P19" s="773">
        <f t="shared" si="12"/>
        <v>9736608.4528006334</v>
      </c>
      <c r="Q19" s="773">
        <f t="shared" si="12"/>
        <v>18544.012168575824</v>
      </c>
      <c r="R19" s="773">
        <f>SUM(R7:R13)+R17+R18</f>
        <v>489466</v>
      </c>
      <c r="S19" s="780">
        <v>0.19581357114377507</v>
      </c>
      <c r="T19" s="780">
        <v>0.30009144400602972</v>
      </c>
      <c r="U19" s="789">
        <v>0.200565276946957</v>
      </c>
      <c r="V19" s="782">
        <v>43.967947164102156</v>
      </c>
    </row>
    <row r="20" spans="1:22" ht="24">
      <c r="A20" s="582">
        <v>10.1</v>
      </c>
      <c r="B20" s="581" t="s">
        <v>723</v>
      </c>
      <c r="C20" s="773">
        <f t="shared" si="0"/>
        <v>762163.77</v>
      </c>
      <c r="D20" s="771">
        <v>761838.74</v>
      </c>
      <c r="E20" s="771">
        <v>5.03</v>
      </c>
      <c r="F20" s="771">
        <v>320</v>
      </c>
      <c r="G20" s="771"/>
      <c r="H20" s="773">
        <f t="shared" si="1"/>
        <v>754664.05048402085</v>
      </c>
      <c r="I20" s="771">
        <v>754134.83048402087</v>
      </c>
      <c r="J20" s="771">
        <v>5.12</v>
      </c>
      <c r="K20" s="771">
        <v>524.09999999999991</v>
      </c>
      <c r="L20" s="771"/>
      <c r="M20" s="773">
        <f t="shared" si="2"/>
        <v>7931.8115862574205</v>
      </c>
      <c r="N20" s="771">
        <v>7478.5923733338732</v>
      </c>
      <c r="O20" s="771">
        <v>3.2219933926488222</v>
      </c>
      <c r="P20" s="771">
        <v>449.99721953089795</v>
      </c>
      <c r="Q20" s="771"/>
      <c r="R20" s="771">
        <v>325</v>
      </c>
      <c r="S20" s="778">
        <v>0.21301999999999999</v>
      </c>
      <c r="T20" s="778">
        <v>0.30549999999999999</v>
      </c>
      <c r="U20" s="778">
        <v>0.2288</v>
      </c>
      <c r="V20" s="781">
        <v>28.69</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ignoredErrors>
    <ignoredError sqref="C19 M19 H19" formula="1"/>
    <ignoredError sqref="M7:M12 M20 M14:M18" formulaRange="1"/>
    <ignoredError sqref="M13"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topLeftCell="A5" zoomScale="90" zoomScaleNormal="90" workbookViewId="0">
      <selection activeCell="F69" sqref="F69:G69"/>
    </sheetView>
  </sheetViews>
  <sheetFormatPr defaultRowHeight="14.4"/>
  <cols>
    <col min="1" max="1" width="8.77734375" style="465"/>
    <col min="2" max="2" width="69.21875" style="438" customWidth="1"/>
    <col min="3" max="8" width="15" bestFit="1" customWidth="1"/>
    <col min="11" max="11" width="16.109375" bestFit="1" customWidth="1"/>
  </cols>
  <sheetData>
    <row r="1" spans="1:8">
      <c r="A1" s="13" t="s">
        <v>109</v>
      </c>
      <c r="B1" s="310" t="str">
        <f>Info!C2</f>
        <v>სს "კრედობანკი"</v>
      </c>
      <c r="C1" s="12"/>
      <c r="D1" s="1"/>
      <c r="E1" s="1"/>
      <c r="F1" s="1"/>
      <c r="G1" s="1"/>
    </row>
    <row r="2" spans="1:8">
      <c r="A2" s="13" t="s">
        <v>110</v>
      </c>
      <c r="B2" s="346">
        <f>'1. key ratios'!B2</f>
        <v>45016</v>
      </c>
      <c r="C2" s="12"/>
      <c r="D2" s="1"/>
      <c r="E2" s="1"/>
      <c r="F2" s="1"/>
      <c r="G2" s="1"/>
    </row>
    <row r="3" spans="1:8">
      <c r="A3" s="13"/>
      <c r="B3" s="12"/>
      <c r="C3" s="12"/>
      <c r="D3" s="1"/>
      <c r="E3" s="1"/>
      <c r="F3" s="1"/>
      <c r="G3" s="1"/>
    </row>
    <row r="4" spans="1:8" ht="21" customHeight="1">
      <c r="A4" s="804" t="s">
        <v>26</v>
      </c>
      <c r="B4" s="805" t="s">
        <v>733</v>
      </c>
      <c r="C4" s="807" t="s">
        <v>115</v>
      </c>
      <c r="D4" s="807"/>
      <c r="E4" s="807"/>
      <c r="F4" s="807" t="s">
        <v>116</v>
      </c>
      <c r="G4" s="807"/>
      <c r="H4" s="808"/>
    </row>
    <row r="5" spans="1:8" ht="21" customHeight="1">
      <c r="A5" s="804"/>
      <c r="B5" s="806"/>
      <c r="C5" s="411" t="s">
        <v>27</v>
      </c>
      <c r="D5" s="411" t="s">
        <v>89</v>
      </c>
      <c r="E5" s="411" t="s">
        <v>67</v>
      </c>
      <c r="F5" s="411" t="s">
        <v>27</v>
      </c>
      <c r="G5" s="411" t="s">
        <v>89</v>
      </c>
      <c r="H5" s="411" t="s">
        <v>67</v>
      </c>
    </row>
    <row r="6" spans="1:8" ht="26.55" customHeight="1">
      <c r="A6" s="804"/>
      <c r="B6" s="412" t="s">
        <v>96</v>
      </c>
      <c r="C6" s="809"/>
      <c r="D6" s="810"/>
      <c r="E6" s="810"/>
      <c r="F6" s="810"/>
      <c r="G6" s="810"/>
      <c r="H6" s="811"/>
    </row>
    <row r="7" spans="1:8" ht="22.95" customHeight="1">
      <c r="A7" s="453">
        <v>1</v>
      </c>
      <c r="B7" s="413" t="s">
        <v>847</v>
      </c>
      <c r="C7" s="720">
        <f>SUM(C8:C10)</f>
        <v>112393800.30999999</v>
      </c>
      <c r="D7" s="720">
        <f>SUM(D8:D10)</f>
        <v>171194409.91000003</v>
      </c>
      <c r="E7" s="721">
        <f>C7+D7</f>
        <v>283588210.22000003</v>
      </c>
      <c r="F7" s="720">
        <f>SUM(F8:F10)</f>
        <v>112115982.12</v>
      </c>
      <c r="G7" s="720">
        <f>SUM(G8:G10)</f>
        <v>63013980.710000001</v>
      </c>
      <c r="H7" s="721">
        <f>F7+G7</f>
        <v>175129962.83000001</v>
      </c>
    </row>
    <row r="8" spans="1:8">
      <c r="A8" s="453">
        <v>1.1000000000000001</v>
      </c>
      <c r="B8" s="414" t="s">
        <v>97</v>
      </c>
      <c r="C8" s="720">
        <v>45961325.849999994</v>
      </c>
      <c r="D8" s="720">
        <v>31919568.820000008</v>
      </c>
      <c r="E8" s="721">
        <f t="shared" ref="E8:E36" si="0">C8+D8</f>
        <v>77880894.670000002</v>
      </c>
      <c r="F8" s="720">
        <v>37691043.120000005</v>
      </c>
      <c r="G8" s="720">
        <v>25083907</v>
      </c>
      <c r="H8" s="721">
        <f t="shared" ref="H8:H36" si="1">F8+G8</f>
        <v>62774950.120000005</v>
      </c>
    </row>
    <row r="9" spans="1:8">
      <c r="A9" s="453">
        <v>1.2</v>
      </c>
      <c r="B9" s="414" t="s">
        <v>98</v>
      </c>
      <c r="C9" s="720">
        <v>65219917.539999999</v>
      </c>
      <c r="D9" s="720">
        <v>34598045.750000007</v>
      </c>
      <c r="E9" s="721">
        <f t="shared" si="0"/>
        <v>99817963.290000007</v>
      </c>
      <c r="F9" s="720">
        <v>72804557.090000004</v>
      </c>
      <c r="G9" s="720">
        <v>18162513.710000001</v>
      </c>
      <c r="H9" s="721">
        <f t="shared" si="1"/>
        <v>90967070.800000012</v>
      </c>
    </row>
    <row r="10" spans="1:8">
      <c r="A10" s="453">
        <v>1.3</v>
      </c>
      <c r="B10" s="414" t="s">
        <v>99</v>
      </c>
      <c r="C10" s="720">
        <v>1212556.92</v>
      </c>
      <c r="D10" s="720">
        <v>104676795.34000002</v>
      </c>
      <c r="E10" s="721">
        <f t="shared" si="0"/>
        <v>105889352.26000002</v>
      </c>
      <c r="F10" s="720">
        <v>1620381.91</v>
      </c>
      <c r="G10" s="720">
        <v>19767560</v>
      </c>
      <c r="H10" s="721">
        <f t="shared" si="1"/>
        <v>21387941.91</v>
      </c>
    </row>
    <row r="11" spans="1:8">
      <c r="A11" s="453">
        <v>2</v>
      </c>
      <c r="B11" s="415" t="s">
        <v>734</v>
      </c>
      <c r="C11" s="720"/>
      <c r="D11" s="720"/>
      <c r="E11" s="721">
        <f t="shared" si="0"/>
        <v>0</v>
      </c>
      <c r="F11" s="720"/>
      <c r="G11" s="720"/>
      <c r="H11" s="721">
        <f t="shared" si="1"/>
        <v>0</v>
      </c>
    </row>
    <row r="12" spans="1:8">
      <c r="A12" s="453">
        <v>2.1</v>
      </c>
      <c r="B12" s="416" t="s">
        <v>735</v>
      </c>
      <c r="C12" s="720"/>
      <c r="D12" s="720"/>
      <c r="E12" s="721">
        <f t="shared" si="0"/>
        <v>0</v>
      </c>
      <c r="F12" s="720"/>
      <c r="G12" s="720"/>
      <c r="H12" s="721">
        <f t="shared" si="1"/>
        <v>0</v>
      </c>
    </row>
    <row r="13" spans="1:8" ht="26.55" customHeight="1">
      <c r="A13" s="453">
        <v>3</v>
      </c>
      <c r="B13" s="417" t="s">
        <v>736</v>
      </c>
      <c r="C13" s="720">
        <v>547621.99</v>
      </c>
      <c r="D13" s="720"/>
      <c r="E13" s="721">
        <f t="shared" si="0"/>
        <v>547621.99</v>
      </c>
      <c r="F13" s="720">
        <v>2209072.0499999998</v>
      </c>
      <c r="G13" s="720"/>
      <c r="H13" s="721">
        <f t="shared" si="1"/>
        <v>2209072.0499999998</v>
      </c>
    </row>
    <row r="14" spans="1:8" ht="26.55" customHeight="1">
      <c r="A14" s="453">
        <v>4</v>
      </c>
      <c r="B14" s="418" t="s">
        <v>737</v>
      </c>
      <c r="C14" s="720"/>
      <c r="D14" s="720"/>
      <c r="E14" s="721">
        <f t="shared" si="0"/>
        <v>0</v>
      </c>
      <c r="F14" s="720"/>
      <c r="G14" s="720"/>
      <c r="H14" s="721">
        <f t="shared" si="1"/>
        <v>0</v>
      </c>
    </row>
    <row r="15" spans="1:8" ht="24.45" customHeight="1">
      <c r="A15" s="453">
        <v>5</v>
      </c>
      <c r="B15" s="418" t="s">
        <v>738</v>
      </c>
      <c r="C15" s="722">
        <f>SUM(C16:C18)</f>
        <v>0</v>
      </c>
      <c r="D15" s="722">
        <f>SUM(D16:D18)</f>
        <v>0</v>
      </c>
      <c r="E15" s="723">
        <f t="shared" si="0"/>
        <v>0</v>
      </c>
      <c r="F15" s="722">
        <f>SUM(F16:F18)</f>
        <v>0</v>
      </c>
      <c r="G15" s="722">
        <f>SUM(G16:G18)</f>
        <v>0</v>
      </c>
      <c r="H15" s="723">
        <f t="shared" si="1"/>
        <v>0</v>
      </c>
    </row>
    <row r="16" spans="1:8">
      <c r="A16" s="453">
        <v>5.0999999999999996</v>
      </c>
      <c r="B16" s="419" t="s">
        <v>739</v>
      </c>
      <c r="C16" s="720"/>
      <c r="D16" s="720"/>
      <c r="E16" s="721">
        <f t="shared" si="0"/>
        <v>0</v>
      </c>
      <c r="F16" s="720"/>
      <c r="G16" s="720"/>
      <c r="H16" s="721">
        <f t="shared" si="1"/>
        <v>0</v>
      </c>
    </row>
    <row r="17" spans="1:11">
      <c r="A17" s="453">
        <v>5.2</v>
      </c>
      <c r="B17" s="419" t="s">
        <v>570</v>
      </c>
      <c r="C17" s="720"/>
      <c r="D17" s="720"/>
      <c r="E17" s="721">
        <f t="shared" si="0"/>
        <v>0</v>
      </c>
      <c r="F17" s="720"/>
      <c r="G17" s="720"/>
      <c r="H17" s="721">
        <f t="shared" si="1"/>
        <v>0</v>
      </c>
    </row>
    <row r="18" spans="1:11">
      <c r="A18" s="453">
        <v>5.3</v>
      </c>
      <c r="B18" s="419" t="s">
        <v>740</v>
      </c>
      <c r="C18" s="720"/>
      <c r="D18" s="720"/>
      <c r="E18" s="721">
        <f t="shared" si="0"/>
        <v>0</v>
      </c>
      <c r="F18" s="720"/>
      <c r="G18" s="720"/>
      <c r="H18" s="721">
        <f t="shared" si="1"/>
        <v>0</v>
      </c>
    </row>
    <row r="19" spans="1:11">
      <c r="A19" s="453">
        <v>6</v>
      </c>
      <c r="B19" s="417" t="s">
        <v>741</v>
      </c>
      <c r="C19" s="720">
        <f>SUM(C20:C21)</f>
        <v>1625659106.0999999</v>
      </c>
      <c r="D19" s="720">
        <f>SUM(D20:D21)</f>
        <v>187024451.99624085</v>
      </c>
      <c r="E19" s="721">
        <f t="shared" si="0"/>
        <v>1812683558.0962408</v>
      </c>
      <c r="F19" s="720">
        <f>SUM(F20:F21)</f>
        <v>1371861615.9600003</v>
      </c>
      <c r="G19" s="720">
        <f>SUM(G20:G21)</f>
        <v>147594059.42000002</v>
      </c>
      <c r="H19" s="721">
        <f t="shared" si="1"/>
        <v>1519455675.3800004</v>
      </c>
    </row>
    <row r="20" spans="1:11">
      <c r="A20" s="453">
        <v>6.1</v>
      </c>
      <c r="B20" s="419" t="s">
        <v>570</v>
      </c>
      <c r="C20" s="720">
        <v>48473647.099999994</v>
      </c>
      <c r="D20" s="720"/>
      <c r="E20" s="721">
        <f t="shared" si="0"/>
        <v>48473647.099999994</v>
      </c>
      <c r="F20" s="720">
        <v>51571832.420000002</v>
      </c>
      <c r="G20" s="720"/>
      <c r="H20" s="721">
        <f t="shared" si="1"/>
        <v>51571832.420000002</v>
      </c>
    </row>
    <row r="21" spans="1:11">
      <c r="A21" s="453">
        <v>6.2</v>
      </c>
      <c r="B21" s="419" t="s">
        <v>740</v>
      </c>
      <c r="C21" s="720">
        <v>1577185459</v>
      </c>
      <c r="D21" s="720">
        <v>187024451.99624085</v>
      </c>
      <c r="E21" s="721">
        <f t="shared" si="0"/>
        <v>1764209910.9962409</v>
      </c>
      <c r="F21" s="720">
        <v>1320289783.5400002</v>
      </c>
      <c r="G21" s="720">
        <v>147594059.42000002</v>
      </c>
      <c r="H21" s="721">
        <f t="shared" si="1"/>
        <v>1467883842.9600003</v>
      </c>
      <c r="K21" s="726"/>
    </row>
    <row r="22" spans="1:11">
      <c r="A22" s="453">
        <v>7</v>
      </c>
      <c r="B22" s="420" t="s">
        <v>742</v>
      </c>
      <c r="C22" s="720"/>
      <c r="D22" s="720"/>
      <c r="E22" s="721">
        <f t="shared" si="0"/>
        <v>0</v>
      </c>
      <c r="F22" s="720"/>
      <c r="G22" s="720"/>
      <c r="H22" s="721">
        <f t="shared" si="1"/>
        <v>0</v>
      </c>
    </row>
    <row r="23" spans="1:11">
      <c r="A23" s="453">
        <v>8</v>
      </c>
      <c r="B23" s="421" t="s">
        <v>743</v>
      </c>
      <c r="C23" s="720"/>
      <c r="D23" s="720"/>
      <c r="E23" s="721">
        <f t="shared" si="0"/>
        <v>0</v>
      </c>
      <c r="F23" s="720"/>
      <c r="G23" s="720"/>
      <c r="H23" s="721">
        <f t="shared" si="1"/>
        <v>0</v>
      </c>
    </row>
    <row r="24" spans="1:11">
      <c r="A24" s="453">
        <v>9</v>
      </c>
      <c r="B24" s="418" t="s">
        <v>744</v>
      </c>
      <c r="C24" s="720">
        <f>SUM(C25:C26)</f>
        <v>37588515.24000001</v>
      </c>
      <c r="D24" s="720">
        <f>SUM(D25:D26)</f>
        <v>0</v>
      </c>
      <c r="E24" s="721">
        <f t="shared" si="0"/>
        <v>37588515.24000001</v>
      </c>
      <c r="F24" s="720">
        <f>SUM(F25:F26)</f>
        <v>26276258.970000003</v>
      </c>
      <c r="G24" s="720">
        <f>SUM(G25:G26)</f>
        <v>0</v>
      </c>
      <c r="H24" s="721">
        <f t="shared" si="1"/>
        <v>26276258.970000003</v>
      </c>
    </row>
    <row r="25" spans="1:11">
      <c r="A25" s="453">
        <v>9.1</v>
      </c>
      <c r="B25" s="422" t="s">
        <v>745</v>
      </c>
      <c r="C25" s="720">
        <v>37588515.24000001</v>
      </c>
      <c r="D25" s="720"/>
      <c r="E25" s="721">
        <f t="shared" si="0"/>
        <v>37588515.24000001</v>
      </c>
      <c r="F25" s="720">
        <v>26276258.970000003</v>
      </c>
      <c r="G25" s="720"/>
      <c r="H25" s="721">
        <f t="shared" si="1"/>
        <v>26276258.970000003</v>
      </c>
    </row>
    <row r="26" spans="1:11">
      <c r="A26" s="453">
        <v>9.1999999999999993</v>
      </c>
      <c r="B26" s="422" t="s">
        <v>746</v>
      </c>
      <c r="C26" s="720"/>
      <c r="D26" s="720"/>
      <c r="E26" s="721">
        <f t="shared" si="0"/>
        <v>0</v>
      </c>
      <c r="F26" s="720"/>
      <c r="G26" s="720"/>
      <c r="H26" s="721">
        <f t="shared" si="1"/>
        <v>0</v>
      </c>
    </row>
    <row r="27" spans="1:11">
      <c r="A27" s="453">
        <v>10</v>
      </c>
      <c r="B27" s="418" t="s">
        <v>37</v>
      </c>
      <c r="C27" s="720">
        <f>SUM(C28:C29)</f>
        <v>20254474.150000002</v>
      </c>
      <c r="D27" s="720">
        <f>SUM(D28:D29)</f>
        <v>0</v>
      </c>
      <c r="E27" s="721">
        <f t="shared" si="0"/>
        <v>20254474.150000002</v>
      </c>
      <c r="F27" s="720">
        <f>SUM(F28:F29)</f>
        <v>19016919.680000015</v>
      </c>
      <c r="G27" s="720">
        <f>SUM(G28:G29)</f>
        <v>0</v>
      </c>
      <c r="H27" s="721">
        <f t="shared" si="1"/>
        <v>19016919.680000015</v>
      </c>
    </row>
    <row r="28" spans="1:11">
      <c r="A28" s="453">
        <v>10.1</v>
      </c>
      <c r="B28" s="422" t="s">
        <v>747</v>
      </c>
      <c r="C28" s="720"/>
      <c r="D28" s="720"/>
      <c r="E28" s="721">
        <f t="shared" si="0"/>
        <v>0</v>
      </c>
      <c r="F28" s="720"/>
      <c r="G28" s="720"/>
      <c r="H28" s="721">
        <f t="shared" si="1"/>
        <v>0</v>
      </c>
    </row>
    <row r="29" spans="1:11">
      <c r="A29" s="453">
        <v>10.199999999999999</v>
      </c>
      <c r="B29" s="422" t="s">
        <v>748</v>
      </c>
      <c r="C29" s="720">
        <v>20254474.150000002</v>
      </c>
      <c r="D29" s="720"/>
      <c r="E29" s="721">
        <f t="shared" si="0"/>
        <v>20254474.150000002</v>
      </c>
      <c r="F29" s="720">
        <v>19016919.680000015</v>
      </c>
      <c r="G29" s="720"/>
      <c r="H29" s="721">
        <f t="shared" si="1"/>
        <v>19016919.680000015</v>
      </c>
    </row>
    <row r="30" spans="1:11">
      <c r="A30" s="453">
        <v>11</v>
      </c>
      <c r="B30" s="418" t="s">
        <v>749</v>
      </c>
      <c r="C30" s="720">
        <f>SUM(C31:C32)</f>
        <v>1697888.5900000017</v>
      </c>
      <c r="D30" s="720">
        <f>SUM(D31:D32)</f>
        <v>0</v>
      </c>
      <c r="E30" s="721">
        <f t="shared" si="0"/>
        <v>1697888.5900000017</v>
      </c>
      <c r="F30" s="720">
        <f>SUM(F31:F32)</f>
        <v>0</v>
      </c>
      <c r="G30" s="720">
        <f>SUM(G31:G32)</f>
        <v>0</v>
      </c>
      <c r="H30" s="721">
        <f t="shared" si="1"/>
        <v>0</v>
      </c>
    </row>
    <row r="31" spans="1:11">
      <c r="A31" s="453">
        <v>11.1</v>
      </c>
      <c r="B31" s="422" t="s">
        <v>750</v>
      </c>
      <c r="C31" s="720">
        <v>1697888.5900000017</v>
      </c>
      <c r="D31" s="720"/>
      <c r="E31" s="721">
        <f t="shared" si="0"/>
        <v>1697888.5900000017</v>
      </c>
      <c r="F31" s="720"/>
      <c r="G31" s="720"/>
      <c r="H31" s="721">
        <f t="shared" si="1"/>
        <v>0</v>
      </c>
    </row>
    <row r="32" spans="1:11">
      <c r="A32" s="453">
        <v>11.2</v>
      </c>
      <c r="B32" s="422" t="s">
        <v>751</v>
      </c>
      <c r="C32" s="720"/>
      <c r="D32" s="720"/>
      <c r="E32" s="721">
        <f t="shared" si="0"/>
        <v>0</v>
      </c>
      <c r="F32" s="720"/>
      <c r="G32" s="720"/>
      <c r="H32" s="721">
        <f t="shared" si="1"/>
        <v>0</v>
      </c>
    </row>
    <row r="33" spans="1:11">
      <c r="A33" s="453">
        <v>13</v>
      </c>
      <c r="B33" s="418" t="s">
        <v>100</v>
      </c>
      <c r="C33" s="720">
        <v>27614257.449999999</v>
      </c>
      <c r="D33" s="720">
        <v>2716970.83</v>
      </c>
      <c r="E33" s="721">
        <f t="shared" si="0"/>
        <v>30331228.280000001</v>
      </c>
      <c r="F33" s="720">
        <v>13473751</v>
      </c>
      <c r="G33" s="720">
        <v>2027578.8</v>
      </c>
      <c r="H33" s="721">
        <f t="shared" si="1"/>
        <v>15501329.800000001</v>
      </c>
    </row>
    <row r="34" spans="1:11">
      <c r="A34" s="453">
        <v>13.1</v>
      </c>
      <c r="B34" s="423" t="s">
        <v>752</v>
      </c>
      <c r="C34" s="720"/>
      <c r="D34" s="720"/>
      <c r="E34" s="721">
        <f t="shared" si="0"/>
        <v>0</v>
      </c>
      <c r="F34" s="720"/>
      <c r="G34" s="720"/>
      <c r="H34" s="721">
        <f t="shared" si="1"/>
        <v>0</v>
      </c>
    </row>
    <row r="35" spans="1:11">
      <c r="A35" s="453">
        <v>13.2</v>
      </c>
      <c r="B35" s="423" t="s">
        <v>753</v>
      </c>
      <c r="C35" s="720"/>
      <c r="D35" s="720"/>
      <c r="E35" s="721">
        <f t="shared" si="0"/>
        <v>0</v>
      </c>
      <c r="F35" s="720"/>
      <c r="G35" s="720"/>
      <c r="H35" s="721">
        <f t="shared" si="1"/>
        <v>0</v>
      </c>
    </row>
    <row r="36" spans="1:11">
      <c r="A36" s="453">
        <v>14</v>
      </c>
      <c r="B36" s="424" t="s">
        <v>754</v>
      </c>
      <c r="C36" s="720">
        <f>SUM(C7,C11,C13,C14,C15,C19,C22,C23,C24,C27,C30,C33)</f>
        <v>1825755663.8299999</v>
      </c>
      <c r="D36" s="720">
        <f>SUM(D7,D11,D13,D14,D15,D19,D22,D23,D24,D27,D30,D33)</f>
        <v>360935832.73624086</v>
      </c>
      <c r="E36" s="721">
        <f t="shared" si="0"/>
        <v>2186691496.5662408</v>
      </c>
      <c r="F36" s="720">
        <f>SUM(F7,F11,F13,F14,F15,F19,F22,F23,F24,F27,F30,F33)</f>
        <v>1544953599.7800004</v>
      </c>
      <c r="G36" s="720">
        <f>SUM(G7,G11,G13,G14,G15,G19,G22,G23,G24,G27,G30,G33)</f>
        <v>212635618.93000004</v>
      </c>
      <c r="H36" s="721">
        <f t="shared" si="1"/>
        <v>1757589218.7100005</v>
      </c>
      <c r="K36" s="705"/>
    </row>
    <row r="37" spans="1:11" ht="22.5" customHeight="1">
      <c r="A37" s="453"/>
      <c r="B37" s="425" t="s">
        <v>105</v>
      </c>
      <c r="C37" s="798"/>
      <c r="D37" s="799"/>
      <c r="E37" s="799"/>
      <c r="F37" s="799"/>
      <c r="G37" s="799"/>
      <c r="H37" s="800"/>
      <c r="K37" s="727"/>
    </row>
    <row r="38" spans="1:11">
      <c r="A38" s="453">
        <v>15</v>
      </c>
      <c r="B38" s="426" t="s">
        <v>755</v>
      </c>
      <c r="C38" s="724"/>
      <c r="D38" s="724"/>
      <c r="E38" s="725">
        <f>C38+D38</f>
        <v>0</v>
      </c>
      <c r="F38" s="724"/>
      <c r="G38" s="724"/>
      <c r="H38" s="725">
        <f>F38+G38</f>
        <v>0</v>
      </c>
    </row>
    <row r="39" spans="1:11">
      <c r="A39" s="453">
        <v>15.1</v>
      </c>
      <c r="B39" s="428" t="s">
        <v>735</v>
      </c>
      <c r="C39" s="724"/>
      <c r="D39" s="724"/>
      <c r="E39" s="725">
        <f t="shared" ref="E39:E53" si="2">C39+D39</f>
        <v>0</v>
      </c>
      <c r="F39" s="724"/>
      <c r="G39" s="724"/>
      <c r="H39" s="725">
        <f t="shared" ref="H39:H53" si="3">F39+G39</f>
        <v>0</v>
      </c>
    </row>
    <row r="40" spans="1:11" ht="24" customHeight="1">
      <c r="A40" s="453">
        <v>16</v>
      </c>
      <c r="B40" s="420" t="s">
        <v>756</v>
      </c>
      <c r="C40" s="724"/>
      <c r="D40" s="724"/>
      <c r="E40" s="725">
        <f t="shared" si="2"/>
        <v>0</v>
      </c>
      <c r="F40" s="724"/>
      <c r="G40" s="724"/>
      <c r="H40" s="725">
        <f t="shared" si="3"/>
        <v>0</v>
      </c>
    </row>
    <row r="41" spans="1:11">
      <c r="A41" s="453">
        <v>17</v>
      </c>
      <c r="B41" s="420" t="s">
        <v>757</v>
      </c>
      <c r="C41" s="724">
        <f>SUM(C42:C45)</f>
        <v>1298028438.05</v>
      </c>
      <c r="D41" s="724">
        <f>SUM(D42:D45)</f>
        <v>486682576.58999997</v>
      </c>
      <c r="E41" s="725">
        <f t="shared" si="2"/>
        <v>1784711014.6399999</v>
      </c>
      <c r="F41" s="724">
        <f>SUM(F42:F45)</f>
        <v>1209138876.8599999</v>
      </c>
      <c r="G41" s="724">
        <f>SUM(G42:G45)</f>
        <v>211378503.88000003</v>
      </c>
      <c r="H41" s="725">
        <f t="shared" si="3"/>
        <v>1420517380.74</v>
      </c>
    </row>
    <row r="42" spans="1:11">
      <c r="A42" s="453">
        <v>17.100000000000001</v>
      </c>
      <c r="B42" s="429" t="s">
        <v>758</v>
      </c>
      <c r="C42" s="724">
        <v>475102771</v>
      </c>
      <c r="D42" s="724">
        <v>203174711</v>
      </c>
      <c r="E42" s="725">
        <f t="shared" si="2"/>
        <v>678277482</v>
      </c>
      <c r="F42" s="724">
        <v>366515528</v>
      </c>
      <c r="G42" s="724">
        <v>77628515</v>
      </c>
      <c r="H42" s="725">
        <f t="shared" si="3"/>
        <v>444144043</v>
      </c>
    </row>
    <row r="43" spans="1:11">
      <c r="A43" s="453">
        <v>17.2</v>
      </c>
      <c r="B43" s="430" t="s">
        <v>101</v>
      </c>
      <c r="C43" s="724">
        <v>811930594</v>
      </c>
      <c r="D43" s="724">
        <v>277168464.76999998</v>
      </c>
      <c r="E43" s="725">
        <f t="shared" si="2"/>
        <v>1089099058.77</v>
      </c>
      <c r="F43" s="724">
        <v>834050308</v>
      </c>
      <c r="G43" s="724">
        <v>126944486.48000002</v>
      </c>
      <c r="H43" s="725">
        <f t="shared" si="3"/>
        <v>960994794.48000002</v>
      </c>
    </row>
    <row r="44" spans="1:11">
      <c r="A44" s="453">
        <v>17.3</v>
      </c>
      <c r="B44" s="429" t="s">
        <v>759</v>
      </c>
      <c r="C44" s="724"/>
      <c r="D44" s="724"/>
      <c r="E44" s="725">
        <f t="shared" si="2"/>
        <v>0</v>
      </c>
      <c r="F44" s="724"/>
      <c r="G44" s="724"/>
      <c r="H44" s="725">
        <f t="shared" si="3"/>
        <v>0</v>
      </c>
    </row>
    <row r="45" spans="1:11">
      <c r="A45" s="453">
        <v>17.399999999999999</v>
      </c>
      <c r="B45" s="429" t="s">
        <v>760</v>
      </c>
      <c r="C45" s="744">
        <v>10995073.049999999</v>
      </c>
      <c r="D45" s="744">
        <v>6339400.8200000003</v>
      </c>
      <c r="E45" s="725">
        <f t="shared" si="2"/>
        <v>17334473.869999997</v>
      </c>
      <c r="F45" s="724">
        <v>8573040.8600000013</v>
      </c>
      <c r="G45" s="724">
        <v>6805502.4000000004</v>
      </c>
      <c r="H45" s="725">
        <f t="shared" si="3"/>
        <v>15378543.260000002</v>
      </c>
    </row>
    <row r="46" spans="1:11">
      <c r="A46" s="453">
        <v>18</v>
      </c>
      <c r="B46" s="418" t="s">
        <v>761</v>
      </c>
      <c r="C46" s="724"/>
      <c r="D46" s="724"/>
      <c r="E46" s="725">
        <f t="shared" si="2"/>
        <v>0</v>
      </c>
      <c r="F46" s="724"/>
      <c r="G46" s="724"/>
      <c r="H46" s="725">
        <f t="shared" si="3"/>
        <v>0</v>
      </c>
    </row>
    <row r="47" spans="1:11">
      <c r="A47" s="453">
        <v>19</v>
      </c>
      <c r="B47" s="418" t="s">
        <v>762</v>
      </c>
      <c r="C47" s="724">
        <f>SUM(C48:C49)</f>
        <v>3787169.63</v>
      </c>
      <c r="D47" s="724">
        <f>SUM(D48:D49)</f>
        <v>0</v>
      </c>
      <c r="E47" s="725">
        <f t="shared" si="2"/>
        <v>3787169.63</v>
      </c>
      <c r="F47" s="724">
        <f>SUM(F48:F49)</f>
        <v>2249669.6600000011</v>
      </c>
      <c r="G47" s="724">
        <f>SUM(G48:G49)</f>
        <v>0</v>
      </c>
      <c r="H47" s="725">
        <f t="shared" si="3"/>
        <v>2249669.6600000011</v>
      </c>
    </row>
    <row r="48" spans="1:11">
      <c r="A48" s="453">
        <v>19.100000000000001</v>
      </c>
      <c r="B48" s="431" t="s">
        <v>763</v>
      </c>
      <c r="C48" s="724"/>
      <c r="D48" s="724"/>
      <c r="E48" s="725">
        <f t="shared" si="2"/>
        <v>0</v>
      </c>
      <c r="F48" s="724">
        <v>807875.31000000099</v>
      </c>
      <c r="G48" s="724"/>
      <c r="H48" s="725">
        <f t="shared" si="3"/>
        <v>807875.31000000099</v>
      </c>
    </row>
    <row r="49" spans="1:8">
      <c r="A49" s="453">
        <v>19.2</v>
      </c>
      <c r="B49" s="432" t="s">
        <v>764</v>
      </c>
      <c r="C49" s="724">
        <v>3787169.63</v>
      </c>
      <c r="D49" s="724"/>
      <c r="E49" s="725">
        <f t="shared" si="2"/>
        <v>3787169.63</v>
      </c>
      <c r="F49" s="724">
        <v>1441794.35</v>
      </c>
      <c r="G49" s="724"/>
      <c r="H49" s="725">
        <f t="shared" si="3"/>
        <v>1441794.35</v>
      </c>
    </row>
    <row r="50" spans="1:8">
      <c r="A50" s="453">
        <v>20</v>
      </c>
      <c r="B50" s="433" t="s">
        <v>102</v>
      </c>
      <c r="C50" s="724">
        <v>62629667.800000004</v>
      </c>
      <c r="D50" s="724">
        <v>33258542.579999991</v>
      </c>
      <c r="E50" s="725">
        <f t="shared" si="2"/>
        <v>95888210.379999995</v>
      </c>
      <c r="F50" s="724">
        <v>62561940.939999998</v>
      </c>
      <c r="G50" s="724">
        <v>15811852.08</v>
      </c>
      <c r="H50" s="725">
        <f t="shared" si="3"/>
        <v>78373793.019999996</v>
      </c>
    </row>
    <row r="51" spans="1:8">
      <c r="A51" s="453">
        <v>21</v>
      </c>
      <c r="B51" s="434" t="s">
        <v>90</v>
      </c>
      <c r="C51" s="724">
        <v>27589898</v>
      </c>
      <c r="D51" s="724">
        <v>5184958.490000017</v>
      </c>
      <c r="E51" s="725">
        <f t="shared" si="2"/>
        <v>32774856.490000017</v>
      </c>
      <c r="F51" s="724">
        <v>23551219</v>
      </c>
      <c r="G51" s="724">
        <v>-971735.02999999747</v>
      </c>
      <c r="H51" s="725">
        <f t="shared" si="3"/>
        <v>22579483.970000003</v>
      </c>
    </row>
    <row r="52" spans="1:8">
      <c r="A52" s="453">
        <v>21.1</v>
      </c>
      <c r="B52" s="430" t="s">
        <v>765</v>
      </c>
      <c r="C52" s="724"/>
      <c r="D52" s="724"/>
      <c r="E52" s="725">
        <f t="shared" si="2"/>
        <v>0</v>
      </c>
      <c r="F52" s="724"/>
      <c r="G52" s="724"/>
      <c r="H52" s="725">
        <f t="shared" si="3"/>
        <v>0</v>
      </c>
    </row>
    <row r="53" spans="1:8">
      <c r="A53" s="453">
        <v>22</v>
      </c>
      <c r="B53" s="433" t="s">
        <v>766</v>
      </c>
      <c r="C53" s="724">
        <f>SUM(C38,C40,C41,C46,C47,C50,C51)</f>
        <v>1392035173.48</v>
      </c>
      <c r="D53" s="724">
        <f>SUM(D38,D40,D41,D46,D47,D50,D51)</f>
        <v>525126077.65999997</v>
      </c>
      <c r="E53" s="725">
        <f t="shared" si="2"/>
        <v>1917161251.1399999</v>
      </c>
      <c r="F53" s="724">
        <f>SUM(F38,F40,F41,F46,F47,F50,F51)</f>
        <v>1297501706.46</v>
      </c>
      <c r="G53" s="724">
        <f>SUM(G38,G40,G41,G46,G47,G50,G51)</f>
        <v>226218620.93000004</v>
      </c>
      <c r="H53" s="725">
        <f t="shared" si="3"/>
        <v>1523720327.3900001</v>
      </c>
    </row>
    <row r="54" spans="1:8" ht="24" customHeight="1">
      <c r="A54" s="453"/>
      <c r="B54" s="435" t="s">
        <v>767</v>
      </c>
      <c r="C54" s="801"/>
      <c r="D54" s="802"/>
      <c r="E54" s="802"/>
      <c r="F54" s="802"/>
      <c r="G54" s="802"/>
      <c r="H54" s="803"/>
    </row>
    <row r="55" spans="1:8">
      <c r="A55" s="453">
        <v>23</v>
      </c>
      <c r="B55" s="433" t="s">
        <v>106</v>
      </c>
      <c r="C55" s="724">
        <v>5186820</v>
      </c>
      <c r="D55" s="724"/>
      <c r="E55" s="725">
        <f>C55+D55</f>
        <v>5186820</v>
      </c>
      <c r="F55" s="724">
        <v>5176780</v>
      </c>
      <c r="G55" s="724"/>
      <c r="H55" s="725">
        <f>F55+G55</f>
        <v>5176780</v>
      </c>
    </row>
    <row r="56" spans="1:8">
      <c r="A56" s="453">
        <v>24</v>
      </c>
      <c r="B56" s="433" t="s">
        <v>768</v>
      </c>
      <c r="C56" s="724"/>
      <c r="D56" s="724"/>
      <c r="E56" s="725">
        <f t="shared" ref="E56:E69" si="4">C56+D56</f>
        <v>0</v>
      </c>
      <c r="F56" s="724"/>
      <c r="G56" s="724"/>
      <c r="H56" s="725">
        <f t="shared" ref="H56:H69" si="5">F56+G56</f>
        <v>0</v>
      </c>
    </row>
    <row r="57" spans="1:8">
      <c r="A57" s="453">
        <v>25</v>
      </c>
      <c r="B57" s="433" t="s">
        <v>103</v>
      </c>
      <c r="C57" s="724">
        <v>35780630.32</v>
      </c>
      <c r="D57" s="724"/>
      <c r="E57" s="725">
        <f t="shared" si="4"/>
        <v>35780630.32</v>
      </c>
      <c r="F57" s="724">
        <v>35305300.5</v>
      </c>
      <c r="G57" s="724"/>
      <c r="H57" s="725">
        <f t="shared" si="5"/>
        <v>35305300.5</v>
      </c>
    </row>
    <row r="58" spans="1:8">
      <c r="A58" s="453">
        <v>26</v>
      </c>
      <c r="B58" s="418" t="s">
        <v>769</v>
      </c>
      <c r="C58" s="724"/>
      <c r="D58" s="724"/>
      <c r="E58" s="725">
        <f t="shared" si="4"/>
        <v>0</v>
      </c>
      <c r="F58" s="724"/>
      <c r="G58" s="724"/>
      <c r="H58" s="725">
        <f t="shared" si="5"/>
        <v>0</v>
      </c>
    </row>
    <row r="59" spans="1:8">
      <c r="A59" s="453">
        <v>27</v>
      </c>
      <c r="B59" s="418" t="s">
        <v>770</v>
      </c>
      <c r="C59" s="724">
        <f>SUM(C60:C61)</f>
        <v>0</v>
      </c>
      <c r="D59" s="724">
        <f>SUM(D60:D61)</f>
        <v>0</v>
      </c>
      <c r="E59" s="725">
        <f t="shared" si="4"/>
        <v>0</v>
      </c>
      <c r="F59" s="724"/>
      <c r="G59" s="724"/>
      <c r="H59" s="725">
        <f t="shared" si="5"/>
        <v>0</v>
      </c>
    </row>
    <row r="60" spans="1:8">
      <c r="A60" s="453">
        <v>27.1</v>
      </c>
      <c r="B60" s="431" t="s">
        <v>771</v>
      </c>
      <c r="C60" s="724"/>
      <c r="D60" s="724"/>
      <c r="E60" s="725">
        <f t="shared" si="4"/>
        <v>0</v>
      </c>
      <c r="F60" s="724"/>
      <c r="G60" s="724"/>
      <c r="H60" s="725">
        <f t="shared" si="5"/>
        <v>0</v>
      </c>
    </row>
    <row r="61" spans="1:8">
      <c r="A61" s="453">
        <v>27.2</v>
      </c>
      <c r="B61" s="429" t="s">
        <v>772</v>
      </c>
      <c r="C61" s="724"/>
      <c r="D61" s="724"/>
      <c r="E61" s="725">
        <f t="shared" si="4"/>
        <v>0</v>
      </c>
      <c r="F61" s="724"/>
      <c r="G61" s="724"/>
      <c r="H61" s="725">
        <f t="shared" si="5"/>
        <v>0</v>
      </c>
    </row>
    <row r="62" spans="1:8">
      <c r="A62" s="453">
        <v>28</v>
      </c>
      <c r="B62" s="434" t="s">
        <v>773</v>
      </c>
      <c r="C62" s="724"/>
      <c r="D62" s="724"/>
      <c r="E62" s="725">
        <f t="shared" si="4"/>
        <v>0</v>
      </c>
      <c r="F62" s="724"/>
      <c r="G62" s="724"/>
      <c r="H62" s="725">
        <f t="shared" si="5"/>
        <v>0</v>
      </c>
    </row>
    <row r="63" spans="1:8">
      <c r="A63" s="453">
        <v>29</v>
      </c>
      <c r="B63" s="418" t="s">
        <v>774</v>
      </c>
      <c r="C63" s="724">
        <f>SUM(C64:C66)</f>
        <v>0</v>
      </c>
      <c r="D63" s="724">
        <f>SUM(D64:D66)</f>
        <v>0</v>
      </c>
      <c r="E63" s="725">
        <f t="shared" si="4"/>
        <v>0</v>
      </c>
      <c r="F63" s="724"/>
      <c r="G63" s="724"/>
      <c r="H63" s="725">
        <f t="shared" si="5"/>
        <v>0</v>
      </c>
    </row>
    <row r="64" spans="1:8">
      <c r="A64" s="453">
        <v>29.1</v>
      </c>
      <c r="B64" s="419" t="s">
        <v>775</v>
      </c>
      <c r="C64" s="724"/>
      <c r="D64" s="724"/>
      <c r="E64" s="725">
        <f t="shared" si="4"/>
        <v>0</v>
      </c>
      <c r="F64" s="724"/>
      <c r="G64" s="724"/>
      <c r="H64" s="725">
        <f t="shared" si="5"/>
        <v>0</v>
      </c>
    </row>
    <row r="65" spans="1:8" ht="25.05" customHeight="1">
      <c r="A65" s="453">
        <v>29.2</v>
      </c>
      <c r="B65" s="431" t="s">
        <v>776</v>
      </c>
      <c r="C65" s="724"/>
      <c r="D65" s="724"/>
      <c r="E65" s="725">
        <f t="shared" si="4"/>
        <v>0</v>
      </c>
      <c r="F65" s="724"/>
      <c r="G65" s="724"/>
      <c r="H65" s="725">
        <f t="shared" si="5"/>
        <v>0</v>
      </c>
    </row>
    <row r="66" spans="1:8" ht="22.5" customHeight="1">
      <c r="A66" s="453">
        <v>29.3</v>
      </c>
      <c r="B66" s="422" t="s">
        <v>777</v>
      </c>
      <c r="C66" s="724"/>
      <c r="D66" s="724"/>
      <c r="E66" s="725">
        <f t="shared" si="4"/>
        <v>0</v>
      </c>
      <c r="F66" s="724"/>
      <c r="G66" s="724"/>
      <c r="H66" s="725">
        <f t="shared" si="5"/>
        <v>0</v>
      </c>
    </row>
    <row r="67" spans="1:8">
      <c r="A67" s="453">
        <v>30</v>
      </c>
      <c r="B67" s="418" t="s">
        <v>104</v>
      </c>
      <c r="C67" s="724">
        <v>228562795.54999998</v>
      </c>
      <c r="D67" s="724"/>
      <c r="E67" s="725">
        <f t="shared" si="4"/>
        <v>228562795.54999998</v>
      </c>
      <c r="F67" s="724">
        <v>193386810.31</v>
      </c>
      <c r="G67" s="724"/>
      <c r="H67" s="725">
        <f t="shared" si="5"/>
        <v>193386810.31</v>
      </c>
    </row>
    <row r="68" spans="1:8">
      <c r="A68" s="453">
        <v>31</v>
      </c>
      <c r="B68" s="436" t="s">
        <v>778</v>
      </c>
      <c r="C68" s="724">
        <f>SUM(C55,C56,C57,C58,C59,C62,C63,C67)</f>
        <v>269530245.87</v>
      </c>
      <c r="D68" s="724">
        <f>SUM(D55,D56,D57,D58,D59,D62,D63,D67)</f>
        <v>0</v>
      </c>
      <c r="E68" s="725">
        <f t="shared" si="4"/>
        <v>269530245.87</v>
      </c>
      <c r="F68" s="724">
        <f>SUM(F55,F56,F57,F58,F59,F62,F63,F67)</f>
        <v>233868890.81</v>
      </c>
      <c r="G68" s="724">
        <f>SUM(G55,G56,G57,G58,G59,G62,G63,G67)</f>
        <v>0</v>
      </c>
      <c r="H68" s="725">
        <f t="shared" si="5"/>
        <v>233868890.81</v>
      </c>
    </row>
    <row r="69" spans="1:8">
      <c r="A69" s="453">
        <v>32</v>
      </c>
      <c r="B69" s="437" t="s">
        <v>779</v>
      </c>
      <c r="C69" s="724">
        <f>SUM(C53,C68)</f>
        <v>1661565419.3499999</v>
      </c>
      <c r="D69" s="724">
        <f>SUM(D53,D68)</f>
        <v>525126077.65999997</v>
      </c>
      <c r="E69" s="725">
        <f t="shared" si="4"/>
        <v>2186691497.0099998</v>
      </c>
      <c r="F69" s="724">
        <f>SUM(F53,F68)</f>
        <v>1531370597.27</v>
      </c>
      <c r="G69" s="724">
        <f>SUM(G53,G68)</f>
        <v>226218620.93000004</v>
      </c>
      <c r="H69" s="725">
        <f t="shared" si="5"/>
        <v>1757589218.2</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ignoredErrors>
    <ignoredError sqref="E15 E19"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topLeftCell="A212" zoomScale="90" zoomScaleNormal="90" workbookViewId="0">
      <selection activeCell="B202" sqref="B202:C202"/>
    </sheetView>
  </sheetViews>
  <sheetFormatPr defaultColWidth="43.5546875" defaultRowHeight="12"/>
  <cols>
    <col min="1" max="1" width="8" style="156" customWidth="1"/>
    <col min="2" max="2" width="66.21875" style="157" customWidth="1"/>
    <col min="3" max="3" width="131.44140625" style="158" customWidth="1"/>
    <col min="4" max="5" width="10.21875" style="149" customWidth="1"/>
    <col min="6" max="16384" width="43.5546875" style="149"/>
  </cols>
  <sheetData>
    <row r="1" spans="1:3" ht="13.2" thickTop="1" thickBot="1">
      <c r="A1" s="964" t="s">
        <v>188</v>
      </c>
      <c r="B1" s="965"/>
      <c r="C1" s="966"/>
    </row>
    <row r="2" spans="1:3" ht="26.25" customHeight="1">
      <c r="A2" s="400"/>
      <c r="B2" s="967" t="s">
        <v>189</v>
      </c>
      <c r="C2" s="967"/>
    </row>
    <row r="3" spans="1:3" s="154" customFormat="1" ht="11.25" customHeight="1">
      <c r="A3" s="153"/>
      <c r="B3" s="967" t="s">
        <v>264</v>
      </c>
      <c r="C3" s="967"/>
    </row>
    <row r="4" spans="1:3" ht="12" customHeight="1" thickBot="1">
      <c r="A4" s="946" t="s">
        <v>268</v>
      </c>
      <c r="B4" s="947"/>
      <c r="C4" s="948"/>
    </row>
    <row r="5" spans="1:3" ht="12.6" thickTop="1">
      <c r="A5" s="150"/>
      <c r="B5" s="949" t="s">
        <v>190</v>
      </c>
      <c r="C5" s="950"/>
    </row>
    <row r="6" spans="1:3">
      <c r="A6" s="400"/>
      <c r="B6" s="926" t="s">
        <v>265</v>
      </c>
      <c r="C6" s="927"/>
    </row>
    <row r="7" spans="1:3">
      <c r="A7" s="400"/>
      <c r="B7" s="926" t="s">
        <v>191</v>
      </c>
      <c r="C7" s="927"/>
    </row>
    <row r="8" spans="1:3">
      <c r="A8" s="400"/>
      <c r="B8" s="926" t="s">
        <v>266</v>
      </c>
      <c r="C8" s="927"/>
    </row>
    <row r="9" spans="1:3">
      <c r="A9" s="400"/>
      <c r="B9" s="968" t="s">
        <v>267</v>
      </c>
      <c r="C9" s="969"/>
    </row>
    <row r="10" spans="1:3">
      <c r="A10" s="400"/>
      <c r="B10" s="962" t="s">
        <v>192</v>
      </c>
      <c r="C10" s="963" t="s">
        <v>192</v>
      </c>
    </row>
    <row r="11" spans="1:3">
      <c r="A11" s="400"/>
      <c r="B11" s="962" t="s">
        <v>193</v>
      </c>
      <c r="C11" s="963" t="s">
        <v>193</v>
      </c>
    </row>
    <row r="12" spans="1:3">
      <c r="A12" s="400"/>
      <c r="B12" s="962" t="s">
        <v>194</v>
      </c>
      <c r="C12" s="963" t="s">
        <v>194</v>
      </c>
    </row>
    <row r="13" spans="1:3">
      <c r="A13" s="400"/>
      <c r="B13" s="962" t="s">
        <v>195</v>
      </c>
      <c r="C13" s="963" t="s">
        <v>195</v>
      </c>
    </row>
    <row r="14" spans="1:3">
      <c r="A14" s="400"/>
      <c r="B14" s="962" t="s">
        <v>196</v>
      </c>
      <c r="C14" s="963" t="s">
        <v>196</v>
      </c>
    </row>
    <row r="15" spans="1:3" ht="21.75" customHeight="1">
      <c r="A15" s="400"/>
      <c r="B15" s="962" t="s">
        <v>197</v>
      </c>
      <c r="C15" s="963" t="s">
        <v>197</v>
      </c>
    </row>
    <row r="16" spans="1:3">
      <c r="A16" s="400"/>
      <c r="B16" s="962" t="s">
        <v>198</v>
      </c>
      <c r="C16" s="963" t="s">
        <v>199</v>
      </c>
    </row>
    <row r="17" spans="1:3">
      <c r="A17" s="400"/>
      <c r="B17" s="962" t="s">
        <v>200</v>
      </c>
      <c r="C17" s="963" t="s">
        <v>201</v>
      </c>
    </row>
    <row r="18" spans="1:3">
      <c r="A18" s="400"/>
      <c r="B18" s="962" t="s">
        <v>202</v>
      </c>
      <c r="C18" s="963" t="s">
        <v>203</v>
      </c>
    </row>
    <row r="19" spans="1:3">
      <c r="A19" s="400"/>
      <c r="B19" s="962" t="s">
        <v>204</v>
      </c>
      <c r="C19" s="963" t="s">
        <v>204</v>
      </c>
    </row>
    <row r="20" spans="1:3">
      <c r="A20" s="400"/>
      <c r="B20" s="962" t="s">
        <v>205</v>
      </c>
      <c r="C20" s="963" t="s">
        <v>205</v>
      </c>
    </row>
    <row r="21" spans="1:3">
      <c r="A21" s="400"/>
      <c r="B21" s="962" t="s">
        <v>206</v>
      </c>
      <c r="C21" s="963" t="s">
        <v>206</v>
      </c>
    </row>
    <row r="22" spans="1:3" ht="23.25" customHeight="1">
      <c r="A22" s="400"/>
      <c r="B22" s="962" t="s">
        <v>207</v>
      </c>
      <c r="C22" s="963" t="s">
        <v>208</v>
      </c>
    </row>
    <row r="23" spans="1:3">
      <c r="A23" s="400"/>
      <c r="B23" s="962" t="s">
        <v>209</v>
      </c>
      <c r="C23" s="963" t="s">
        <v>209</v>
      </c>
    </row>
    <row r="24" spans="1:3">
      <c r="A24" s="400"/>
      <c r="B24" s="962" t="s">
        <v>210</v>
      </c>
      <c r="C24" s="963" t="s">
        <v>211</v>
      </c>
    </row>
    <row r="25" spans="1:3" ht="12.6" thickBot="1">
      <c r="A25" s="151"/>
      <c r="B25" s="956" t="s">
        <v>212</v>
      </c>
      <c r="C25" s="957"/>
    </row>
    <row r="26" spans="1:3" ht="13.2" thickTop="1" thickBot="1">
      <c r="A26" s="946" t="s">
        <v>848</v>
      </c>
      <c r="B26" s="947"/>
      <c r="C26" s="948"/>
    </row>
    <row r="27" spans="1:3" ht="13.2" thickTop="1" thickBot="1">
      <c r="A27" s="152"/>
      <c r="B27" s="958" t="s">
        <v>849</v>
      </c>
      <c r="C27" s="959"/>
    </row>
    <row r="28" spans="1:3" ht="13.2" thickTop="1" thickBot="1">
      <c r="A28" s="946" t="s">
        <v>269</v>
      </c>
      <c r="B28" s="947"/>
      <c r="C28" s="948"/>
    </row>
    <row r="29" spans="1:3" ht="12.6" thickTop="1">
      <c r="A29" s="150"/>
      <c r="B29" s="960" t="s">
        <v>852</v>
      </c>
      <c r="C29" s="961" t="s">
        <v>213</v>
      </c>
    </row>
    <row r="30" spans="1:3">
      <c r="A30" s="400"/>
      <c r="B30" s="951" t="s">
        <v>217</v>
      </c>
      <c r="C30" s="952" t="s">
        <v>214</v>
      </c>
    </row>
    <row r="31" spans="1:3">
      <c r="A31" s="400"/>
      <c r="B31" s="951" t="s">
        <v>850</v>
      </c>
      <c r="C31" s="952" t="s">
        <v>215</v>
      </c>
    </row>
    <row r="32" spans="1:3">
      <c r="A32" s="400"/>
      <c r="B32" s="951" t="s">
        <v>851</v>
      </c>
      <c r="C32" s="952" t="s">
        <v>216</v>
      </c>
    </row>
    <row r="33" spans="1:3">
      <c r="A33" s="400"/>
      <c r="B33" s="951" t="s">
        <v>220</v>
      </c>
      <c r="C33" s="952" t="s">
        <v>221</v>
      </c>
    </row>
    <row r="34" spans="1:3">
      <c r="A34" s="400"/>
      <c r="B34" s="951" t="s">
        <v>853</v>
      </c>
      <c r="C34" s="952" t="s">
        <v>218</v>
      </c>
    </row>
    <row r="35" spans="1:3">
      <c r="A35" s="400"/>
      <c r="B35" s="951" t="s">
        <v>854</v>
      </c>
      <c r="C35" s="952" t="s">
        <v>219</v>
      </c>
    </row>
    <row r="36" spans="1:3">
      <c r="A36" s="400"/>
      <c r="B36" s="953" t="s">
        <v>855</v>
      </c>
      <c r="C36" s="954"/>
    </row>
    <row r="37" spans="1:3" ht="24.75" customHeight="1">
      <c r="A37" s="400"/>
      <c r="B37" s="951" t="s">
        <v>856</v>
      </c>
      <c r="C37" s="952" t="s">
        <v>222</v>
      </c>
    </row>
    <row r="38" spans="1:3" ht="23.25" customHeight="1">
      <c r="A38" s="400"/>
      <c r="B38" s="951" t="s">
        <v>857</v>
      </c>
      <c r="C38" s="952" t="s">
        <v>223</v>
      </c>
    </row>
    <row r="39" spans="1:3" ht="23.25" customHeight="1">
      <c r="A39" s="467"/>
      <c r="B39" s="953" t="s">
        <v>858</v>
      </c>
      <c r="C39" s="955"/>
    </row>
    <row r="40" spans="1:3" ht="12" customHeight="1">
      <c r="A40" s="400"/>
      <c r="B40" s="951" t="s">
        <v>859</v>
      </c>
      <c r="C40" s="952"/>
    </row>
    <row r="41" spans="1:3" ht="12.6" thickBot="1">
      <c r="A41" s="946" t="s">
        <v>270</v>
      </c>
      <c r="B41" s="947"/>
      <c r="C41" s="948"/>
    </row>
    <row r="42" spans="1:3" ht="12.6" thickTop="1">
      <c r="A42" s="150"/>
      <c r="B42" s="949" t="s">
        <v>300</v>
      </c>
      <c r="C42" s="950" t="s">
        <v>224</v>
      </c>
    </row>
    <row r="43" spans="1:3">
      <c r="A43" s="400"/>
      <c r="B43" s="926" t="s">
        <v>299</v>
      </c>
      <c r="C43" s="927"/>
    </row>
    <row r="44" spans="1:3" ht="23.25" customHeight="1" thickBot="1">
      <c r="A44" s="151"/>
      <c r="B44" s="944" t="s">
        <v>225</v>
      </c>
      <c r="C44" s="945" t="s">
        <v>226</v>
      </c>
    </row>
    <row r="45" spans="1:3" ht="11.25" customHeight="1" thickTop="1" thickBot="1">
      <c r="A45" s="946" t="s">
        <v>271</v>
      </c>
      <c r="B45" s="947"/>
      <c r="C45" s="948"/>
    </row>
    <row r="46" spans="1:3" ht="26.25" customHeight="1" thickTop="1">
      <c r="A46" s="400"/>
      <c r="B46" s="926" t="s">
        <v>272</v>
      </c>
      <c r="C46" s="927"/>
    </row>
    <row r="47" spans="1:3" ht="12.6" thickBot="1">
      <c r="A47" s="946" t="s">
        <v>273</v>
      </c>
      <c r="B47" s="947"/>
      <c r="C47" s="948"/>
    </row>
    <row r="48" spans="1:3" ht="12.6" thickTop="1">
      <c r="A48" s="150"/>
      <c r="B48" s="949" t="s">
        <v>227</v>
      </c>
      <c r="C48" s="950" t="s">
        <v>227</v>
      </c>
    </row>
    <row r="49" spans="1:3" ht="11.25" customHeight="1">
      <c r="A49" s="400"/>
      <c r="B49" s="926" t="s">
        <v>228</v>
      </c>
      <c r="C49" s="927" t="s">
        <v>228</v>
      </c>
    </row>
    <row r="50" spans="1:3">
      <c r="A50" s="400"/>
      <c r="B50" s="926" t="s">
        <v>229</v>
      </c>
      <c r="C50" s="927" t="s">
        <v>229</v>
      </c>
    </row>
    <row r="51" spans="1:3" ht="11.25" customHeight="1">
      <c r="A51" s="400"/>
      <c r="B51" s="926" t="s">
        <v>861</v>
      </c>
      <c r="C51" s="927" t="s">
        <v>230</v>
      </c>
    </row>
    <row r="52" spans="1:3" ht="33.6" customHeight="1">
      <c r="A52" s="400"/>
      <c r="B52" s="926" t="s">
        <v>231</v>
      </c>
      <c r="C52" s="927" t="s">
        <v>231</v>
      </c>
    </row>
    <row r="53" spans="1:3" ht="11.25" customHeight="1">
      <c r="A53" s="400"/>
      <c r="B53" s="926" t="s">
        <v>320</v>
      </c>
      <c r="C53" s="927" t="s">
        <v>232</v>
      </c>
    </row>
    <row r="54" spans="1:3" ht="11.25" customHeight="1" thickBot="1">
      <c r="A54" s="946" t="s">
        <v>274</v>
      </c>
      <c r="B54" s="947"/>
      <c r="C54" s="948"/>
    </row>
    <row r="55" spans="1:3" ht="12.6" thickTop="1">
      <c r="A55" s="150"/>
      <c r="B55" s="949" t="s">
        <v>227</v>
      </c>
      <c r="C55" s="950" t="s">
        <v>227</v>
      </c>
    </row>
    <row r="56" spans="1:3">
      <c r="A56" s="400"/>
      <c r="B56" s="926" t="s">
        <v>233</v>
      </c>
      <c r="C56" s="927" t="s">
        <v>233</v>
      </c>
    </row>
    <row r="57" spans="1:3">
      <c r="A57" s="400"/>
      <c r="B57" s="926" t="s">
        <v>277</v>
      </c>
      <c r="C57" s="927" t="s">
        <v>234</v>
      </c>
    </row>
    <row r="58" spans="1:3">
      <c r="A58" s="400"/>
      <c r="B58" s="926" t="s">
        <v>235</v>
      </c>
      <c r="C58" s="927" t="s">
        <v>235</v>
      </c>
    </row>
    <row r="59" spans="1:3">
      <c r="A59" s="400"/>
      <c r="B59" s="926" t="s">
        <v>236</v>
      </c>
      <c r="C59" s="927" t="s">
        <v>236</v>
      </c>
    </row>
    <row r="60" spans="1:3">
      <c r="A60" s="400"/>
      <c r="B60" s="926" t="s">
        <v>237</v>
      </c>
      <c r="C60" s="927" t="s">
        <v>237</v>
      </c>
    </row>
    <row r="61" spans="1:3">
      <c r="A61" s="400"/>
      <c r="B61" s="926" t="s">
        <v>278</v>
      </c>
      <c r="C61" s="927" t="s">
        <v>238</v>
      </c>
    </row>
    <row r="62" spans="1:3">
      <c r="A62" s="400"/>
      <c r="B62" s="926" t="s">
        <v>239</v>
      </c>
      <c r="C62" s="927" t="s">
        <v>239</v>
      </c>
    </row>
    <row r="63" spans="1:3" ht="12.6" thickBot="1">
      <c r="A63" s="151"/>
      <c r="B63" s="944" t="s">
        <v>240</v>
      </c>
      <c r="C63" s="945" t="s">
        <v>240</v>
      </c>
    </row>
    <row r="64" spans="1:3" ht="11.25" customHeight="1" thickTop="1">
      <c r="A64" s="932" t="s">
        <v>275</v>
      </c>
      <c r="B64" s="933"/>
      <c r="C64" s="934"/>
    </row>
    <row r="65" spans="1:3" ht="12.6" thickBot="1">
      <c r="A65" s="151"/>
      <c r="B65" s="944" t="s">
        <v>241</v>
      </c>
      <c r="C65" s="945" t="s">
        <v>241</v>
      </c>
    </row>
    <row r="66" spans="1:3" ht="11.25" customHeight="1" thickTop="1" thickBot="1">
      <c r="A66" s="946" t="s">
        <v>276</v>
      </c>
      <c r="B66" s="947"/>
      <c r="C66" s="948"/>
    </row>
    <row r="67" spans="1:3" ht="12.6" thickTop="1">
      <c r="A67" s="150"/>
      <c r="B67" s="949" t="s">
        <v>242</v>
      </c>
      <c r="C67" s="950" t="s">
        <v>242</v>
      </c>
    </row>
    <row r="68" spans="1:3">
      <c r="A68" s="400"/>
      <c r="B68" s="926" t="s">
        <v>863</v>
      </c>
      <c r="C68" s="927" t="s">
        <v>243</v>
      </c>
    </row>
    <row r="69" spans="1:3">
      <c r="A69" s="400"/>
      <c r="B69" s="926" t="s">
        <v>244</v>
      </c>
      <c r="C69" s="927" t="s">
        <v>244</v>
      </c>
    </row>
    <row r="70" spans="1:3" ht="55.05" customHeight="1">
      <c r="A70" s="400"/>
      <c r="B70" s="942" t="s">
        <v>690</v>
      </c>
      <c r="C70" s="943" t="s">
        <v>245</v>
      </c>
    </row>
    <row r="71" spans="1:3" ht="33.75" customHeight="1">
      <c r="A71" s="400"/>
      <c r="B71" s="942" t="s">
        <v>279</v>
      </c>
      <c r="C71" s="943" t="s">
        <v>246</v>
      </c>
    </row>
    <row r="72" spans="1:3" ht="15.75" customHeight="1">
      <c r="A72" s="400"/>
      <c r="B72" s="942" t="s">
        <v>864</v>
      </c>
      <c r="C72" s="943" t="s">
        <v>247</v>
      </c>
    </row>
    <row r="73" spans="1:3">
      <c r="A73" s="400"/>
      <c r="B73" s="926" t="s">
        <v>248</v>
      </c>
      <c r="C73" s="927" t="s">
        <v>248</v>
      </c>
    </row>
    <row r="74" spans="1:3" ht="12.6" thickBot="1">
      <c r="A74" s="151"/>
      <c r="B74" s="944" t="s">
        <v>249</v>
      </c>
      <c r="C74" s="945" t="s">
        <v>249</v>
      </c>
    </row>
    <row r="75" spans="1:3" ht="12.6" thickTop="1">
      <c r="A75" s="932" t="s">
        <v>303</v>
      </c>
      <c r="B75" s="933"/>
      <c r="C75" s="934"/>
    </row>
    <row r="76" spans="1:3">
      <c r="A76" s="400"/>
      <c r="B76" s="926" t="s">
        <v>241</v>
      </c>
      <c r="C76" s="927"/>
    </row>
    <row r="77" spans="1:3">
      <c r="A77" s="400"/>
      <c r="B77" s="926" t="s">
        <v>301</v>
      </c>
      <c r="C77" s="927"/>
    </row>
    <row r="78" spans="1:3">
      <c r="A78" s="400"/>
      <c r="B78" s="926" t="s">
        <v>302</v>
      </c>
      <c r="C78" s="927"/>
    </row>
    <row r="79" spans="1:3">
      <c r="A79" s="932" t="s">
        <v>304</v>
      </c>
      <c r="B79" s="933"/>
      <c r="C79" s="934"/>
    </row>
    <row r="80" spans="1:3">
      <c r="A80" s="400"/>
      <c r="B80" s="926" t="s">
        <v>241</v>
      </c>
      <c r="C80" s="927"/>
    </row>
    <row r="81" spans="1:3">
      <c r="A81" s="400"/>
      <c r="B81" s="926" t="s">
        <v>305</v>
      </c>
      <c r="C81" s="927"/>
    </row>
    <row r="82" spans="1:3" ht="79.5" customHeight="1">
      <c r="A82" s="400"/>
      <c r="B82" s="926" t="s">
        <v>319</v>
      </c>
      <c r="C82" s="927"/>
    </row>
    <row r="83" spans="1:3" ht="53.25" customHeight="1">
      <c r="A83" s="400"/>
      <c r="B83" s="926" t="s">
        <v>318</v>
      </c>
      <c r="C83" s="927"/>
    </row>
    <row r="84" spans="1:3">
      <c r="A84" s="400"/>
      <c r="B84" s="926" t="s">
        <v>306</v>
      </c>
      <c r="C84" s="927"/>
    </row>
    <row r="85" spans="1:3">
      <c r="A85" s="400"/>
      <c r="B85" s="926" t="s">
        <v>307</v>
      </c>
      <c r="C85" s="927"/>
    </row>
    <row r="86" spans="1:3">
      <c r="A86" s="400"/>
      <c r="B86" s="926" t="s">
        <v>308</v>
      </c>
      <c r="C86" s="927"/>
    </row>
    <row r="87" spans="1:3">
      <c r="A87" s="932" t="s">
        <v>309</v>
      </c>
      <c r="B87" s="933"/>
      <c r="C87" s="934"/>
    </row>
    <row r="88" spans="1:3">
      <c r="A88" s="400"/>
      <c r="B88" s="926" t="s">
        <v>241</v>
      </c>
      <c r="C88" s="927"/>
    </row>
    <row r="89" spans="1:3">
      <c r="A89" s="400"/>
      <c r="B89" s="926" t="s">
        <v>311</v>
      </c>
      <c r="C89" s="927"/>
    </row>
    <row r="90" spans="1:3" ht="12" customHeight="1">
      <c r="A90" s="400"/>
      <c r="B90" s="926" t="s">
        <v>312</v>
      </c>
      <c r="C90" s="927"/>
    </row>
    <row r="91" spans="1:3">
      <c r="A91" s="400"/>
      <c r="B91" s="926" t="s">
        <v>313</v>
      </c>
      <c r="C91" s="927"/>
    </row>
    <row r="92" spans="1:3" ht="24.75" customHeight="1">
      <c r="A92" s="400"/>
      <c r="B92" s="935" t="s">
        <v>349</v>
      </c>
      <c r="C92" s="936"/>
    </row>
    <row r="93" spans="1:3" ht="24" customHeight="1">
      <c r="A93" s="400"/>
      <c r="B93" s="935" t="s">
        <v>350</v>
      </c>
      <c r="C93" s="936"/>
    </row>
    <row r="94" spans="1:3" ht="13.5" customHeight="1">
      <c r="A94" s="400"/>
      <c r="B94" s="937" t="s">
        <v>314</v>
      </c>
      <c r="C94" s="938"/>
    </row>
    <row r="95" spans="1:3" ht="11.25" customHeight="1" thickBot="1">
      <c r="A95" s="939" t="s">
        <v>345</v>
      </c>
      <c r="B95" s="940"/>
      <c r="C95" s="941"/>
    </row>
    <row r="96" spans="1:3" ht="13.2" thickTop="1" thickBot="1">
      <c r="A96" s="931" t="s">
        <v>250</v>
      </c>
      <c r="B96" s="931"/>
      <c r="C96" s="931"/>
    </row>
    <row r="97" spans="1:3">
      <c r="A97" s="232">
        <v>2</v>
      </c>
      <c r="B97" s="388" t="s">
        <v>325</v>
      </c>
      <c r="C97" s="388" t="s">
        <v>346</v>
      </c>
    </row>
    <row r="98" spans="1:3">
      <c r="A98" s="155">
        <v>3</v>
      </c>
      <c r="B98" s="389" t="s">
        <v>326</v>
      </c>
      <c r="C98" s="390" t="s">
        <v>347</v>
      </c>
    </row>
    <row r="99" spans="1:3">
      <c r="A99" s="155">
        <v>4</v>
      </c>
      <c r="B99" s="389" t="s">
        <v>327</v>
      </c>
      <c r="C99" s="390" t="s">
        <v>351</v>
      </c>
    </row>
    <row r="100" spans="1:3" ht="11.25" customHeight="1">
      <c r="A100" s="155">
        <v>5</v>
      </c>
      <c r="B100" s="389" t="s">
        <v>328</v>
      </c>
      <c r="C100" s="390" t="s">
        <v>348</v>
      </c>
    </row>
    <row r="101" spans="1:3" ht="12" customHeight="1">
      <c r="A101" s="155">
        <v>6</v>
      </c>
      <c r="B101" s="389" t="s">
        <v>343</v>
      </c>
      <c r="C101" s="390" t="s">
        <v>329</v>
      </c>
    </row>
    <row r="102" spans="1:3" ht="12" customHeight="1">
      <c r="A102" s="155">
        <v>7</v>
      </c>
      <c r="B102" s="389" t="s">
        <v>330</v>
      </c>
      <c r="C102" s="390" t="s">
        <v>344</v>
      </c>
    </row>
    <row r="103" spans="1:3">
      <c r="A103" s="155">
        <v>8</v>
      </c>
      <c r="B103" s="389" t="s">
        <v>335</v>
      </c>
      <c r="C103" s="390" t="s">
        <v>355</v>
      </c>
    </row>
    <row r="104" spans="1:3" ht="11.25" customHeight="1">
      <c r="A104" s="932" t="s">
        <v>315</v>
      </c>
      <c r="B104" s="933"/>
      <c r="C104" s="934"/>
    </row>
    <row r="105" spans="1:3" ht="12" customHeight="1">
      <c r="A105" s="400"/>
      <c r="B105" s="926" t="s">
        <v>241</v>
      </c>
      <c r="C105" s="927"/>
    </row>
    <row r="106" spans="1:3">
      <c r="A106" s="932" t="s">
        <v>490</v>
      </c>
      <c r="B106" s="933"/>
      <c r="C106" s="934"/>
    </row>
    <row r="107" spans="1:3" ht="12" customHeight="1">
      <c r="A107" s="400"/>
      <c r="B107" s="926" t="s">
        <v>492</v>
      </c>
      <c r="C107" s="927"/>
    </row>
    <row r="108" spans="1:3">
      <c r="A108" s="400"/>
      <c r="B108" s="926" t="s">
        <v>493</v>
      </c>
      <c r="C108" s="927"/>
    </row>
    <row r="109" spans="1:3">
      <c r="A109" s="400"/>
      <c r="B109" s="926" t="s">
        <v>491</v>
      </c>
      <c r="C109" s="927"/>
    </row>
    <row r="110" spans="1:3">
      <c r="A110" s="924" t="s">
        <v>728</v>
      </c>
      <c r="B110" s="924"/>
      <c r="C110" s="924"/>
    </row>
    <row r="111" spans="1:3">
      <c r="A111" s="928" t="s">
        <v>188</v>
      </c>
      <c r="B111" s="928"/>
      <c r="C111" s="928"/>
    </row>
    <row r="112" spans="1:3">
      <c r="A112" s="618">
        <v>1</v>
      </c>
      <c r="B112" s="917" t="s">
        <v>608</v>
      </c>
      <c r="C112" s="918"/>
    </row>
    <row r="113" spans="1:3">
      <c r="A113" s="618">
        <v>2</v>
      </c>
      <c r="B113" s="929" t="s">
        <v>609</v>
      </c>
      <c r="C113" s="930"/>
    </row>
    <row r="114" spans="1:3">
      <c r="A114" s="618">
        <v>3</v>
      </c>
      <c r="B114" s="917" t="s">
        <v>945</v>
      </c>
      <c r="C114" s="918"/>
    </row>
    <row r="115" spans="1:3">
      <c r="A115" s="618">
        <v>4</v>
      </c>
      <c r="B115" s="917" t="s">
        <v>944</v>
      </c>
      <c r="C115" s="918"/>
    </row>
    <row r="116" spans="1:3">
      <c r="A116" s="618">
        <v>5</v>
      </c>
      <c r="B116" s="622" t="s">
        <v>943</v>
      </c>
      <c r="C116" s="621"/>
    </row>
    <row r="117" spans="1:3">
      <c r="A117" s="618">
        <v>6</v>
      </c>
      <c r="B117" s="917" t="s">
        <v>942</v>
      </c>
      <c r="C117" s="918"/>
    </row>
    <row r="118" spans="1:3">
      <c r="A118" s="618">
        <v>7</v>
      </c>
      <c r="B118" s="917" t="s">
        <v>941</v>
      </c>
      <c r="C118" s="918"/>
    </row>
    <row r="119" spans="1:3">
      <c r="A119" s="595">
        <v>8</v>
      </c>
      <c r="B119" s="590" t="s">
        <v>635</v>
      </c>
      <c r="C119" s="615" t="s">
        <v>940</v>
      </c>
    </row>
    <row r="120" spans="1:3" ht="24">
      <c r="A120" s="618">
        <v>9.01</v>
      </c>
      <c r="B120" s="590" t="s">
        <v>519</v>
      </c>
      <c r="C120" s="591" t="s">
        <v>685</v>
      </c>
    </row>
    <row r="121" spans="1:3" ht="36">
      <c r="A121" s="618">
        <v>9.02</v>
      </c>
      <c r="B121" s="590" t="s">
        <v>520</v>
      </c>
      <c r="C121" s="591" t="s">
        <v>688</v>
      </c>
    </row>
    <row r="122" spans="1:3">
      <c r="A122" s="618">
        <v>9.0299999999999994</v>
      </c>
      <c r="B122" s="591" t="s">
        <v>872</v>
      </c>
      <c r="C122" s="591" t="s">
        <v>610</v>
      </c>
    </row>
    <row r="123" spans="1:3">
      <c r="A123" s="618">
        <v>9.0399999999999991</v>
      </c>
      <c r="B123" s="590" t="s">
        <v>521</v>
      </c>
      <c r="C123" s="591" t="s">
        <v>611</v>
      </c>
    </row>
    <row r="124" spans="1:3">
      <c r="A124" s="618">
        <v>9.0500000000000007</v>
      </c>
      <c r="B124" s="590" t="s">
        <v>522</v>
      </c>
      <c r="C124" s="591" t="s">
        <v>612</v>
      </c>
    </row>
    <row r="125" spans="1:3" ht="24">
      <c r="A125" s="618">
        <v>9.06</v>
      </c>
      <c r="B125" s="590" t="s">
        <v>523</v>
      </c>
      <c r="C125" s="591" t="s">
        <v>613</v>
      </c>
    </row>
    <row r="126" spans="1:3">
      <c r="A126" s="618">
        <v>9.07</v>
      </c>
      <c r="B126" s="620" t="s">
        <v>524</v>
      </c>
      <c r="C126" s="591" t="s">
        <v>614</v>
      </c>
    </row>
    <row r="127" spans="1:3" ht="24">
      <c r="A127" s="618">
        <v>9.08</v>
      </c>
      <c r="B127" s="590" t="s">
        <v>525</v>
      </c>
      <c r="C127" s="591" t="s">
        <v>615</v>
      </c>
    </row>
    <row r="128" spans="1:3" ht="24">
      <c r="A128" s="618">
        <v>9.09</v>
      </c>
      <c r="B128" s="590" t="s">
        <v>526</v>
      </c>
      <c r="C128" s="591" t="s">
        <v>616</v>
      </c>
    </row>
    <row r="129" spans="1:3">
      <c r="A129" s="619">
        <v>9.1</v>
      </c>
      <c r="B129" s="590" t="s">
        <v>527</v>
      </c>
      <c r="C129" s="591" t="s">
        <v>617</v>
      </c>
    </row>
    <row r="130" spans="1:3">
      <c r="A130" s="618">
        <v>9.11</v>
      </c>
      <c r="B130" s="590" t="s">
        <v>528</v>
      </c>
      <c r="C130" s="591" t="s">
        <v>618</v>
      </c>
    </row>
    <row r="131" spans="1:3">
      <c r="A131" s="618">
        <v>9.1199999999999992</v>
      </c>
      <c r="B131" s="590" t="s">
        <v>529</v>
      </c>
      <c r="C131" s="591" t="s">
        <v>619</v>
      </c>
    </row>
    <row r="132" spans="1:3">
      <c r="A132" s="618">
        <v>9.1300000000000008</v>
      </c>
      <c r="B132" s="590" t="s">
        <v>530</v>
      </c>
      <c r="C132" s="591" t="s">
        <v>620</v>
      </c>
    </row>
    <row r="133" spans="1:3">
      <c r="A133" s="618">
        <v>9.14</v>
      </c>
      <c r="B133" s="590" t="s">
        <v>531</v>
      </c>
      <c r="C133" s="591" t="s">
        <v>621</v>
      </c>
    </row>
    <row r="134" spans="1:3">
      <c r="A134" s="618">
        <v>9.15</v>
      </c>
      <c r="B134" s="590" t="s">
        <v>532</v>
      </c>
      <c r="C134" s="591" t="s">
        <v>622</v>
      </c>
    </row>
    <row r="135" spans="1:3">
      <c r="A135" s="618">
        <v>9.16</v>
      </c>
      <c r="B135" s="590" t="s">
        <v>533</v>
      </c>
      <c r="C135" s="591" t="s">
        <v>623</v>
      </c>
    </row>
    <row r="136" spans="1:3">
      <c r="A136" s="618">
        <v>9.17</v>
      </c>
      <c r="B136" s="591" t="s">
        <v>534</v>
      </c>
      <c r="C136" s="591" t="s">
        <v>624</v>
      </c>
    </row>
    <row r="137" spans="1:3" ht="24">
      <c r="A137" s="618">
        <v>9.18</v>
      </c>
      <c r="B137" s="590" t="s">
        <v>535</v>
      </c>
      <c r="C137" s="591" t="s">
        <v>625</v>
      </c>
    </row>
    <row r="138" spans="1:3">
      <c r="A138" s="618">
        <v>9.19</v>
      </c>
      <c r="B138" s="590" t="s">
        <v>536</v>
      </c>
      <c r="C138" s="591" t="s">
        <v>626</v>
      </c>
    </row>
    <row r="139" spans="1:3">
      <c r="A139" s="619">
        <v>9.1999999999999993</v>
      </c>
      <c r="B139" s="590" t="s">
        <v>537</v>
      </c>
      <c r="C139" s="591" t="s">
        <v>627</v>
      </c>
    </row>
    <row r="140" spans="1:3">
      <c r="A140" s="618">
        <v>9.2100000000000009</v>
      </c>
      <c r="B140" s="590" t="s">
        <v>538</v>
      </c>
      <c r="C140" s="591" t="s">
        <v>628</v>
      </c>
    </row>
    <row r="141" spans="1:3">
      <c r="A141" s="618">
        <v>9.2200000000000006</v>
      </c>
      <c r="B141" s="590" t="s">
        <v>539</v>
      </c>
      <c r="C141" s="591" t="s">
        <v>629</v>
      </c>
    </row>
    <row r="142" spans="1:3" ht="24">
      <c r="A142" s="618">
        <v>9.23</v>
      </c>
      <c r="B142" s="590" t="s">
        <v>540</v>
      </c>
      <c r="C142" s="591" t="s">
        <v>630</v>
      </c>
    </row>
    <row r="143" spans="1:3" ht="24">
      <c r="A143" s="618">
        <v>9.24</v>
      </c>
      <c r="B143" s="590" t="s">
        <v>541</v>
      </c>
      <c r="C143" s="591" t="s">
        <v>631</v>
      </c>
    </row>
    <row r="144" spans="1:3">
      <c r="A144" s="618">
        <v>9.2500000000000107</v>
      </c>
      <c r="B144" s="590" t="s">
        <v>542</v>
      </c>
      <c r="C144" s="591" t="s">
        <v>632</v>
      </c>
    </row>
    <row r="145" spans="1:3" ht="24">
      <c r="A145" s="618">
        <v>9.2600000000000193</v>
      </c>
      <c r="B145" s="590" t="s">
        <v>633</v>
      </c>
      <c r="C145" s="617" t="s">
        <v>634</v>
      </c>
    </row>
    <row r="146" spans="1:3" s="401" customFormat="1" ht="24">
      <c r="A146" s="618">
        <v>9.2700000000000298</v>
      </c>
      <c r="B146" s="590" t="s">
        <v>100</v>
      </c>
      <c r="C146" s="617" t="s">
        <v>686</v>
      </c>
    </row>
    <row r="147" spans="1:3" s="401" customFormat="1">
      <c r="A147" s="596"/>
      <c r="B147" s="913" t="s">
        <v>636</v>
      </c>
      <c r="C147" s="914"/>
    </row>
    <row r="148" spans="1:3" s="401" customFormat="1">
      <c r="A148" s="595">
        <v>1</v>
      </c>
      <c r="B148" s="915" t="s">
        <v>939</v>
      </c>
      <c r="C148" s="916"/>
    </row>
    <row r="149" spans="1:3" s="401" customFormat="1">
      <c r="A149" s="595">
        <v>2</v>
      </c>
      <c r="B149" s="915" t="s">
        <v>687</v>
      </c>
      <c r="C149" s="916"/>
    </row>
    <row r="150" spans="1:3" s="401" customFormat="1">
      <c r="A150" s="595">
        <v>3</v>
      </c>
      <c r="B150" s="915" t="s">
        <v>684</v>
      </c>
      <c r="C150" s="916"/>
    </row>
    <row r="151" spans="1:3" s="401" customFormat="1">
      <c r="A151" s="596"/>
      <c r="B151" s="913" t="s">
        <v>637</v>
      </c>
      <c r="C151" s="914"/>
    </row>
    <row r="152" spans="1:3" s="401" customFormat="1">
      <c r="A152" s="595">
        <v>1</v>
      </c>
      <c r="B152" s="919" t="s">
        <v>938</v>
      </c>
      <c r="C152" s="920"/>
    </row>
    <row r="153" spans="1:3" s="401" customFormat="1">
      <c r="A153" s="595">
        <v>2</v>
      </c>
      <c r="B153" s="590" t="s">
        <v>870</v>
      </c>
      <c r="C153" s="615" t="s">
        <v>923</v>
      </c>
    </row>
    <row r="154" spans="1:3" ht="24">
      <c r="A154" s="595">
        <v>3</v>
      </c>
      <c r="B154" s="590" t="s">
        <v>869</v>
      </c>
      <c r="C154" s="615" t="s">
        <v>937</v>
      </c>
    </row>
    <row r="155" spans="1:3">
      <c r="A155" s="595">
        <v>4</v>
      </c>
      <c r="B155" s="590" t="s">
        <v>512</v>
      </c>
      <c r="C155" s="590" t="s">
        <v>638</v>
      </c>
    </row>
    <row r="156" spans="1:3" ht="25.05" customHeight="1">
      <c r="A156" s="596"/>
      <c r="B156" s="913" t="s">
        <v>639</v>
      </c>
      <c r="C156" s="914"/>
    </row>
    <row r="157" spans="1:3" ht="24">
      <c r="A157" s="595"/>
      <c r="B157" s="590" t="s">
        <v>924</v>
      </c>
      <c r="C157" s="597" t="s">
        <v>936</v>
      </c>
    </row>
    <row r="158" spans="1:3">
      <c r="A158" s="596"/>
      <c r="B158" s="913" t="s">
        <v>640</v>
      </c>
      <c r="C158" s="914"/>
    </row>
    <row r="159" spans="1:3" ht="39" customHeight="1">
      <c r="A159" s="596"/>
      <c r="B159" s="915" t="s">
        <v>935</v>
      </c>
      <c r="C159" s="916"/>
    </row>
    <row r="160" spans="1:3">
      <c r="A160" s="596" t="s">
        <v>641</v>
      </c>
      <c r="B160" s="616" t="s">
        <v>550</v>
      </c>
      <c r="C160" s="608" t="s">
        <v>642</v>
      </c>
    </row>
    <row r="161" spans="1:3">
      <c r="A161" s="596" t="s">
        <v>370</v>
      </c>
      <c r="B161" s="613" t="s">
        <v>551</v>
      </c>
      <c r="C161" s="615" t="s">
        <v>934</v>
      </c>
    </row>
    <row r="162" spans="1:3" ht="24">
      <c r="A162" s="596" t="s">
        <v>377</v>
      </c>
      <c r="B162" s="608" t="s">
        <v>552</v>
      </c>
      <c r="C162" s="615" t="s">
        <v>643</v>
      </c>
    </row>
    <row r="163" spans="1:3">
      <c r="A163" s="596" t="s">
        <v>644</v>
      </c>
      <c r="B163" s="613" t="s">
        <v>553</v>
      </c>
      <c r="C163" s="614" t="s">
        <v>645</v>
      </c>
    </row>
    <row r="164" spans="1:3" ht="24">
      <c r="A164" s="596" t="s">
        <v>646</v>
      </c>
      <c r="B164" s="613" t="s">
        <v>885</v>
      </c>
      <c r="C164" s="607" t="s">
        <v>933</v>
      </c>
    </row>
    <row r="165" spans="1:3" ht="24">
      <c r="A165" s="596" t="s">
        <v>378</v>
      </c>
      <c r="B165" s="613" t="s">
        <v>554</v>
      </c>
      <c r="C165" s="607" t="s">
        <v>648</v>
      </c>
    </row>
    <row r="166" spans="1:3" ht="24">
      <c r="A166" s="596" t="s">
        <v>647</v>
      </c>
      <c r="B166" s="611" t="s">
        <v>557</v>
      </c>
      <c r="C166" s="612" t="s">
        <v>655</v>
      </c>
    </row>
    <row r="167" spans="1:3" ht="24">
      <c r="A167" s="596" t="s">
        <v>649</v>
      </c>
      <c r="B167" s="611" t="s">
        <v>555</v>
      </c>
      <c r="C167" s="607" t="s">
        <v>651</v>
      </c>
    </row>
    <row r="168" spans="1:3" ht="26.55" customHeight="1">
      <c r="A168" s="596" t="s">
        <v>650</v>
      </c>
      <c r="B168" s="611" t="s">
        <v>556</v>
      </c>
      <c r="C168" s="612" t="s">
        <v>653</v>
      </c>
    </row>
    <row r="169" spans="1:3">
      <c r="A169" s="596" t="s">
        <v>652</v>
      </c>
      <c r="B169" s="591" t="s">
        <v>558</v>
      </c>
      <c r="C169" s="612" t="s">
        <v>657</v>
      </c>
    </row>
    <row r="170" spans="1:3" ht="24">
      <c r="A170" s="596" t="s">
        <v>654</v>
      </c>
      <c r="B170" s="611" t="s">
        <v>559</v>
      </c>
      <c r="C170" s="610" t="s">
        <v>658</v>
      </c>
    </row>
    <row r="171" spans="1:3">
      <c r="A171" s="596" t="s">
        <v>656</v>
      </c>
      <c r="B171" s="609" t="s">
        <v>560</v>
      </c>
      <c r="C171" s="608" t="s">
        <v>659</v>
      </c>
    </row>
    <row r="172" spans="1:3" ht="24">
      <c r="A172" s="596"/>
      <c r="B172" s="607" t="s">
        <v>932</v>
      </c>
      <c r="C172" s="591" t="s">
        <v>660</v>
      </c>
    </row>
    <row r="173" spans="1:3" ht="24">
      <c r="A173" s="596"/>
      <c r="B173" s="607" t="s">
        <v>931</v>
      </c>
      <c r="C173" s="591" t="s">
        <v>661</v>
      </c>
    </row>
    <row r="174" spans="1:3" ht="24">
      <c r="A174" s="596"/>
      <c r="B174" s="607" t="s">
        <v>930</v>
      </c>
      <c r="C174" s="591" t="s">
        <v>662</v>
      </c>
    </row>
    <row r="175" spans="1:3">
      <c r="A175" s="596"/>
      <c r="B175" s="913" t="s">
        <v>663</v>
      </c>
      <c r="C175" s="914"/>
    </row>
    <row r="176" spans="1:3">
      <c r="A176" s="596"/>
      <c r="B176" s="915" t="s">
        <v>929</v>
      </c>
      <c r="C176" s="916"/>
    </row>
    <row r="177" spans="1:3">
      <c r="A177" s="595">
        <v>1</v>
      </c>
      <c r="B177" s="591" t="s">
        <v>564</v>
      </c>
      <c r="C177" s="591" t="s">
        <v>564</v>
      </c>
    </row>
    <row r="178" spans="1:3" ht="24">
      <c r="A178" s="595">
        <v>2</v>
      </c>
      <c r="B178" s="591" t="s">
        <v>664</v>
      </c>
      <c r="C178" s="591" t="s">
        <v>665</v>
      </c>
    </row>
    <row r="179" spans="1:3">
      <c r="A179" s="595">
        <v>3</v>
      </c>
      <c r="B179" s="591" t="s">
        <v>566</v>
      </c>
      <c r="C179" s="591" t="s">
        <v>666</v>
      </c>
    </row>
    <row r="180" spans="1:3" ht="24">
      <c r="A180" s="595">
        <v>4</v>
      </c>
      <c r="B180" s="591" t="s">
        <v>567</v>
      </c>
      <c r="C180" s="591" t="s">
        <v>667</v>
      </c>
    </row>
    <row r="181" spans="1:3" ht="24">
      <c r="A181" s="595">
        <v>5</v>
      </c>
      <c r="B181" s="591" t="s">
        <v>568</v>
      </c>
      <c r="C181" s="591" t="s">
        <v>689</v>
      </c>
    </row>
    <row r="182" spans="1:3" ht="48">
      <c r="A182" s="595">
        <v>6</v>
      </c>
      <c r="B182" s="591" t="s">
        <v>569</v>
      </c>
      <c r="C182" s="591" t="s">
        <v>668</v>
      </c>
    </row>
    <row r="183" spans="1:3">
      <c r="A183" s="596"/>
      <c r="B183" s="913" t="s">
        <v>669</v>
      </c>
      <c r="C183" s="914"/>
    </row>
    <row r="184" spans="1:3">
      <c r="A184" s="596"/>
      <c r="B184" s="922" t="s">
        <v>928</v>
      </c>
      <c r="C184" s="919"/>
    </row>
    <row r="185" spans="1:3" ht="24">
      <c r="A185" s="596">
        <v>1.1000000000000001</v>
      </c>
      <c r="B185" s="606" t="s">
        <v>574</v>
      </c>
      <c r="C185" s="591" t="s">
        <v>670</v>
      </c>
    </row>
    <row r="186" spans="1:3" ht="49.95" customHeight="1">
      <c r="A186" s="596" t="s">
        <v>158</v>
      </c>
      <c r="B186" s="592" t="s">
        <v>575</v>
      </c>
      <c r="C186" s="591" t="s">
        <v>671</v>
      </c>
    </row>
    <row r="187" spans="1:3">
      <c r="A187" s="596" t="s">
        <v>576</v>
      </c>
      <c r="B187" s="605" t="s">
        <v>577</v>
      </c>
      <c r="C187" s="923" t="s">
        <v>927</v>
      </c>
    </row>
    <row r="188" spans="1:3">
      <c r="A188" s="596" t="s">
        <v>578</v>
      </c>
      <c r="B188" s="605" t="s">
        <v>579</v>
      </c>
      <c r="C188" s="923"/>
    </row>
    <row r="189" spans="1:3">
      <c r="A189" s="596" t="s">
        <v>580</v>
      </c>
      <c r="B189" s="605" t="s">
        <v>581</v>
      </c>
      <c r="C189" s="923"/>
    </row>
    <row r="190" spans="1:3">
      <c r="A190" s="596" t="s">
        <v>582</v>
      </c>
      <c r="B190" s="605" t="s">
        <v>583</v>
      </c>
      <c r="C190" s="923"/>
    </row>
    <row r="191" spans="1:3">
      <c r="A191" s="596">
        <v>1.2</v>
      </c>
      <c r="B191" s="604" t="s">
        <v>899</v>
      </c>
      <c r="C191" s="590" t="s">
        <v>926</v>
      </c>
    </row>
    <row r="192" spans="1:3" ht="24">
      <c r="A192" s="596" t="s">
        <v>585</v>
      </c>
      <c r="B192" s="599" t="s">
        <v>586</v>
      </c>
      <c r="C192" s="602" t="s">
        <v>672</v>
      </c>
    </row>
    <row r="193" spans="1:4" ht="24">
      <c r="A193" s="596" t="s">
        <v>587</v>
      </c>
      <c r="B193" s="603" t="s">
        <v>588</v>
      </c>
      <c r="C193" s="602" t="s">
        <v>673</v>
      </c>
    </row>
    <row r="194" spans="1:4" ht="25.95" customHeight="1">
      <c r="A194" s="596" t="s">
        <v>589</v>
      </c>
      <c r="B194" s="601" t="s">
        <v>590</v>
      </c>
      <c r="C194" s="590" t="s">
        <v>674</v>
      </c>
    </row>
    <row r="195" spans="1:4" ht="24">
      <c r="A195" s="596" t="s">
        <v>591</v>
      </c>
      <c r="B195" s="600" t="s">
        <v>592</v>
      </c>
      <c r="C195" s="590" t="s">
        <v>675</v>
      </c>
      <c r="D195" s="402"/>
    </row>
    <row r="196" spans="1:4" ht="12.6">
      <c r="A196" s="596">
        <v>1.4</v>
      </c>
      <c r="B196" s="599" t="s">
        <v>682</v>
      </c>
      <c r="C196" s="598" t="s">
        <v>676</v>
      </c>
      <c r="D196" s="403"/>
    </row>
    <row r="197" spans="1:4" ht="12.6">
      <c r="A197" s="596">
        <v>1.5</v>
      </c>
      <c r="B197" s="599" t="s">
        <v>683</v>
      </c>
      <c r="C197" s="598" t="s">
        <v>676</v>
      </c>
      <c r="D197" s="404"/>
    </row>
    <row r="198" spans="1:4" ht="12.6">
      <c r="A198" s="596"/>
      <c r="B198" s="924" t="s">
        <v>677</v>
      </c>
      <c r="C198" s="924"/>
      <c r="D198" s="404"/>
    </row>
    <row r="199" spans="1:4" ht="12.6">
      <c r="A199" s="596"/>
      <c r="B199" s="922" t="s">
        <v>925</v>
      </c>
      <c r="C199" s="922"/>
      <c r="D199" s="404"/>
    </row>
    <row r="200" spans="1:4" ht="12.6">
      <c r="A200" s="595"/>
      <c r="B200" s="590" t="s">
        <v>924</v>
      </c>
      <c r="C200" s="597" t="s">
        <v>923</v>
      </c>
      <c r="D200" s="404"/>
    </row>
    <row r="201" spans="1:4" ht="12.6">
      <c r="A201" s="596"/>
      <c r="B201" s="924" t="s">
        <v>678</v>
      </c>
      <c r="C201" s="924"/>
      <c r="D201" s="405"/>
    </row>
    <row r="202" spans="1:4" ht="12.6">
      <c r="A202" s="595"/>
      <c r="B202" s="922" t="s">
        <v>922</v>
      </c>
      <c r="C202" s="922"/>
      <c r="D202" s="406"/>
    </row>
    <row r="203" spans="1:4" ht="12.6">
      <c r="B203" s="924" t="s">
        <v>716</v>
      </c>
      <c r="C203" s="924"/>
      <c r="D203" s="407"/>
    </row>
    <row r="204" spans="1:4" ht="24">
      <c r="A204" s="592">
        <v>1</v>
      </c>
      <c r="B204" s="590" t="s">
        <v>692</v>
      </c>
      <c r="C204" s="590" t="s">
        <v>704</v>
      </c>
      <c r="D204" s="406"/>
    </row>
    <row r="205" spans="1:4" ht="18" customHeight="1">
      <c r="A205" s="592">
        <v>2</v>
      </c>
      <c r="B205" s="590" t="s">
        <v>693</v>
      </c>
      <c r="C205" s="590" t="s">
        <v>705</v>
      </c>
      <c r="D205" s="407"/>
    </row>
    <row r="206" spans="1:4" ht="24">
      <c r="A206" s="592">
        <v>3</v>
      </c>
      <c r="B206" s="590" t="s">
        <v>694</v>
      </c>
      <c r="C206" s="590" t="s">
        <v>706</v>
      </c>
      <c r="D206" s="408"/>
    </row>
    <row r="207" spans="1:4" ht="12.6">
      <c r="A207" s="592">
        <v>4</v>
      </c>
      <c r="B207" s="590" t="s">
        <v>695</v>
      </c>
      <c r="C207" s="590" t="s">
        <v>707</v>
      </c>
      <c r="D207" s="408"/>
    </row>
    <row r="208" spans="1:4" ht="24">
      <c r="A208" s="592">
        <v>5</v>
      </c>
      <c r="B208" s="590" t="s">
        <v>696</v>
      </c>
      <c r="C208" s="590" t="s">
        <v>708</v>
      </c>
    </row>
    <row r="209" spans="1:3" ht="24.45" customHeight="1">
      <c r="A209" s="592">
        <v>6</v>
      </c>
      <c r="B209" s="590" t="s">
        <v>697</v>
      </c>
      <c r="C209" s="590" t="s">
        <v>709</v>
      </c>
    </row>
    <row r="210" spans="1:3" ht="24">
      <c r="A210" s="592">
        <v>7</v>
      </c>
      <c r="B210" s="590" t="s">
        <v>698</v>
      </c>
      <c r="C210" s="590" t="s">
        <v>710</v>
      </c>
    </row>
    <row r="211" spans="1:3">
      <c r="A211" s="592">
        <v>7.1</v>
      </c>
      <c r="B211" s="594" t="s">
        <v>699</v>
      </c>
      <c r="C211" s="590" t="s">
        <v>711</v>
      </c>
    </row>
    <row r="212" spans="1:3">
      <c r="A212" s="592">
        <v>7.2</v>
      </c>
      <c r="B212" s="594" t="s">
        <v>700</v>
      </c>
      <c r="C212" s="590" t="s">
        <v>712</v>
      </c>
    </row>
    <row r="213" spans="1:3">
      <c r="A213" s="592">
        <v>7.3</v>
      </c>
      <c r="B213" s="593" t="s">
        <v>701</v>
      </c>
      <c r="C213" s="590" t="s">
        <v>713</v>
      </c>
    </row>
    <row r="214" spans="1:3" ht="39.450000000000003" customHeight="1">
      <c r="A214" s="592">
        <v>8</v>
      </c>
      <c r="B214" s="590" t="s">
        <v>702</v>
      </c>
      <c r="C214" s="590" t="s">
        <v>714</v>
      </c>
    </row>
    <row r="215" spans="1:3">
      <c r="A215" s="592">
        <v>9</v>
      </c>
      <c r="B215" s="590" t="s">
        <v>703</v>
      </c>
      <c r="C215" s="590" t="s">
        <v>715</v>
      </c>
    </row>
    <row r="216" spans="1:3">
      <c r="A216" s="630">
        <v>10.1</v>
      </c>
      <c r="B216" s="631" t="s">
        <v>725</v>
      </c>
      <c r="C216" s="623" t="s">
        <v>726</v>
      </c>
    </row>
    <row r="217" spans="1:3">
      <c r="A217" s="925"/>
      <c r="B217" s="632" t="s">
        <v>913</v>
      </c>
      <c r="C217" s="590" t="s">
        <v>921</v>
      </c>
    </row>
    <row r="218" spans="1:3">
      <c r="A218" s="925"/>
      <c r="B218" s="591" t="s">
        <v>573</v>
      </c>
      <c r="C218" s="590" t="s">
        <v>920</v>
      </c>
    </row>
    <row r="219" spans="1:3">
      <c r="A219" s="925"/>
      <c r="B219" s="591" t="s">
        <v>912</v>
      </c>
      <c r="C219" s="590" t="s">
        <v>919</v>
      </c>
    </row>
    <row r="220" spans="1:3">
      <c r="A220" s="925"/>
      <c r="B220" s="591" t="s">
        <v>717</v>
      </c>
      <c r="C220" s="590" t="s">
        <v>918</v>
      </c>
    </row>
    <row r="221" spans="1:3" ht="24">
      <c r="A221" s="925"/>
      <c r="B221" s="591" t="s">
        <v>722</v>
      </c>
      <c r="C221" s="591" t="s">
        <v>917</v>
      </c>
    </row>
    <row r="222" spans="1:3" ht="36">
      <c r="A222" s="925"/>
      <c r="B222" s="591" t="s">
        <v>721</v>
      </c>
      <c r="C222" s="590" t="s">
        <v>916</v>
      </c>
    </row>
    <row r="223" spans="1:3">
      <c r="A223" s="925"/>
      <c r="B223" s="591" t="s">
        <v>724</v>
      </c>
      <c r="C223" s="590" t="s">
        <v>915</v>
      </c>
    </row>
    <row r="224" spans="1:3" ht="24">
      <c r="A224" s="925"/>
      <c r="B224" s="591" t="s">
        <v>718</v>
      </c>
      <c r="C224" s="590" t="s">
        <v>914</v>
      </c>
    </row>
    <row r="225" spans="1:3" ht="12.6">
      <c r="A225" s="624"/>
      <c r="B225" s="625"/>
      <c r="C225" s="626"/>
    </row>
    <row r="226" spans="1:3" ht="12.6">
      <c r="A226" s="624"/>
      <c r="B226" s="626"/>
      <c r="C226" s="626"/>
    </row>
    <row r="227" spans="1:3" ht="12.6">
      <c r="A227" s="624"/>
      <c r="B227" s="626"/>
      <c r="C227" s="626"/>
    </row>
    <row r="228" spans="1:3" ht="12.6">
      <c r="A228" s="624"/>
      <c r="B228" s="627"/>
      <c r="C228" s="626"/>
    </row>
    <row r="229" spans="1:3">
      <c r="A229" s="921"/>
      <c r="B229" s="628"/>
      <c r="C229" s="626"/>
    </row>
    <row r="230" spans="1:3">
      <c r="A230" s="921"/>
      <c r="B230" s="628"/>
      <c r="C230" s="626"/>
    </row>
    <row r="231" spans="1:3">
      <c r="A231" s="921"/>
      <c r="B231" s="628"/>
      <c r="C231" s="626"/>
    </row>
    <row r="232" spans="1:3">
      <c r="A232" s="921"/>
      <c r="B232" s="628"/>
      <c r="C232" s="629"/>
    </row>
    <row r="233" spans="1:3" ht="40.5" customHeight="1">
      <c r="A233" s="921"/>
      <c r="B233" s="628"/>
      <c r="C233" s="626"/>
    </row>
    <row r="234" spans="1:3" ht="24" customHeight="1">
      <c r="A234" s="921"/>
      <c r="B234" s="628"/>
      <c r="C234" s="626"/>
    </row>
    <row r="235" spans="1:3">
      <c r="A235" s="921"/>
      <c r="B235" s="628"/>
      <c r="C235" s="626"/>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zoomScale="80" zoomScaleNormal="80" workbookViewId="0">
      <selection activeCell="F6" sqref="F6:G45"/>
    </sheetView>
  </sheetViews>
  <sheetFormatPr defaultRowHeight="14.4"/>
  <cols>
    <col min="2" max="2" width="66.6640625" customWidth="1"/>
    <col min="3" max="8" width="17.77734375" customWidth="1"/>
  </cols>
  <sheetData>
    <row r="1" spans="1:8">
      <c r="A1" s="13" t="s">
        <v>109</v>
      </c>
      <c r="B1" s="310" t="str">
        <f>Info!C2</f>
        <v>სს "კრედობანკი"</v>
      </c>
      <c r="C1" s="12"/>
      <c r="D1" s="1"/>
      <c r="E1" s="1"/>
      <c r="F1" s="1"/>
      <c r="G1" s="1"/>
    </row>
    <row r="2" spans="1:8">
      <c r="A2" s="13" t="s">
        <v>110</v>
      </c>
      <c r="B2" s="346">
        <f>'1. key ratios'!B2</f>
        <v>45016</v>
      </c>
      <c r="C2" s="12"/>
      <c r="D2" s="1"/>
      <c r="E2" s="1"/>
      <c r="F2" s="1"/>
      <c r="G2" s="1"/>
    </row>
    <row r="3" spans="1:8">
      <c r="A3" s="13"/>
      <c r="B3" s="12"/>
      <c r="C3" s="12"/>
      <c r="D3" s="1"/>
      <c r="E3" s="1"/>
      <c r="F3" s="1"/>
      <c r="G3" s="1"/>
    </row>
    <row r="4" spans="1:8">
      <c r="A4" s="814" t="s">
        <v>26</v>
      </c>
      <c r="B4" s="812" t="s">
        <v>167</v>
      </c>
      <c r="C4" s="807" t="s">
        <v>115</v>
      </c>
      <c r="D4" s="807"/>
      <c r="E4" s="807"/>
      <c r="F4" s="807" t="s">
        <v>116</v>
      </c>
      <c r="G4" s="807"/>
      <c r="H4" s="808"/>
    </row>
    <row r="5" spans="1:8" ht="15.45" customHeight="1">
      <c r="A5" s="815"/>
      <c r="B5" s="813"/>
      <c r="C5" s="439" t="s">
        <v>27</v>
      </c>
      <c r="D5" s="439" t="s">
        <v>89</v>
      </c>
      <c r="E5" s="439" t="s">
        <v>67</v>
      </c>
      <c r="F5" s="439" t="s">
        <v>27</v>
      </c>
      <c r="G5" s="439" t="s">
        <v>89</v>
      </c>
      <c r="H5" s="439" t="s">
        <v>67</v>
      </c>
    </row>
    <row r="6" spans="1:8">
      <c r="A6" s="468">
        <v>1</v>
      </c>
      <c r="B6" s="440" t="s">
        <v>780</v>
      </c>
      <c r="C6" s="724">
        <f>SUM(C7:C12)</f>
        <v>104778423</v>
      </c>
      <c r="D6" s="724">
        <f>SUM(D7:D12)</f>
        <v>4081289.7800000161</v>
      </c>
      <c r="E6" s="427">
        <f>C6+D6</f>
        <v>108859712.78000002</v>
      </c>
      <c r="F6" s="724">
        <f>SUM(F7:F12)</f>
        <v>100351121</v>
      </c>
      <c r="G6" s="724">
        <f>SUM(G7:G12)</f>
        <v>2637539</v>
      </c>
      <c r="H6" s="725">
        <f>F6+G6</f>
        <v>102988660</v>
      </c>
    </row>
    <row r="7" spans="1:8">
      <c r="A7" s="468">
        <v>1.1000000000000001</v>
      </c>
      <c r="B7" s="441" t="s">
        <v>734</v>
      </c>
      <c r="C7" s="724"/>
      <c r="D7" s="724"/>
      <c r="E7" s="725">
        <f t="shared" ref="E7:E45" si="0">C7+D7</f>
        <v>0</v>
      </c>
      <c r="F7" s="724"/>
      <c r="G7" s="724"/>
      <c r="H7" s="725">
        <f t="shared" ref="H7:H45" si="1">F7+G7</f>
        <v>0</v>
      </c>
    </row>
    <row r="8" spans="1:8" ht="20.399999999999999">
      <c r="A8" s="468">
        <v>1.2</v>
      </c>
      <c r="B8" s="441" t="s">
        <v>781</v>
      </c>
      <c r="C8" s="724"/>
      <c r="D8" s="724"/>
      <c r="E8" s="725">
        <f t="shared" si="0"/>
        <v>0</v>
      </c>
      <c r="F8" s="724"/>
      <c r="G8" s="724"/>
      <c r="H8" s="725">
        <f t="shared" si="1"/>
        <v>0</v>
      </c>
    </row>
    <row r="9" spans="1:8" ht="21.45" customHeight="1">
      <c r="A9" s="468">
        <v>1.3</v>
      </c>
      <c r="B9" s="431" t="s">
        <v>782</v>
      </c>
      <c r="C9" s="724"/>
      <c r="D9" s="724"/>
      <c r="E9" s="725">
        <f t="shared" si="0"/>
        <v>0</v>
      </c>
      <c r="F9" s="724"/>
      <c r="G9" s="724"/>
      <c r="H9" s="725">
        <f t="shared" si="1"/>
        <v>0</v>
      </c>
    </row>
    <row r="10" spans="1:8" ht="20.399999999999999">
      <c r="A10" s="468">
        <v>1.4</v>
      </c>
      <c r="B10" s="431" t="s">
        <v>738</v>
      </c>
      <c r="C10" s="724"/>
      <c r="D10" s="724"/>
      <c r="E10" s="725">
        <f t="shared" si="0"/>
        <v>0</v>
      </c>
      <c r="F10" s="724"/>
      <c r="G10" s="724"/>
      <c r="H10" s="725">
        <f t="shared" si="1"/>
        <v>0</v>
      </c>
    </row>
    <row r="11" spans="1:8">
      <c r="A11" s="468">
        <v>1.5</v>
      </c>
      <c r="B11" s="431" t="s">
        <v>741</v>
      </c>
      <c r="C11" s="724">
        <v>104778423</v>
      </c>
      <c r="D11" s="724">
        <v>4081289.7800000161</v>
      </c>
      <c r="E11" s="725">
        <f t="shared" si="0"/>
        <v>108859712.78000002</v>
      </c>
      <c r="F11" s="724">
        <v>100351121</v>
      </c>
      <c r="G11" s="724">
        <v>2637539</v>
      </c>
      <c r="H11" s="725">
        <f t="shared" si="1"/>
        <v>102988660</v>
      </c>
    </row>
    <row r="12" spans="1:8">
      <c r="A12" s="468">
        <v>1.6</v>
      </c>
      <c r="B12" s="432" t="s">
        <v>100</v>
      </c>
      <c r="C12" s="724"/>
      <c r="D12" s="724"/>
      <c r="E12" s="725">
        <f t="shared" si="0"/>
        <v>0</v>
      </c>
      <c r="F12" s="724"/>
      <c r="G12" s="724"/>
      <c r="H12" s="725">
        <f t="shared" si="1"/>
        <v>0</v>
      </c>
    </row>
    <row r="13" spans="1:8">
      <c r="A13" s="468">
        <v>2</v>
      </c>
      <c r="B13" s="442" t="s">
        <v>783</v>
      </c>
      <c r="C13" s="724">
        <f>SUM(C14:C17)</f>
        <v>-44703540</v>
      </c>
      <c r="D13" s="724">
        <f>SUM(D14:D17)</f>
        <v>-4354402.4200000018</v>
      </c>
      <c r="E13" s="725">
        <f t="shared" si="0"/>
        <v>-49057942.420000002</v>
      </c>
      <c r="F13" s="724">
        <f>SUM(F14:F17)</f>
        <v>-40894444</v>
      </c>
      <c r="G13" s="724">
        <f>SUM(G14:G17)</f>
        <v>-1745098.6</v>
      </c>
      <c r="H13" s="725">
        <f t="shared" si="1"/>
        <v>-42639542.600000001</v>
      </c>
    </row>
    <row r="14" spans="1:8">
      <c r="A14" s="468">
        <v>2.1</v>
      </c>
      <c r="B14" s="431" t="s">
        <v>784</v>
      </c>
      <c r="C14" s="724"/>
      <c r="D14" s="724"/>
      <c r="E14" s="725">
        <f t="shared" si="0"/>
        <v>0</v>
      </c>
      <c r="F14" s="724"/>
      <c r="G14" s="724"/>
      <c r="H14" s="725">
        <f t="shared" si="1"/>
        <v>0</v>
      </c>
    </row>
    <row r="15" spans="1:8" ht="24.45" customHeight="1">
      <c r="A15" s="468">
        <v>2.2000000000000002</v>
      </c>
      <c r="B15" s="431" t="s">
        <v>785</v>
      </c>
      <c r="C15" s="724"/>
      <c r="D15" s="724"/>
      <c r="E15" s="725">
        <f t="shared" si="0"/>
        <v>0</v>
      </c>
      <c r="F15" s="724"/>
      <c r="G15" s="724"/>
      <c r="H15" s="725">
        <f t="shared" si="1"/>
        <v>0</v>
      </c>
    </row>
    <row r="16" spans="1:8" ht="20.55" customHeight="1">
      <c r="A16" s="468">
        <v>2.2999999999999998</v>
      </c>
      <c r="B16" s="431" t="s">
        <v>786</v>
      </c>
      <c r="C16" s="724">
        <v>-44703540</v>
      </c>
      <c r="D16" s="724">
        <v>-4354402.4200000018</v>
      </c>
      <c r="E16" s="725">
        <f t="shared" si="0"/>
        <v>-49057942.420000002</v>
      </c>
      <c r="F16" s="724">
        <v>-40894444</v>
      </c>
      <c r="G16" s="724">
        <v>-1745098.6</v>
      </c>
      <c r="H16" s="725">
        <f t="shared" si="1"/>
        <v>-42639542.600000001</v>
      </c>
    </row>
    <row r="17" spans="1:8">
      <c r="A17" s="468">
        <v>2.4</v>
      </c>
      <c r="B17" s="431" t="s">
        <v>787</v>
      </c>
      <c r="C17" s="724"/>
      <c r="D17" s="724"/>
      <c r="E17" s="725">
        <f t="shared" si="0"/>
        <v>0</v>
      </c>
      <c r="F17" s="724"/>
      <c r="G17" s="724"/>
      <c r="H17" s="725">
        <f t="shared" si="1"/>
        <v>0</v>
      </c>
    </row>
    <row r="18" spans="1:8">
      <c r="A18" s="468">
        <v>3</v>
      </c>
      <c r="B18" s="442" t="s">
        <v>788</v>
      </c>
      <c r="C18" s="724"/>
      <c r="D18" s="724"/>
      <c r="E18" s="725">
        <f t="shared" si="0"/>
        <v>0</v>
      </c>
      <c r="F18" s="724"/>
      <c r="G18" s="724"/>
      <c r="H18" s="725">
        <f t="shared" si="1"/>
        <v>0</v>
      </c>
    </row>
    <row r="19" spans="1:8">
      <c r="A19" s="468">
        <v>4</v>
      </c>
      <c r="B19" s="442" t="s">
        <v>789</v>
      </c>
      <c r="C19" s="724">
        <v>11306285.6</v>
      </c>
      <c r="D19" s="724">
        <v>1369061.589999998</v>
      </c>
      <c r="E19" s="725">
        <f t="shared" si="0"/>
        <v>12675347.189999998</v>
      </c>
      <c r="F19" s="724">
        <v>4502911.28</v>
      </c>
      <c r="G19" s="724">
        <v>183246</v>
      </c>
      <c r="H19" s="725">
        <f t="shared" si="1"/>
        <v>4686157.28</v>
      </c>
    </row>
    <row r="20" spans="1:8">
      <c r="A20" s="468">
        <v>5</v>
      </c>
      <c r="B20" s="442" t="s">
        <v>790</v>
      </c>
      <c r="C20" s="724">
        <v>-3844810.9199999995</v>
      </c>
      <c r="D20" s="724">
        <v>-1761646.4</v>
      </c>
      <c r="E20" s="725">
        <f t="shared" si="0"/>
        <v>-5606457.3199999994</v>
      </c>
      <c r="F20" s="724">
        <v>-2576356.3099999996</v>
      </c>
      <c r="G20" s="724">
        <v>-337057.92</v>
      </c>
      <c r="H20" s="725">
        <f t="shared" si="1"/>
        <v>-2913414.2299999995</v>
      </c>
    </row>
    <row r="21" spans="1:8" ht="38.549999999999997" customHeight="1">
      <c r="A21" s="468">
        <v>6</v>
      </c>
      <c r="B21" s="442" t="s">
        <v>791</v>
      </c>
      <c r="C21" s="724"/>
      <c r="D21" s="724"/>
      <c r="E21" s="725">
        <f t="shared" si="0"/>
        <v>0</v>
      </c>
      <c r="F21" s="724"/>
      <c r="G21" s="724"/>
      <c r="H21" s="725">
        <f t="shared" si="1"/>
        <v>0</v>
      </c>
    </row>
    <row r="22" spans="1:8" ht="27.45" customHeight="1">
      <c r="A22" s="468">
        <v>7</v>
      </c>
      <c r="B22" s="442" t="s">
        <v>792</v>
      </c>
      <c r="C22" s="724"/>
      <c r="D22" s="724"/>
      <c r="E22" s="725">
        <f t="shared" si="0"/>
        <v>0</v>
      </c>
      <c r="F22" s="724"/>
      <c r="G22" s="724"/>
      <c r="H22" s="725">
        <f t="shared" si="1"/>
        <v>0</v>
      </c>
    </row>
    <row r="23" spans="1:8" ht="37.049999999999997" customHeight="1">
      <c r="A23" s="468">
        <v>8</v>
      </c>
      <c r="B23" s="443" t="s">
        <v>793</v>
      </c>
      <c r="C23" s="724"/>
      <c r="D23" s="724"/>
      <c r="E23" s="725">
        <f t="shared" si="0"/>
        <v>0</v>
      </c>
      <c r="F23" s="724"/>
      <c r="G23" s="724"/>
      <c r="H23" s="725">
        <f t="shared" si="1"/>
        <v>0</v>
      </c>
    </row>
    <row r="24" spans="1:8" ht="34.5" customHeight="1">
      <c r="A24" s="468">
        <v>9</v>
      </c>
      <c r="B24" s="443" t="s">
        <v>794</v>
      </c>
      <c r="C24" s="724">
        <v>-11533822.619999999</v>
      </c>
      <c r="D24" s="724"/>
      <c r="E24" s="725">
        <f t="shared" si="0"/>
        <v>-11533822.619999999</v>
      </c>
      <c r="F24" s="724">
        <v>335351.99000000022</v>
      </c>
      <c r="G24" s="724"/>
      <c r="H24" s="725">
        <f t="shared" si="1"/>
        <v>335351.99000000022</v>
      </c>
    </row>
    <row r="25" spans="1:8">
      <c r="A25" s="468">
        <v>10</v>
      </c>
      <c r="B25" s="442" t="s">
        <v>795</v>
      </c>
      <c r="C25" s="724">
        <v>7193817.8699999545</v>
      </c>
      <c r="D25" s="724"/>
      <c r="E25" s="725">
        <f t="shared" si="0"/>
        <v>7193817.8699999545</v>
      </c>
      <c r="F25" s="724">
        <v>-670243.37000003341</v>
      </c>
      <c r="G25" s="724"/>
      <c r="H25" s="725">
        <f t="shared" si="1"/>
        <v>-670243.37000003341</v>
      </c>
    </row>
    <row r="26" spans="1:8" ht="27" customHeight="1">
      <c r="A26" s="468">
        <v>11</v>
      </c>
      <c r="B26" s="444" t="s">
        <v>796</v>
      </c>
      <c r="C26" s="724">
        <v>60597.750000000007</v>
      </c>
      <c r="D26" s="724"/>
      <c r="E26" s="725">
        <f t="shared" si="0"/>
        <v>60597.750000000007</v>
      </c>
      <c r="F26" s="724">
        <v>4054.9800000000014</v>
      </c>
      <c r="G26" s="724"/>
      <c r="H26" s="725">
        <f t="shared" si="1"/>
        <v>4054.9800000000014</v>
      </c>
    </row>
    <row r="27" spans="1:8">
      <c r="A27" s="468">
        <v>12</v>
      </c>
      <c r="B27" s="442" t="s">
        <v>797</v>
      </c>
      <c r="C27" s="724">
        <v>1081556.1299999999</v>
      </c>
      <c r="D27" s="724"/>
      <c r="E27" s="725">
        <f t="shared" si="0"/>
        <v>1081556.1299999999</v>
      </c>
      <c r="F27" s="724">
        <v>916969.92000000027</v>
      </c>
      <c r="G27" s="724"/>
      <c r="H27" s="725">
        <f t="shared" si="1"/>
        <v>916969.92000000027</v>
      </c>
    </row>
    <row r="28" spans="1:8">
      <c r="A28" s="468">
        <v>13</v>
      </c>
      <c r="B28" s="445" t="s">
        <v>798</v>
      </c>
      <c r="C28" s="724">
        <v>-5849317</v>
      </c>
      <c r="D28" s="724"/>
      <c r="E28" s="725">
        <f t="shared" si="0"/>
        <v>-5849317</v>
      </c>
      <c r="F28" s="724">
        <v>-6468112.9399999995</v>
      </c>
      <c r="G28" s="724"/>
      <c r="H28" s="725">
        <f t="shared" si="1"/>
        <v>-6468112.9399999995</v>
      </c>
    </row>
    <row r="29" spans="1:8">
      <c r="A29" s="468">
        <v>14</v>
      </c>
      <c r="B29" s="446" t="s">
        <v>799</v>
      </c>
      <c r="C29" s="724">
        <f>SUM(C30:C31)</f>
        <v>-33696357.349999987</v>
      </c>
      <c r="D29" s="724">
        <f>SUM(D30:D31)</f>
        <v>0</v>
      </c>
      <c r="E29" s="725">
        <f t="shared" si="0"/>
        <v>-33696357.349999987</v>
      </c>
      <c r="F29" s="724">
        <f>SUM(F30:F31)</f>
        <v>-27376577.109999999</v>
      </c>
      <c r="G29" s="724">
        <f>SUM(G30:G31)</f>
        <v>0</v>
      </c>
      <c r="H29" s="725">
        <f t="shared" si="1"/>
        <v>-27376577.109999999</v>
      </c>
    </row>
    <row r="30" spans="1:8">
      <c r="A30" s="468">
        <v>14.1</v>
      </c>
      <c r="B30" s="422" t="s">
        <v>800</v>
      </c>
      <c r="C30" s="724">
        <v>-32510229.139999989</v>
      </c>
      <c r="D30" s="724"/>
      <c r="E30" s="725">
        <f t="shared" si="0"/>
        <v>-32510229.139999989</v>
      </c>
      <c r="F30" s="724">
        <v>-26032491.280000001</v>
      </c>
      <c r="G30" s="724"/>
      <c r="H30" s="725">
        <f t="shared" si="1"/>
        <v>-26032491.280000001</v>
      </c>
    </row>
    <row r="31" spans="1:8">
      <c r="A31" s="468">
        <v>14.2</v>
      </c>
      <c r="B31" s="422" t="s">
        <v>801</v>
      </c>
      <c r="C31" s="724">
        <v>-1186128.2100000002</v>
      </c>
      <c r="D31" s="724"/>
      <c r="E31" s="725">
        <f t="shared" si="0"/>
        <v>-1186128.2100000002</v>
      </c>
      <c r="F31" s="724">
        <v>-1344085.8299999998</v>
      </c>
      <c r="G31" s="724"/>
      <c r="H31" s="725">
        <f t="shared" si="1"/>
        <v>-1344085.8299999998</v>
      </c>
    </row>
    <row r="32" spans="1:8">
      <c r="A32" s="468">
        <v>15</v>
      </c>
      <c r="B32" s="447" t="s">
        <v>802</v>
      </c>
      <c r="C32" s="724">
        <v>-4400805.92</v>
      </c>
      <c r="D32" s="724"/>
      <c r="E32" s="725">
        <f t="shared" si="0"/>
        <v>-4400805.92</v>
      </c>
      <c r="F32" s="724">
        <v>-4438119.2199999988</v>
      </c>
      <c r="G32" s="724"/>
      <c r="H32" s="725">
        <f t="shared" si="1"/>
        <v>-4438119.2199999988</v>
      </c>
    </row>
    <row r="33" spans="1:8" ht="22.5" customHeight="1">
      <c r="A33" s="468">
        <v>16</v>
      </c>
      <c r="B33" s="418" t="s">
        <v>803</v>
      </c>
      <c r="C33" s="724"/>
      <c r="D33" s="724"/>
      <c r="E33" s="725">
        <f t="shared" si="0"/>
        <v>0</v>
      </c>
      <c r="F33" s="724"/>
      <c r="G33" s="724"/>
      <c r="H33" s="725">
        <f t="shared" si="1"/>
        <v>0</v>
      </c>
    </row>
    <row r="34" spans="1:8">
      <c r="A34" s="468">
        <v>17</v>
      </c>
      <c r="B34" s="442" t="s">
        <v>804</v>
      </c>
      <c r="C34" s="724">
        <f>SUM(C35:C36)</f>
        <v>0</v>
      </c>
      <c r="D34" s="724">
        <f>SUM(D35:D36)</f>
        <v>0</v>
      </c>
      <c r="E34" s="725">
        <f t="shared" si="0"/>
        <v>0</v>
      </c>
      <c r="F34" s="724">
        <f>SUM(F35:F36)</f>
        <v>0</v>
      </c>
      <c r="G34" s="724">
        <f>SUM(G35:G36)</f>
        <v>0</v>
      </c>
      <c r="H34" s="725">
        <f t="shared" si="1"/>
        <v>0</v>
      </c>
    </row>
    <row r="35" spans="1:8">
      <c r="A35" s="468">
        <v>17.100000000000001</v>
      </c>
      <c r="B35" s="448" t="s">
        <v>805</v>
      </c>
      <c r="C35" s="724"/>
      <c r="D35" s="724"/>
      <c r="E35" s="725">
        <f t="shared" si="0"/>
        <v>0</v>
      </c>
      <c r="F35" s="724"/>
      <c r="G35" s="724"/>
      <c r="H35" s="725">
        <f t="shared" si="1"/>
        <v>0</v>
      </c>
    </row>
    <row r="36" spans="1:8">
      <c r="A36" s="468">
        <v>17.2</v>
      </c>
      <c r="B36" s="422" t="s">
        <v>806</v>
      </c>
      <c r="C36" s="724"/>
      <c r="D36" s="724"/>
      <c r="E36" s="725">
        <f t="shared" si="0"/>
        <v>0</v>
      </c>
      <c r="F36" s="724"/>
      <c r="G36" s="724"/>
      <c r="H36" s="725">
        <f t="shared" si="1"/>
        <v>0</v>
      </c>
    </row>
    <row r="37" spans="1:8" ht="41.55" customHeight="1">
      <c r="A37" s="468">
        <v>18</v>
      </c>
      <c r="B37" s="449" t="s">
        <v>807</v>
      </c>
      <c r="C37" s="724">
        <f>SUM(C38:C39)</f>
        <v>-13164611.01</v>
      </c>
      <c r="D37" s="724">
        <f>SUM(D38:D39)</f>
        <v>-100763.34999999963</v>
      </c>
      <c r="E37" s="725">
        <f t="shared" si="0"/>
        <v>-13265374.359999999</v>
      </c>
      <c r="F37" s="724">
        <v>-12610248.970000001</v>
      </c>
      <c r="G37" s="724">
        <v>975685.37000000104</v>
      </c>
      <c r="H37" s="725">
        <f t="shared" si="1"/>
        <v>-11634563.6</v>
      </c>
    </row>
    <row r="38" spans="1:8" ht="20.399999999999999">
      <c r="A38" s="468">
        <v>18.100000000000001</v>
      </c>
      <c r="B38" s="431" t="s">
        <v>808</v>
      </c>
      <c r="C38" s="724"/>
      <c r="D38" s="724"/>
      <c r="E38" s="725">
        <f t="shared" si="0"/>
        <v>0</v>
      </c>
      <c r="F38" s="724"/>
      <c r="G38" s="724"/>
      <c r="H38" s="725">
        <f t="shared" si="1"/>
        <v>0</v>
      </c>
    </row>
    <row r="39" spans="1:8">
      <c r="A39" s="468">
        <v>18.2</v>
      </c>
      <c r="B39" s="431" t="s">
        <v>809</v>
      </c>
      <c r="C39" s="724">
        <v>-13164611.01</v>
      </c>
      <c r="D39" s="724">
        <v>-100763.34999999963</v>
      </c>
      <c r="E39" s="725">
        <f t="shared" si="0"/>
        <v>-13265374.359999999</v>
      </c>
      <c r="F39" s="724">
        <v>-11634563.6</v>
      </c>
      <c r="G39" s="724"/>
      <c r="H39" s="725">
        <f t="shared" si="1"/>
        <v>-11634563.6</v>
      </c>
    </row>
    <row r="40" spans="1:8" ht="24.45" customHeight="1">
      <c r="A40" s="468">
        <v>19</v>
      </c>
      <c r="B40" s="449" t="s">
        <v>810</v>
      </c>
      <c r="C40" s="724"/>
      <c r="D40" s="724"/>
      <c r="E40" s="725">
        <f t="shared" si="0"/>
        <v>0</v>
      </c>
      <c r="F40" s="724"/>
      <c r="G40" s="724"/>
      <c r="H40" s="725">
        <f t="shared" si="1"/>
        <v>0</v>
      </c>
    </row>
    <row r="41" spans="1:8" ht="25.05" customHeight="1">
      <c r="A41" s="468">
        <v>20</v>
      </c>
      <c r="B41" s="449" t="s">
        <v>811</v>
      </c>
      <c r="C41" s="724">
        <v>-175777.41</v>
      </c>
      <c r="D41" s="724"/>
      <c r="E41" s="725">
        <f t="shared" si="0"/>
        <v>-175777.41</v>
      </c>
      <c r="F41" s="724">
        <v>-198291.63</v>
      </c>
      <c r="G41" s="724"/>
      <c r="H41" s="725">
        <f t="shared" si="1"/>
        <v>-198291.63</v>
      </c>
    </row>
    <row r="42" spans="1:8" ht="33" customHeight="1">
      <c r="A42" s="468">
        <v>21</v>
      </c>
      <c r="B42" s="450" t="s">
        <v>812</v>
      </c>
      <c r="C42" s="724"/>
      <c r="D42" s="724"/>
      <c r="E42" s="725">
        <f t="shared" si="0"/>
        <v>0</v>
      </c>
      <c r="F42" s="724"/>
      <c r="G42" s="724"/>
      <c r="H42" s="725">
        <f t="shared" si="1"/>
        <v>0</v>
      </c>
    </row>
    <row r="43" spans="1:8">
      <c r="A43" s="468">
        <v>22</v>
      </c>
      <c r="B43" s="451" t="s">
        <v>813</v>
      </c>
      <c r="C43" s="724">
        <f>SUM(C6,C13,C18,C19,C20,C21,C22,C23,C24,C25,C26,C27,C28,C29,C32,C33,C34,C37,C40,C41,C42)</f>
        <v>7051638.1199999619</v>
      </c>
      <c r="D43" s="724">
        <f>SUM(D6,D13,D18,D19,D20,D21,D22,D23,D24,D25,D26,D27,D28,D29,D32,D33,D34,D37,D40,D41,D42)</f>
        <v>-766460.79999998724</v>
      </c>
      <c r="E43" s="725">
        <f t="shared" si="0"/>
        <v>6285177.3199999742</v>
      </c>
      <c r="F43" s="724">
        <f>SUM(F6,F13,F18,F19,F20,F21,F22,F23,F24,F25,F26,F27,F28,F29,F32,F33,F34,F37,F40,F41,F42)</f>
        <v>10878015.619999968</v>
      </c>
      <c r="G43" s="724">
        <f>SUM(G6,G13,G18,G19,G20,G21,G22,G23,G24,G25,G26,G27,G28,G29,G32,G33,G34,G37,G40,G41,G42)</f>
        <v>1714313.850000001</v>
      </c>
      <c r="H43" s="725">
        <f t="shared" si="1"/>
        <v>12592329.469999969</v>
      </c>
    </row>
    <row r="44" spans="1:8">
      <c r="A44" s="468">
        <v>23</v>
      </c>
      <c r="B44" s="451" t="s">
        <v>814</v>
      </c>
      <c r="C44" s="724">
        <v>1257035.3700000001</v>
      </c>
      <c r="D44" s="724"/>
      <c r="E44" s="725">
        <f t="shared" si="0"/>
        <v>1257035.3700000001</v>
      </c>
      <c r="F44" s="724">
        <v>1888849.32</v>
      </c>
      <c r="G44" s="724"/>
      <c r="H44" s="725">
        <f t="shared" si="1"/>
        <v>1888849.32</v>
      </c>
    </row>
    <row r="45" spans="1:8">
      <c r="A45" s="468">
        <v>24</v>
      </c>
      <c r="B45" s="451" t="s">
        <v>815</v>
      </c>
      <c r="C45" s="724">
        <f>C43-C44</f>
        <v>5794602.7499999618</v>
      </c>
      <c r="D45" s="724">
        <f>D43-D44</f>
        <v>-766460.79999998724</v>
      </c>
      <c r="E45" s="725">
        <f t="shared" si="0"/>
        <v>5028141.949999975</v>
      </c>
      <c r="F45" s="724">
        <f>F43-F44</f>
        <v>8989166.2999999672</v>
      </c>
      <c r="G45" s="724">
        <f>G43-G44</f>
        <v>1714313.850000001</v>
      </c>
      <c r="H45" s="725">
        <f t="shared" si="1"/>
        <v>10703480.149999969</v>
      </c>
    </row>
    <row r="46" spans="1:8">
      <c r="E46" s="705"/>
    </row>
    <row r="47" spans="1:8">
      <c r="E47" s="727"/>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80" zoomScaleNormal="80" workbookViewId="0">
      <selection activeCell="F6" sqref="F6:G43"/>
    </sheetView>
  </sheetViews>
  <sheetFormatPr defaultRowHeight="14.4"/>
  <cols>
    <col min="1" max="1" width="8.77734375" style="465"/>
    <col min="2" max="2" width="87.6640625" bestFit="1" customWidth="1"/>
    <col min="3" max="8" width="12.77734375" customWidth="1"/>
  </cols>
  <sheetData>
    <row r="1" spans="1:8">
      <c r="A1" s="13" t="s">
        <v>109</v>
      </c>
      <c r="B1" s="310" t="str">
        <f>Info!C2</f>
        <v>სს "კრედობანკი"</v>
      </c>
      <c r="C1" s="12"/>
      <c r="D1" s="1"/>
      <c r="E1" s="1"/>
      <c r="F1" s="1"/>
      <c r="G1" s="1"/>
    </row>
    <row r="2" spans="1:8">
      <c r="A2" s="13" t="s">
        <v>110</v>
      </c>
      <c r="B2" s="346">
        <f>'1. key ratios'!B2</f>
        <v>45016</v>
      </c>
      <c r="C2" s="12"/>
      <c r="D2" s="1"/>
      <c r="E2" s="1"/>
      <c r="F2" s="1"/>
      <c r="G2" s="1"/>
    </row>
    <row r="3" spans="1:8">
      <c r="A3" s="13"/>
      <c r="B3" s="12"/>
      <c r="C3" s="12"/>
      <c r="D3" s="1"/>
      <c r="E3" s="1"/>
      <c r="F3" s="1"/>
      <c r="G3" s="1"/>
    </row>
    <row r="4" spans="1:8">
      <c r="A4" s="804" t="s">
        <v>26</v>
      </c>
      <c r="B4" s="816" t="s">
        <v>152</v>
      </c>
      <c r="C4" s="817" t="s">
        <v>115</v>
      </c>
      <c r="D4" s="817"/>
      <c r="E4" s="817"/>
      <c r="F4" s="817" t="s">
        <v>116</v>
      </c>
      <c r="G4" s="817"/>
      <c r="H4" s="818"/>
    </row>
    <row r="5" spans="1:8">
      <c r="A5" s="804"/>
      <c r="B5" s="816"/>
      <c r="C5" s="439" t="s">
        <v>27</v>
      </c>
      <c r="D5" s="439" t="s">
        <v>89</v>
      </c>
      <c r="E5" s="439" t="s">
        <v>67</v>
      </c>
      <c r="F5" s="439" t="s">
        <v>27</v>
      </c>
      <c r="G5" s="439" t="s">
        <v>89</v>
      </c>
      <c r="H5" s="452" t="s">
        <v>67</v>
      </c>
    </row>
    <row r="6" spans="1:8">
      <c r="A6" s="453">
        <v>1</v>
      </c>
      <c r="B6" s="454" t="s">
        <v>816</v>
      </c>
      <c r="C6" s="455"/>
      <c r="D6" s="455"/>
      <c r="E6" s="456">
        <f t="shared" ref="E6:E43" si="0">C6+D6</f>
        <v>0</v>
      </c>
      <c r="F6" s="455"/>
      <c r="G6" s="455"/>
      <c r="H6" s="457">
        <f t="shared" ref="H6:H43" si="1">F6+G6</f>
        <v>0</v>
      </c>
    </row>
    <row r="7" spans="1:8">
      <c r="A7" s="453">
        <v>2</v>
      </c>
      <c r="B7" s="458" t="s">
        <v>178</v>
      </c>
      <c r="C7" s="455"/>
      <c r="D7" s="455"/>
      <c r="E7" s="456">
        <f t="shared" si="0"/>
        <v>0</v>
      </c>
      <c r="F7" s="455"/>
      <c r="G7" s="455"/>
      <c r="H7" s="457">
        <f t="shared" si="1"/>
        <v>0</v>
      </c>
    </row>
    <row r="8" spans="1:8">
      <c r="A8" s="453">
        <v>3</v>
      </c>
      <c r="B8" s="458" t="s">
        <v>180</v>
      </c>
      <c r="C8" s="455">
        <f>C9+C10</f>
        <v>1072393242.75</v>
      </c>
      <c r="D8" s="455">
        <f>D9+D10</f>
        <v>0</v>
      </c>
      <c r="E8" s="456">
        <f t="shared" si="0"/>
        <v>1072393242.75</v>
      </c>
      <c r="F8" s="455">
        <f>F9+F10</f>
        <v>888174311.63</v>
      </c>
      <c r="G8" s="455">
        <f>G9+G10</f>
        <v>0</v>
      </c>
      <c r="H8" s="457">
        <f t="shared" si="1"/>
        <v>888174311.63</v>
      </c>
    </row>
    <row r="9" spans="1:8">
      <c r="A9" s="453">
        <v>3.1</v>
      </c>
      <c r="B9" s="459" t="s">
        <v>817</v>
      </c>
      <c r="C9" s="455">
        <v>1072127137.75</v>
      </c>
      <c r="D9" s="455"/>
      <c r="E9" s="456">
        <f t="shared" si="0"/>
        <v>1072127137.75</v>
      </c>
      <c r="F9" s="455">
        <v>887903351.62</v>
      </c>
      <c r="G9" s="455"/>
      <c r="H9" s="457">
        <f t="shared" si="1"/>
        <v>887903351.62</v>
      </c>
    </row>
    <row r="10" spans="1:8">
      <c r="A10" s="453">
        <v>3.2</v>
      </c>
      <c r="B10" s="459" t="s">
        <v>818</v>
      </c>
      <c r="C10" s="455">
        <v>266105</v>
      </c>
      <c r="D10" s="455"/>
      <c r="E10" s="456">
        <f t="shared" si="0"/>
        <v>266105</v>
      </c>
      <c r="F10" s="455">
        <v>270960.01</v>
      </c>
      <c r="G10" s="455"/>
      <c r="H10" s="457">
        <f t="shared" si="1"/>
        <v>270960.01</v>
      </c>
    </row>
    <row r="11" spans="1:8">
      <c r="A11" s="453">
        <v>4</v>
      </c>
      <c r="B11" s="458" t="s">
        <v>179</v>
      </c>
      <c r="C11" s="455">
        <f>C12+C13</f>
        <v>0</v>
      </c>
      <c r="D11" s="455">
        <f>D12+D13</f>
        <v>0</v>
      </c>
      <c r="E11" s="456">
        <f t="shared" si="0"/>
        <v>0</v>
      </c>
      <c r="F11" s="455">
        <f>F12+F13</f>
        <v>0</v>
      </c>
      <c r="G11" s="455">
        <f>G12+G13</f>
        <v>0</v>
      </c>
      <c r="H11" s="457">
        <f t="shared" si="1"/>
        <v>0</v>
      </c>
    </row>
    <row r="12" spans="1:8">
      <c r="A12" s="453">
        <v>4.0999999999999996</v>
      </c>
      <c r="B12" s="459" t="s">
        <v>819</v>
      </c>
      <c r="C12" s="455"/>
      <c r="D12" s="455"/>
      <c r="E12" s="456">
        <f t="shared" si="0"/>
        <v>0</v>
      </c>
      <c r="F12" s="455"/>
      <c r="G12" s="455"/>
      <c r="H12" s="457">
        <f t="shared" si="1"/>
        <v>0</v>
      </c>
    </row>
    <row r="13" spans="1:8">
      <c r="A13" s="453">
        <v>4.2</v>
      </c>
      <c r="B13" s="459" t="s">
        <v>820</v>
      </c>
      <c r="C13" s="455"/>
      <c r="D13" s="455"/>
      <c r="E13" s="456">
        <f t="shared" si="0"/>
        <v>0</v>
      </c>
      <c r="F13" s="455"/>
      <c r="G13" s="455"/>
      <c r="H13" s="457">
        <f t="shared" si="1"/>
        <v>0</v>
      </c>
    </row>
    <row r="14" spans="1:8">
      <c r="A14" s="453">
        <v>5</v>
      </c>
      <c r="B14" s="460" t="s">
        <v>821</v>
      </c>
      <c r="C14" s="455">
        <f>C15+C16+C17+C23+C24+C25+C26</f>
        <v>1044325313.6699998</v>
      </c>
      <c r="D14" s="455">
        <f>D15+D16+D17+D23+D24+D25+D26</f>
        <v>2560400</v>
      </c>
      <c r="E14" s="456">
        <f t="shared" si="0"/>
        <v>1046885713.6699998</v>
      </c>
      <c r="F14" s="455">
        <f>F15+F16+F17+F23+F24+F25+F26</f>
        <v>688450928.93000007</v>
      </c>
      <c r="G14" s="455">
        <f>G15+G16+G17+G23+G24+G25+G26</f>
        <v>0</v>
      </c>
      <c r="H14" s="457">
        <f t="shared" si="1"/>
        <v>688450928.93000007</v>
      </c>
    </row>
    <row r="15" spans="1:8">
      <c r="A15" s="453">
        <v>5.0999999999999996</v>
      </c>
      <c r="B15" s="461" t="s">
        <v>822</v>
      </c>
      <c r="C15" s="455">
        <v>13934673.869999999</v>
      </c>
      <c r="D15" s="455">
        <v>2560400</v>
      </c>
      <c r="E15" s="456">
        <f t="shared" si="0"/>
        <v>16495073.869999999</v>
      </c>
      <c r="F15" s="455">
        <v>9565261.6899999995</v>
      </c>
      <c r="G15" s="455"/>
      <c r="H15" s="457">
        <f t="shared" si="1"/>
        <v>9565261.6899999995</v>
      </c>
    </row>
    <row r="16" spans="1:8">
      <c r="A16" s="453">
        <v>5.2</v>
      </c>
      <c r="B16" s="461" t="s">
        <v>823</v>
      </c>
      <c r="C16" s="455">
        <v>45090.78</v>
      </c>
      <c r="D16" s="455"/>
      <c r="E16" s="456">
        <f t="shared" si="0"/>
        <v>45090.78</v>
      </c>
      <c r="F16" s="455">
        <v>46591.38</v>
      </c>
      <c r="G16" s="455"/>
      <c r="H16" s="457">
        <f t="shared" si="1"/>
        <v>46591.38</v>
      </c>
    </row>
    <row r="17" spans="1:8">
      <c r="A17" s="453">
        <v>5.3</v>
      </c>
      <c r="B17" s="461" t="s">
        <v>824</v>
      </c>
      <c r="C17" s="455">
        <f>C18+C19+C20+C21+C22</f>
        <v>939529394.33999991</v>
      </c>
      <c r="D17" s="455">
        <f>D18+D19+D20+D21+D22</f>
        <v>0</v>
      </c>
      <c r="E17" s="456">
        <f t="shared" si="0"/>
        <v>939529394.33999991</v>
      </c>
      <c r="F17" s="455">
        <f>F18+F19+F20+F21+F22</f>
        <v>637259170.47000003</v>
      </c>
      <c r="G17" s="455"/>
      <c r="H17" s="457">
        <f t="shared" si="1"/>
        <v>637259170.47000003</v>
      </c>
    </row>
    <row r="18" spans="1:8">
      <c r="A18" s="453" t="s">
        <v>181</v>
      </c>
      <c r="B18" s="462" t="s">
        <v>825</v>
      </c>
      <c r="C18" s="455">
        <v>679088471.42999995</v>
      </c>
      <c r="D18" s="455"/>
      <c r="E18" s="456">
        <f t="shared" si="0"/>
        <v>679088471.42999995</v>
      </c>
      <c r="F18" s="455">
        <v>434339243.75</v>
      </c>
      <c r="G18" s="455"/>
      <c r="H18" s="457">
        <f t="shared" si="1"/>
        <v>434339243.75</v>
      </c>
    </row>
    <row r="19" spans="1:8">
      <c r="A19" s="453" t="s">
        <v>182</v>
      </c>
      <c r="B19" s="463" t="s">
        <v>826</v>
      </c>
      <c r="C19" s="455">
        <v>138261435.27000001</v>
      </c>
      <c r="D19" s="455"/>
      <c r="E19" s="456">
        <f t="shared" si="0"/>
        <v>138261435.27000001</v>
      </c>
      <c r="F19" s="455">
        <v>99038197.790000007</v>
      </c>
      <c r="G19" s="455"/>
      <c r="H19" s="457">
        <f t="shared" si="1"/>
        <v>99038197.790000007</v>
      </c>
    </row>
    <row r="20" spans="1:8">
      <c r="A20" s="453" t="s">
        <v>183</v>
      </c>
      <c r="B20" s="463" t="s">
        <v>827</v>
      </c>
      <c r="C20" s="455"/>
      <c r="D20" s="455"/>
      <c r="E20" s="456">
        <f t="shared" si="0"/>
        <v>0</v>
      </c>
      <c r="F20" s="455">
        <v>0</v>
      </c>
      <c r="G20" s="455"/>
      <c r="H20" s="457">
        <f t="shared" si="1"/>
        <v>0</v>
      </c>
    </row>
    <row r="21" spans="1:8">
      <c r="A21" s="453" t="s">
        <v>184</v>
      </c>
      <c r="B21" s="463" t="s">
        <v>828</v>
      </c>
      <c r="C21" s="455">
        <v>117688933.75</v>
      </c>
      <c r="D21" s="455"/>
      <c r="E21" s="456">
        <f t="shared" si="0"/>
        <v>117688933.75</v>
      </c>
      <c r="F21" s="455">
        <v>101126218.14</v>
      </c>
      <c r="G21" s="455"/>
      <c r="H21" s="457">
        <f t="shared" si="1"/>
        <v>101126218.14</v>
      </c>
    </row>
    <row r="22" spans="1:8">
      <c r="A22" s="453" t="s">
        <v>185</v>
      </c>
      <c r="B22" s="463" t="s">
        <v>542</v>
      </c>
      <c r="C22" s="455">
        <v>4490553.8899999997</v>
      </c>
      <c r="D22" s="455"/>
      <c r="E22" s="456">
        <f t="shared" si="0"/>
        <v>4490553.8899999997</v>
      </c>
      <c r="F22" s="455">
        <v>2755510.79</v>
      </c>
      <c r="G22" s="455"/>
      <c r="H22" s="457">
        <f t="shared" si="1"/>
        <v>2755510.79</v>
      </c>
    </row>
    <row r="23" spans="1:8">
      <c r="A23" s="453">
        <v>5.4</v>
      </c>
      <c r="B23" s="461" t="s">
        <v>829</v>
      </c>
      <c r="C23" s="455">
        <v>90816154.680000007</v>
      </c>
      <c r="D23" s="455"/>
      <c r="E23" s="456">
        <f t="shared" si="0"/>
        <v>90816154.680000007</v>
      </c>
      <c r="F23" s="455">
        <v>41579905.390000001</v>
      </c>
      <c r="G23" s="455"/>
      <c r="H23" s="457">
        <f t="shared" si="1"/>
        <v>41579905.390000001</v>
      </c>
    </row>
    <row r="24" spans="1:8">
      <c r="A24" s="453">
        <v>5.5</v>
      </c>
      <c r="B24" s="461" t="s">
        <v>830</v>
      </c>
      <c r="C24" s="455"/>
      <c r="D24" s="455"/>
      <c r="E24" s="456">
        <f t="shared" si="0"/>
        <v>0</v>
      </c>
      <c r="F24" s="455"/>
      <c r="G24" s="455"/>
      <c r="H24" s="457">
        <f t="shared" si="1"/>
        <v>0</v>
      </c>
    </row>
    <row r="25" spans="1:8">
      <c r="A25" s="453">
        <v>5.6</v>
      </c>
      <c r="B25" s="461" t="s">
        <v>831</v>
      </c>
      <c r="C25" s="455"/>
      <c r="D25" s="455"/>
      <c r="E25" s="456">
        <f t="shared" si="0"/>
        <v>0</v>
      </c>
      <c r="F25" s="455"/>
      <c r="G25" s="455"/>
      <c r="H25" s="457">
        <f t="shared" si="1"/>
        <v>0</v>
      </c>
    </row>
    <row r="26" spans="1:8">
      <c r="A26" s="453">
        <v>5.7</v>
      </c>
      <c r="B26" s="461" t="s">
        <v>542</v>
      </c>
      <c r="C26" s="455"/>
      <c r="D26" s="455"/>
      <c r="E26" s="456">
        <f t="shared" si="0"/>
        <v>0</v>
      </c>
      <c r="F26" s="455"/>
      <c r="G26" s="455"/>
      <c r="H26" s="457">
        <f t="shared" si="1"/>
        <v>0</v>
      </c>
    </row>
    <row r="27" spans="1:8">
      <c r="A27" s="453">
        <v>6</v>
      </c>
      <c r="B27" s="460" t="s">
        <v>832</v>
      </c>
      <c r="C27" s="455">
        <v>29157586.23</v>
      </c>
      <c r="D27" s="455">
        <v>13430474.020000001</v>
      </c>
      <c r="E27" s="456">
        <f t="shared" si="0"/>
        <v>42588060.25</v>
      </c>
      <c r="F27" s="455">
        <v>28520746.66</v>
      </c>
      <c r="G27" s="455">
        <v>6177681.2699999996</v>
      </c>
      <c r="H27" s="457">
        <f t="shared" si="1"/>
        <v>34698427.93</v>
      </c>
    </row>
    <row r="28" spans="1:8">
      <c r="A28" s="453">
        <v>7</v>
      </c>
      <c r="B28" s="460" t="s">
        <v>833</v>
      </c>
      <c r="C28" s="455">
        <v>337890</v>
      </c>
      <c r="D28" s="455"/>
      <c r="E28" s="456">
        <f t="shared" si="0"/>
        <v>337890</v>
      </c>
      <c r="F28" s="455">
        <v>30000</v>
      </c>
      <c r="G28" s="455"/>
      <c r="H28" s="457">
        <f t="shared" si="1"/>
        <v>30000</v>
      </c>
    </row>
    <row r="29" spans="1:8">
      <c r="A29" s="453">
        <v>8</v>
      </c>
      <c r="B29" s="460" t="s">
        <v>834</v>
      </c>
      <c r="C29" s="455"/>
      <c r="D29" s="455"/>
      <c r="E29" s="456">
        <f t="shared" si="0"/>
        <v>0</v>
      </c>
      <c r="F29" s="455"/>
      <c r="G29" s="455"/>
      <c r="H29" s="457">
        <f t="shared" si="1"/>
        <v>0</v>
      </c>
    </row>
    <row r="30" spans="1:8">
      <c r="A30" s="453">
        <v>9</v>
      </c>
      <c r="B30" s="458" t="s">
        <v>186</v>
      </c>
      <c r="C30" s="455">
        <f>C31+C32+C33+C34+C35+C36+C37</f>
        <v>179271107</v>
      </c>
      <c r="D30" s="455">
        <f>D31+D32+D33+D34+D35+D36+D37</f>
        <v>1475239</v>
      </c>
      <c r="E30" s="456">
        <f t="shared" si="0"/>
        <v>180746346</v>
      </c>
      <c r="F30" s="455">
        <f>F31+F32+F33+F34+F35+F36+F37</f>
        <v>105533676.98999999</v>
      </c>
      <c r="G30" s="455">
        <f>G31+G32+G33+G34+G35+G36+G37</f>
        <v>1289805.08</v>
      </c>
      <c r="H30" s="457">
        <f t="shared" si="1"/>
        <v>106823482.06999999</v>
      </c>
    </row>
    <row r="31" spans="1:8" ht="27.6">
      <c r="A31" s="453">
        <v>9.1</v>
      </c>
      <c r="B31" s="459" t="s">
        <v>835</v>
      </c>
      <c r="C31" s="455"/>
      <c r="D31" s="455"/>
      <c r="E31" s="456">
        <f t="shared" si="0"/>
        <v>0</v>
      </c>
      <c r="F31" s="455"/>
      <c r="G31" s="455"/>
      <c r="H31" s="457">
        <f t="shared" si="1"/>
        <v>0</v>
      </c>
    </row>
    <row r="32" spans="1:8" ht="27.6">
      <c r="A32" s="453">
        <v>9.1999999999999993</v>
      </c>
      <c r="B32" s="459" t="s">
        <v>836</v>
      </c>
      <c r="C32" s="455">
        <v>179271107</v>
      </c>
      <c r="D32" s="455">
        <v>1475239</v>
      </c>
      <c r="E32" s="456">
        <f t="shared" si="0"/>
        <v>180746346</v>
      </c>
      <c r="F32" s="455">
        <v>105533676.98999999</v>
      </c>
      <c r="G32" s="455">
        <v>1289805.08</v>
      </c>
      <c r="H32" s="457">
        <f t="shared" si="1"/>
        <v>106823482.06999999</v>
      </c>
    </row>
    <row r="33" spans="1:8" ht="27.6">
      <c r="A33" s="453">
        <v>9.3000000000000007</v>
      </c>
      <c r="B33" s="459" t="s">
        <v>837</v>
      </c>
      <c r="C33" s="455"/>
      <c r="D33" s="455"/>
      <c r="E33" s="456">
        <f t="shared" si="0"/>
        <v>0</v>
      </c>
      <c r="F33" s="455"/>
      <c r="G33" s="455"/>
      <c r="H33" s="457">
        <f t="shared" si="1"/>
        <v>0</v>
      </c>
    </row>
    <row r="34" spans="1:8">
      <c r="A34" s="453">
        <v>9.4</v>
      </c>
      <c r="B34" s="459" t="s">
        <v>838</v>
      </c>
      <c r="C34" s="455"/>
      <c r="D34" s="455"/>
      <c r="E34" s="456">
        <f t="shared" si="0"/>
        <v>0</v>
      </c>
      <c r="F34" s="455"/>
      <c r="G34" s="455"/>
      <c r="H34" s="457">
        <f t="shared" si="1"/>
        <v>0</v>
      </c>
    </row>
    <row r="35" spans="1:8">
      <c r="A35" s="453">
        <v>9.5</v>
      </c>
      <c r="B35" s="459" t="s">
        <v>839</v>
      </c>
      <c r="C35" s="455"/>
      <c r="D35" s="455"/>
      <c r="E35" s="456">
        <f t="shared" si="0"/>
        <v>0</v>
      </c>
      <c r="F35" s="455"/>
      <c r="G35" s="455"/>
      <c r="H35" s="457">
        <f t="shared" si="1"/>
        <v>0</v>
      </c>
    </row>
    <row r="36" spans="1:8" ht="27.6">
      <c r="A36" s="453">
        <v>9.6</v>
      </c>
      <c r="B36" s="459" t="s">
        <v>840</v>
      </c>
      <c r="C36" s="455"/>
      <c r="D36" s="455"/>
      <c r="E36" s="456">
        <f t="shared" si="0"/>
        <v>0</v>
      </c>
      <c r="F36" s="455"/>
      <c r="G36" s="455"/>
      <c r="H36" s="457">
        <f t="shared" si="1"/>
        <v>0</v>
      </c>
    </row>
    <row r="37" spans="1:8" ht="27.6">
      <c r="A37" s="453">
        <v>9.6999999999999993</v>
      </c>
      <c r="B37" s="459" t="s">
        <v>841</v>
      </c>
      <c r="C37" s="455"/>
      <c r="D37" s="455"/>
      <c r="E37" s="456">
        <f t="shared" si="0"/>
        <v>0</v>
      </c>
      <c r="F37" s="455"/>
      <c r="G37" s="455"/>
      <c r="H37" s="457">
        <f t="shared" si="1"/>
        <v>0</v>
      </c>
    </row>
    <row r="38" spans="1:8">
      <c r="A38" s="453">
        <v>10</v>
      </c>
      <c r="B38" s="460" t="s">
        <v>842</v>
      </c>
      <c r="C38" s="455">
        <f>C39+C40+C41+C42</f>
        <v>200390991.69</v>
      </c>
      <c r="D38" s="455">
        <f>D39+D40+D41+D42</f>
        <v>6912078.1532239998</v>
      </c>
      <c r="E38" s="456">
        <f t="shared" si="0"/>
        <v>207303069.84322399</v>
      </c>
      <c r="F38" s="455">
        <f>F39+F40+F41+F42</f>
        <v>127629994.62000005</v>
      </c>
      <c r="G38" s="455">
        <f>G39+G40+G41+G42</f>
        <v>21983119.256551001</v>
      </c>
      <c r="H38" s="457">
        <f t="shared" si="1"/>
        <v>149613113.87655106</v>
      </c>
    </row>
    <row r="39" spans="1:8">
      <c r="A39" s="453">
        <v>10.1</v>
      </c>
      <c r="B39" s="459" t="s">
        <v>843</v>
      </c>
      <c r="C39" s="455">
        <v>8914727</v>
      </c>
      <c r="D39" s="455">
        <v>10493</v>
      </c>
      <c r="E39" s="456">
        <f t="shared" si="0"/>
        <v>8925220</v>
      </c>
      <c r="F39" s="455">
        <v>10895047.220000012</v>
      </c>
      <c r="G39" s="455">
        <v>35564.964088000001</v>
      </c>
      <c r="H39" s="457">
        <f t="shared" si="1"/>
        <v>10930612.184088012</v>
      </c>
    </row>
    <row r="40" spans="1:8" ht="27.6">
      <c r="A40" s="453">
        <v>10.199999999999999</v>
      </c>
      <c r="B40" s="459" t="s">
        <v>844</v>
      </c>
      <c r="C40" s="455">
        <v>5528116</v>
      </c>
      <c r="D40" s="455">
        <v>4762</v>
      </c>
      <c r="E40" s="456">
        <f t="shared" si="0"/>
        <v>5532878</v>
      </c>
      <c r="F40" s="455">
        <v>6513780</v>
      </c>
      <c r="G40" s="455">
        <v>12675</v>
      </c>
      <c r="H40" s="457">
        <f t="shared" si="1"/>
        <v>6526455</v>
      </c>
    </row>
    <row r="41" spans="1:8" ht="27.6">
      <c r="A41" s="453">
        <v>10.3</v>
      </c>
      <c r="B41" s="459" t="s">
        <v>845</v>
      </c>
      <c r="C41" s="455">
        <v>110535735.69</v>
      </c>
      <c r="D41" s="455">
        <v>4045962.1532239998</v>
      </c>
      <c r="E41" s="456">
        <f t="shared" si="0"/>
        <v>114581697.843224</v>
      </c>
      <c r="F41" s="455">
        <v>60809136.400000036</v>
      </c>
      <c r="G41" s="455">
        <v>17001844.292463001</v>
      </c>
      <c r="H41" s="457">
        <f t="shared" si="1"/>
        <v>77810980.69246304</v>
      </c>
    </row>
    <row r="42" spans="1:8" ht="27.6">
      <c r="A42" s="453">
        <v>10.4</v>
      </c>
      <c r="B42" s="459" t="s">
        <v>846</v>
      </c>
      <c r="C42" s="455">
        <v>75412413</v>
      </c>
      <c r="D42" s="455">
        <v>2850861</v>
      </c>
      <c r="E42" s="456">
        <f t="shared" si="0"/>
        <v>78263274</v>
      </c>
      <c r="F42" s="455">
        <f>47448800+1963231</f>
        <v>49412031</v>
      </c>
      <c r="G42" s="455">
        <f>2837394+2095641</f>
        <v>4933035</v>
      </c>
      <c r="H42" s="457">
        <f t="shared" si="1"/>
        <v>54345066</v>
      </c>
    </row>
    <row r="43" spans="1:8">
      <c r="A43" s="453">
        <v>11</v>
      </c>
      <c r="B43" s="464" t="s">
        <v>187</v>
      </c>
      <c r="C43" s="455"/>
      <c r="D43" s="455"/>
      <c r="E43" s="456">
        <f t="shared" si="0"/>
        <v>0</v>
      </c>
      <c r="F43" s="455"/>
      <c r="G43" s="455"/>
      <c r="H43" s="457">
        <f t="shared" si="1"/>
        <v>0</v>
      </c>
    </row>
    <row r="44" spans="1:8">
      <c r="C44" s="466"/>
      <c r="D44" s="466"/>
      <c r="E44" s="466"/>
      <c r="F44" s="466"/>
      <c r="G44" s="466"/>
      <c r="H44" s="466"/>
    </row>
    <row r="45" spans="1:8">
      <c r="C45" s="466"/>
      <c r="D45" s="466"/>
      <c r="E45" s="466"/>
      <c r="F45" s="466"/>
      <c r="G45" s="466"/>
      <c r="H45" s="466"/>
    </row>
    <row r="46" spans="1:8">
      <c r="C46" s="466"/>
      <c r="D46" s="466"/>
      <c r="E46" s="466"/>
      <c r="F46" s="466"/>
      <c r="G46" s="466"/>
      <c r="H46" s="466"/>
    </row>
    <row r="47" spans="1:8">
      <c r="C47" s="466"/>
      <c r="D47" s="466"/>
      <c r="E47" s="466"/>
      <c r="F47" s="466"/>
      <c r="G47" s="466"/>
      <c r="H47" s="466"/>
    </row>
  </sheetData>
  <mergeCells count="4">
    <mergeCell ref="A4:A5"/>
    <mergeCell ref="B4:B5"/>
    <mergeCell ref="C4:E4"/>
    <mergeCell ref="F4:H4"/>
  </mergeCells>
  <pageMargins left="0.7" right="0.7" top="0.75" bottom="0.75" header="0.3" footer="0.3"/>
  <ignoredErrors>
    <ignoredError sqref="E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21875" defaultRowHeight="13.8"/>
  <cols>
    <col min="1" max="1" width="9.5546875" style="1" bestFit="1" customWidth="1"/>
    <col min="2" max="2" width="93.5546875" style="1" customWidth="1"/>
    <col min="3" max="4" width="12.77734375" style="1" customWidth="1"/>
    <col min="5" max="7" width="12.33203125" style="8" bestFit="1" customWidth="1"/>
    <col min="8" max="11" width="9.77734375" style="8" customWidth="1"/>
    <col min="12" max="16384" width="9.21875" style="8"/>
  </cols>
  <sheetData>
    <row r="1" spans="1:7">
      <c r="A1" s="13" t="s">
        <v>109</v>
      </c>
      <c r="B1" s="12" t="str">
        <f>Info!C2</f>
        <v>სს "კრედობანკი"</v>
      </c>
      <c r="C1" s="12"/>
    </row>
    <row r="2" spans="1:7">
      <c r="A2" s="13" t="s">
        <v>110</v>
      </c>
      <c r="B2" s="346">
        <f>'1. key ratios'!B2</f>
        <v>45016</v>
      </c>
      <c r="C2" s="12"/>
    </row>
    <row r="3" spans="1:7">
      <c r="A3" s="13"/>
      <c r="B3" s="12"/>
      <c r="C3" s="12"/>
    </row>
    <row r="4" spans="1:7" ht="15" customHeight="1" thickBot="1">
      <c r="A4" s="145" t="s">
        <v>254</v>
      </c>
      <c r="B4" s="146" t="s">
        <v>108</v>
      </c>
      <c r="C4" s="147" t="s">
        <v>88</v>
      </c>
    </row>
    <row r="5" spans="1:7" ht="15" customHeight="1">
      <c r="A5" s="143" t="s">
        <v>26</v>
      </c>
      <c r="B5" s="144"/>
      <c r="C5" s="331" t="str">
        <f>INT((MONTH($B$2))/3)&amp;"Q"&amp;"-"&amp;YEAR($B$2)</f>
        <v>1Q-2023</v>
      </c>
      <c r="D5" s="331" t="str">
        <f>IF(INT(MONTH($B$2))=3, "4"&amp;"Q"&amp;"-"&amp;YEAR($B$2)-1, IF(INT(MONTH($B$2))=6, "1"&amp;"Q"&amp;"-"&amp;YEAR($B$2), IF(INT(MONTH($B$2))=9, "2"&amp;"Q"&amp;"-"&amp;YEAR($B$2),IF(INT(MONTH($B$2))=12, "3"&amp;"Q"&amp;"-"&amp;YEAR($B$2), 0))))</f>
        <v>4Q-2022</v>
      </c>
      <c r="E5" s="331" t="str">
        <f>IF(INT(MONTH($B$2))=3, "3"&amp;"Q"&amp;"-"&amp;YEAR($B$2)-1, IF(INT(MONTH($B$2))=6, "4"&amp;"Q"&amp;"-"&amp;YEAR($B$2)-1, IF(INT(MONTH($B$2))=9, "1"&amp;"Q"&amp;"-"&amp;YEAR($B$2),IF(INT(MONTH($B$2))=12, "2"&amp;"Q"&amp;"-"&amp;YEAR($B$2), 0))))</f>
        <v>3Q-2022</v>
      </c>
      <c r="F5" s="331" t="str">
        <f>IF(INT(MONTH($B$2))=3, "2"&amp;"Q"&amp;"-"&amp;YEAR($B$2)-1, IF(INT(MONTH($B$2))=6, "3"&amp;"Q"&amp;"-"&amp;YEAR($B$2)-1, IF(INT(MONTH($B$2))=9, "4"&amp;"Q"&amp;"-"&amp;YEAR($B$2)-1,IF(INT(MONTH($B$2))=12, "1"&amp;"Q"&amp;"-"&amp;YEAR($B$2), 0))))</f>
        <v>2Q-2022</v>
      </c>
      <c r="G5" s="331" t="str">
        <f>IF(INT(MONTH($B$2))=3, "1"&amp;"Q"&amp;"-"&amp;YEAR($B$2)-1, IF(INT(MONTH($B$2))=6, "2"&amp;"Q"&amp;"-"&amp;YEAR($B$2)-1, IF(INT(MONTH($B$2))=9, "3"&amp;"Q"&amp;"-"&amp;YEAR($B$2)-1,IF(INT(MONTH($B$2))=12, "4"&amp;"Q"&amp;"-"&amp;YEAR($B$2)-1, 0))))</f>
        <v>1Q-2022</v>
      </c>
    </row>
    <row r="6" spans="1:7" ht="15" customHeight="1">
      <c r="A6" s="264">
        <v>1</v>
      </c>
      <c r="B6" s="316" t="s">
        <v>113</v>
      </c>
      <c r="C6" s="265">
        <f>C7+C9+C10</f>
        <v>1457145175.4120243</v>
      </c>
      <c r="D6" s="318">
        <f>D7+D9+D10</f>
        <v>1494733348.371649</v>
      </c>
      <c r="E6" s="266">
        <f t="shared" ref="E6:G6" si="0">E7+E9+E10</f>
        <v>1437590936.8360705</v>
      </c>
      <c r="F6" s="265">
        <f t="shared" si="0"/>
        <v>1353990577.8332648</v>
      </c>
      <c r="G6" s="319">
        <f t="shared" si="0"/>
        <v>1260161343.6022484</v>
      </c>
    </row>
    <row r="7" spans="1:7" ht="15" customHeight="1">
      <c r="A7" s="264">
        <v>1.1000000000000001</v>
      </c>
      <c r="B7" s="267" t="s">
        <v>437</v>
      </c>
      <c r="C7" s="268">
        <v>1438725774.1332741</v>
      </c>
      <c r="D7" s="320">
        <v>1475242645.1091492</v>
      </c>
      <c r="E7" s="268">
        <v>1423485487.8448205</v>
      </c>
      <c r="F7" s="268">
        <v>1344016187.4295149</v>
      </c>
      <c r="G7" s="321">
        <v>1251882375.9459984</v>
      </c>
    </row>
    <row r="8" spans="1:7" ht="27.6">
      <c r="A8" s="264" t="s">
        <v>158</v>
      </c>
      <c r="B8" s="269" t="s">
        <v>251</v>
      </c>
      <c r="C8" s="268"/>
      <c r="D8" s="320"/>
      <c r="E8" s="268"/>
      <c r="F8" s="268"/>
      <c r="G8" s="321"/>
    </row>
    <row r="9" spans="1:7" ht="15" customHeight="1">
      <c r="A9" s="264">
        <v>1.2</v>
      </c>
      <c r="B9" s="267" t="s">
        <v>22</v>
      </c>
      <c r="C9" s="268">
        <v>14885125.138750002</v>
      </c>
      <c r="D9" s="320">
        <v>16071362.142499998</v>
      </c>
      <c r="E9" s="268">
        <v>13821928.991249997</v>
      </c>
      <c r="F9" s="268">
        <v>9681500.4037500005</v>
      </c>
      <c r="G9" s="321">
        <v>7968837.65625</v>
      </c>
    </row>
    <row r="10" spans="1:7" ht="15" customHeight="1">
      <c r="A10" s="264">
        <v>1.3</v>
      </c>
      <c r="B10" s="317" t="s">
        <v>75</v>
      </c>
      <c r="C10" s="268">
        <v>3534276.14</v>
      </c>
      <c r="D10" s="320">
        <v>3419341.12</v>
      </c>
      <c r="E10" s="268">
        <v>283520</v>
      </c>
      <c r="F10" s="268">
        <v>292890</v>
      </c>
      <c r="G10" s="321">
        <v>310130</v>
      </c>
    </row>
    <row r="11" spans="1:7" ht="15" customHeight="1">
      <c r="A11" s="264">
        <v>2</v>
      </c>
      <c r="B11" s="316" t="s">
        <v>114</v>
      </c>
      <c r="C11" s="268">
        <v>396149</v>
      </c>
      <c r="D11" s="320">
        <v>531909.49999903305</v>
      </c>
      <c r="E11" s="268">
        <v>2444963.1704999991</v>
      </c>
      <c r="F11" s="268">
        <v>2444963.1704999991</v>
      </c>
      <c r="G11" s="321">
        <v>2444963.1704999991</v>
      </c>
    </row>
    <row r="12" spans="1:7" ht="15" customHeight="1">
      <c r="A12" s="264">
        <v>3</v>
      </c>
      <c r="B12" s="316" t="s">
        <v>112</v>
      </c>
      <c r="C12" s="268">
        <v>435833167.47878599</v>
      </c>
      <c r="D12" s="320">
        <v>435833167.47878599</v>
      </c>
      <c r="E12" s="268">
        <v>376017293.83332092</v>
      </c>
      <c r="F12" s="268">
        <v>376017293.83332092</v>
      </c>
      <c r="G12" s="321">
        <v>351858011.60018724</v>
      </c>
    </row>
    <row r="13" spans="1:7" ht="15" customHeight="1" thickBot="1">
      <c r="A13" s="76">
        <v>4</v>
      </c>
      <c r="B13" s="324" t="s">
        <v>159</v>
      </c>
      <c r="C13" s="165">
        <f>C6+C11+C12</f>
        <v>1893374491.8908103</v>
      </c>
      <c r="D13" s="322">
        <f>D6+D11+D12</f>
        <v>1931098425.3504341</v>
      </c>
      <c r="E13" s="166">
        <f t="shared" ref="E13:G13" si="1">E6+E11+E12</f>
        <v>1816053193.8398914</v>
      </c>
      <c r="F13" s="165">
        <f t="shared" si="1"/>
        <v>1732452834.8370857</v>
      </c>
      <c r="G13" s="323">
        <f t="shared" si="1"/>
        <v>1614464318.3729358</v>
      </c>
    </row>
    <row r="14" spans="1:7">
      <c r="B14" s="17"/>
    </row>
    <row r="15" spans="1:7" ht="27.6">
      <c r="B15" s="17" t="s">
        <v>438</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showGridLines="0" zoomScaleNormal="100" workbookViewId="0">
      <pane xSplit="1" ySplit="4" topLeftCell="B31" activePane="bottomRight" state="frozen"/>
      <selection pane="topRight" activeCell="B1" sqref="B1"/>
      <selection pane="bottomLeft" activeCell="A4" sqref="A4"/>
      <selection pane="bottomRight" activeCell="B37" sqref="B37:C44"/>
    </sheetView>
  </sheetViews>
  <sheetFormatPr defaultRowHeight="14.4"/>
  <cols>
    <col min="1" max="1" width="9.5546875" style="1" bestFit="1" customWidth="1"/>
    <col min="2" max="2" width="58.77734375" style="1" customWidth="1"/>
    <col min="3" max="3" width="34.21875" style="1" customWidth="1"/>
  </cols>
  <sheetData>
    <row r="1" spans="1:8">
      <c r="A1" s="1" t="s">
        <v>109</v>
      </c>
      <c r="B1" s="1" t="str">
        <f>Info!C2</f>
        <v>სს "კრედობანკი"</v>
      </c>
    </row>
    <row r="2" spans="1:8">
      <c r="A2" s="1" t="s">
        <v>110</v>
      </c>
      <c r="B2" s="346">
        <f>'1. key ratios'!B2</f>
        <v>45016</v>
      </c>
    </row>
    <row r="4" spans="1:8" ht="25.5" customHeight="1" thickBot="1">
      <c r="A4" s="159" t="s">
        <v>255</v>
      </c>
      <c r="B4" s="24" t="s">
        <v>92</v>
      </c>
      <c r="C4" s="9"/>
    </row>
    <row r="5" spans="1:8">
      <c r="A5" s="7"/>
      <c r="B5" s="312" t="s">
        <v>93</v>
      </c>
      <c r="C5" s="329" t="s">
        <v>451</v>
      </c>
    </row>
    <row r="6" spans="1:8" ht="15">
      <c r="A6" s="10">
        <v>1</v>
      </c>
      <c r="B6" s="25" t="s">
        <v>959</v>
      </c>
      <c r="C6" s="325" t="s">
        <v>960</v>
      </c>
    </row>
    <row r="7" spans="1:8" ht="15">
      <c r="A7" s="10">
        <v>2</v>
      </c>
      <c r="B7" s="25" t="s">
        <v>961</v>
      </c>
      <c r="C7" s="325" t="s">
        <v>962</v>
      </c>
    </row>
    <row r="8" spans="1:8" ht="15">
      <c r="A8" s="10">
        <v>3</v>
      </c>
      <c r="B8" s="25" t="s">
        <v>963</v>
      </c>
      <c r="C8" s="325" t="s">
        <v>964</v>
      </c>
    </row>
    <row r="9" spans="1:8" ht="15">
      <c r="A9" s="10">
        <v>4</v>
      </c>
      <c r="B9" s="25" t="s">
        <v>965</v>
      </c>
      <c r="C9" s="325" t="s">
        <v>960</v>
      </c>
    </row>
    <row r="10" spans="1:8" ht="15">
      <c r="A10" s="10">
        <v>5</v>
      </c>
      <c r="B10" s="25" t="s">
        <v>966</v>
      </c>
      <c r="C10" s="325" t="s">
        <v>964</v>
      </c>
    </row>
    <row r="11" spans="1:8" ht="15">
      <c r="A11" s="10">
        <v>6</v>
      </c>
      <c r="B11" s="25" t="s">
        <v>967</v>
      </c>
      <c r="C11" s="325" t="s">
        <v>964</v>
      </c>
    </row>
    <row r="12" spans="1:8" ht="15">
      <c r="A12" s="10">
        <v>7</v>
      </c>
      <c r="B12" s="25"/>
      <c r="C12" s="325"/>
      <c r="H12" s="2"/>
    </row>
    <row r="13" spans="1:8" ht="15">
      <c r="A13" s="10">
        <v>8</v>
      </c>
      <c r="B13" s="25"/>
      <c r="C13" s="325"/>
    </row>
    <row r="14" spans="1:8" ht="15">
      <c r="A14" s="10">
        <v>9</v>
      </c>
      <c r="B14" s="25"/>
      <c r="C14" s="325"/>
    </row>
    <row r="15" spans="1:8" ht="15">
      <c r="A15" s="10">
        <v>10</v>
      </c>
      <c r="B15" s="25"/>
      <c r="C15" s="325"/>
    </row>
    <row r="16" spans="1:8" ht="15">
      <c r="A16" s="10"/>
      <c r="B16" s="819"/>
      <c r="C16" s="820"/>
    </row>
    <row r="17" spans="1:3" ht="55.2">
      <c r="A17" s="10"/>
      <c r="B17" s="313" t="s">
        <v>94</v>
      </c>
      <c r="C17" s="330" t="s">
        <v>452</v>
      </c>
    </row>
    <row r="18" spans="1:3">
      <c r="A18" s="10">
        <v>1</v>
      </c>
      <c r="B18" s="21" t="s">
        <v>968</v>
      </c>
      <c r="C18" s="327" t="s">
        <v>969</v>
      </c>
    </row>
    <row r="19" spans="1:3">
      <c r="A19" s="10">
        <v>2</v>
      </c>
      <c r="B19" s="21" t="s">
        <v>970</v>
      </c>
      <c r="C19" s="327" t="s">
        <v>971</v>
      </c>
    </row>
    <row r="20" spans="1:3">
      <c r="A20" s="10">
        <v>3</v>
      </c>
      <c r="B20" s="21" t="s">
        <v>972</v>
      </c>
      <c r="C20" s="327" t="s">
        <v>973</v>
      </c>
    </row>
    <row r="21" spans="1:3">
      <c r="A21" s="10">
        <v>4</v>
      </c>
      <c r="B21" s="21" t="s">
        <v>974</v>
      </c>
      <c r="C21" s="327" t="s">
        <v>975</v>
      </c>
    </row>
    <row r="22" spans="1:3">
      <c r="A22" s="10">
        <v>5</v>
      </c>
      <c r="B22" s="21" t="s">
        <v>976</v>
      </c>
      <c r="C22" s="327" t="s">
        <v>977</v>
      </c>
    </row>
    <row r="23" spans="1:3">
      <c r="A23" s="10">
        <v>6</v>
      </c>
      <c r="B23" s="21" t="s">
        <v>978</v>
      </c>
      <c r="C23" s="327" t="s">
        <v>979</v>
      </c>
    </row>
    <row r="24" spans="1:3" ht="15.75" customHeight="1">
      <c r="A24" s="10"/>
      <c r="B24" s="21"/>
      <c r="C24" s="328"/>
    </row>
    <row r="25" spans="1:3" ht="15.75" customHeight="1">
      <c r="A25" s="10"/>
      <c r="B25" s="21"/>
      <c r="C25" s="22"/>
    </row>
    <row r="26" spans="1:3" ht="30" customHeight="1">
      <c r="A26" s="10"/>
      <c r="B26" s="821" t="s">
        <v>95</v>
      </c>
      <c r="C26" s="822"/>
    </row>
    <row r="27" spans="1:3" ht="15">
      <c r="A27" s="10">
        <v>1</v>
      </c>
      <c r="B27" s="25" t="s">
        <v>980</v>
      </c>
      <c r="C27" s="757">
        <v>0.51070000000000004</v>
      </c>
    </row>
    <row r="28" spans="1:3" ht="15">
      <c r="A28" s="753">
        <v>2</v>
      </c>
      <c r="B28" s="754" t="s">
        <v>981</v>
      </c>
      <c r="C28" s="757">
        <v>8.4000000000000005E-2</v>
      </c>
    </row>
    <row r="29" spans="1:3" ht="15">
      <c r="A29" s="10">
        <v>3</v>
      </c>
      <c r="B29" s="754" t="s">
        <v>982</v>
      </c>
      <c r="C29" s="757">
        <v>8.4000000000000005E-2</v>
      </c>
    </row>
    <row r="30" spans="1:3" ht="15">
      <c r="A30" s="753">
        <v>4</v>
      </c>
      <c r="B30" s="754" t="s">
        <v>983</v>
      </c>
      <c r="C30" s="757">
        <v>7.9200000000000007E-2</v>
      </c>
    </row>
    <row r="31" spans="1:3" ht="28.8">
      <c r="A31" s="10">
        <v>5</v>
      </c>
      <c r="B31" s="754" t="s">
        <v>984</v>
      </c>
      <c r="C31" s="757">
        <v>7.46E-2</v>
      </c>
    </row>
    <row r="32" spans="1:3" ht="28.8">
      <c r="A32" s="753">
        <v>6</v>
      </c>
      <c r="B32" s="754" t="s">
        <v>985</v>
      </c>
      <c r="C32" s="757">
        <v>1.5900000000000001E-2</v>
      </c>
    </row>
    <row r="33" spans="1:3" ht="28.8">
      <c r="A33" s="10">
        <v>7</v>
      </c>
      <c r="B33" s="754" t="s">
        <v>986</v>
      </c>
      <c r="C33" s="757">
        <v>0.14929999999999999</v>
      </c>
    </row>
    <row r="34" spans="1:3" ht="15">
      <c r="A34" s="753"/>
      <c r="B34" s="754"/>
      <c r="C34" s="26"/>
    </row>
    <row r="35" spans="1:3" ht="15.75" customHeight="1">
      <c r="A35" s="10"/>
      <c r="B35" s="25"/>
      <c r="C35" s="26"/>
    </row>
    <row r="36" spans="1:3" ht="29.25" customHeight="1">
      <c r="A36" s="10"/>
      <c r="B36" s="821" t="s">
        <v>175</v>
      </c>
      <c r="C36" s="822"/>
    </row>
    <row r="37" spans="1:3" ht="15">
      <c r="A37" s="10">
        <v>1</v>
      </c>
      <c r="B37" s="25" t="s">
        <v>987</v>
      </c>
      <c r="C37" s="758">
        <v>6.0385566840000002E-2</v>
      </c>
    </row>
    <row r="38" spans="1:3" ht="15">
      <c r="A38" s="755">
        <v>2</v>
      </c>
      <c r="B38" s="756" t="s">
        <v>988</v>
      </c>
      <c r="C38" s="759">
        <v>6.0385566840000002E-2</v>
      </c>
    </row>
    <row r="39" spans="1:3" ht="15">
      <c r="A39" s="10">
        <v>3</v>
      </c>
      <c r="B39" s="756" t="s">
        <v>989</v>
      </c>
      <c r="C39" s="759">
        <v>7.6018378560000016E-2</v>
      </c>
    </row>
    <row r="40" spans="1:3" ht="15">
      <c r="A40" s="755">
        <v>4</v>
      </c>
      <c r="B40" s="756" t="s">
        <v>990</v>
      </c>
      <c r="C40" s="759">
        <v>6.4932365020000007E-2</v>
      </c>
    </row>
    <row r="41" spans="1:3" ht="15">
      <c r="A41" s="10">
        <v>5</v>
      </c>
      <c r="B41" s="756" t="s">
        <v>991</v>
      </c>
      <c r="C41" s="759">
        <v>0.12143527274</v>
      </c>
    </row>
    <row r="42" spans="1:3" ht="15">
      <c r="A42" s="755">
        <v>6</v>
      </c>
      <c r="B42" s="756" t="s">
        <v>992</v>
      </c>
      <c r="C42" s="759">
        <v>7.2861163643999999E-2</v>
      </c>
    </row>
    <row r="43" spans="1:3" ht="15">
      <c r="A43" s="10">
        <v>7</v>
      </c>
      <c r="B43" s="756" t="s">
        <v>993</v>
      </c>
      <c r="C43" s="759">
        <v>5.726922202000001E-2</v>
      </c>
    </row>
    <row r="44" spans="1:3" ht="15">
      <c r="A44" s="755">
        <v>8</v>
      </c>
      <c r="B44" s="756" t="s">
        <v>994</v>
      </c>
      <c r="C44" s="759">
        <v>0.11055585160427807</v>
      </c>
    </row>
    <row r="45" spans="1:3" ht="15.6" thickBot="1">
      <c r="A45" s="11"/>
      <c r="B45" s="27"/>
      <c r="C45" s="326"/>
    </row>
  </sheetData>
  <mergeCells count="3">
    <mergeCell ref="B16:C16"/>
    <mergeCell ref="B36:C36"/>
    <mergeCell ref="B26:C26"/>
  </mergeCells>
  <dataValidations disablePrompts="1"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18" activePane="bottomRight" state="frozen"/>
      <selection activeCell="H6" sqref="H6"/>
      <selection pane="topRight" activeCell="H6" sqref="H6"/>
      <selection pane="bottomLeft" activeCell="H6" sqref="H6"/>
      <selection pane="bottomRight" activeCell="C8" sqref="C8:E36"/>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109</v>
      </c>
      <c r="B1" s="12" t="str">
        <f>Info!C2</f>
        <v>სს "კრედობანკი"</v>
      </c>
    </row>
    <row r="2" spans="1:5" s="13" customFormat="1" ht="15.75" customHeight="1">
      <c r="A2" s="13" t="s">
        <v>110</v>
      </c>
      <c r="B2" s="346">
        <f>'1. key ratios'!B2</f>
        <v>45016</v>
      </c>
    </row>
    <row r="3" spans="1:5" s="13" customFormat="1" ht="15.75" customHeight="1"/>
    <row r="4" spans="1:5" s="13" customFormat="1" ht="15.75" customHeight="1" thickBot="1">
      <c r="A4" s="160" t="s">
        <v>256</v>
      </c>
      <c r="B4" s="161" t="s">
        <v>169</v>
      </c>
      <c r="C4" s="125"/>
      <c r="D4" s="125"/>
      <c r="E4" s="126" t="s">
        <v>88</v>
      </c>
    </row>
    <row r="5" spans="1:5" s="72" customFormat="1" ht="17.55" customHeight="1">
      <c r="A5" s="242"/>
      <c r="B5" s="243"/>
      <c r="C5" s="124" t="s">
        <v>0</v>
      </c>
      <c r="D5" s="124" t="s">
        <v>1</v>
      </c>
      <c r="E5" s="244" t="s">
        <v>2</v>
      </c>
    </row>
    <row r="6" spans="1:5" ht="14.55" customHeight="1">
      <c r="A6" s="245"/>
      <c r="B6" s="823" t="s">
        <v>145</v>
      </c>
      <c r="C6" s="823" t="s">
        <v>860</v>
      </c>
      <c r="D6" s="824" t="s">
        <v>144</v>
      </c>
      <c r="E6" s="825"/>
    </row>
    <row r="7" spans="1:5" ht="99.6" customHeight="1">
      <c r="A7" s="245"/>
      <c r="B7" s="823"/>
      <c r="C7" s="823"/>
      <c r="D7" s="240" t="s">
        <v>143</v>
      </c>
      <c r="E7" s="241" t="s">
        <v>354</v>
      </c>
    </row>
    <row r="8" spans="1:5" ht="22.5" customHeight="1">
      <c r="A8" s="468">
        <v>1</v>
      </c>
      <c r="B8" s="413" t="s">
        <v>847</v>
      </c>
      <c r="C8" s="469">
        <f>SUM(C9:C11)</f>
        <v>283588210.22000003</v>
      </c>
      <c r="D8" s="469">
        <f t="shared" ref="D8:E8" si="0">SUM(D9:D11)</f>
        <v>0</v>
      </c>
      <c r="E8" s="469">
        <f t="shared" si="0"/>
        <v>283588210.22000003</v>
      </c>
    </row>
    <row r="9" spans="1:5">
      <c r="A9" s="468">
        <v>1.1000000000000001</v>
      </c>
      <c r="B9" s="414" t="s">
        <v>97</v>
      </c>
      <c r="C9" s="469">
        <v>77880894.670000002</v>
      </c>
      <c r="D9" s="469"/>
      <c r="E9" s="469">
        <f>C9-D9</f>
        <v>77880894.670000002</v>
      </c>
    </row>
    <row r="10" spans="1:5">
      <c r="A10" s="468">
        <v>1.2</v>
      </c>
      <c r="B10" s="414" t="s">
        <v>98</v>
      </c>
      <c r="C10" s="469">
        <v>99817963.290000007</v>
      </c>
      <c r="D10" s="469"/>
      <c r="E10" s="469">
        <f t="shared" ref="E10:E36" si="1">C10-D10</f>
        <v>99817963.290000007</v>
      </c>
    </row>
    <row r="11" spans="1:5">
      <c r="A11" s="468">
        <v>1.3</v>
      </c>
      <c r="B11" s="414" t="s">
        <v>99</v>
      </c>
      <c r="C11" s="469">
        <v>105889352.26000002</v>
      </c>
      <c r="D11" s="469"/>
      <c r="E11" s="469">
        <f t="shared" si="1"/>
        <v>105889352.26000002</v>
      </c>
    </row>
    <row r="12" spans="1:5">
      <c r="A12" s="468">
        <v>2</v>
      </c>
      <c r="B12" s="415" t="s">
        <v>734</v>
      </c>
      <c r="C12" s="469"/>
      <c r="D12" s="469"/>
      <c r="E12" s="469">
        <f t="shared" si="1"/>
        <v>0</v>
      </c>
    </row>
    <row r="13" spans="1:5">
      <c r="A13" s="468">
        <v>2.1</v>
      </c>
      <c r="B13" s="416" t="s">
        <v>735</v>
      </c>
      <c r="C13" s="469"/>
      <c r="D13" s="469"/>
      <c r="E13" s="469">
        <f t="shared" si="1"/>
        <v>0</v>
      </c>
    </row>
    <row r="14" spans="1:5" ht="34.049999999999997" customHeight="1">
      <c r="A14" s="468">
        <v>3</v>
      </c>
      <c r="B14" s="417" t="s">
        <v>736</v>
      </c>
      <c r="C14" s="469">
        <v>547621.99</v>
      </c>
      <c r="D14" s="469"/>
      <c r="E14" s="469">
        <f t="shared" si="1"/>
        <v>547621.99</v>
      </c>
    </row>
    <row r="15" spans="1:5" ht="32.549999999999997" customHeight="1">
      <c r="A15" s="468">
        <v>4</v>
      </c>
      <c r="B15" s="418" t="s">
        <v>737</v>
      </c>
      <c r="C15" s="469"/>
      <c r="D15" s="469"/>
      <c r="E15" s="469">
        <f t="shared" si="1"/>
        <v>0</v>
      </c>
    </row>
    <row r="16" spans="1:5" ht="22.95" customHeight="1">
      <c r="A16" s="468">
        <v>5</v>
      </c>
      <c r="B16" s="418" t="s">
        <v>738</v>
      </c>
      <c r="C16" s="469">
        <f>SUM(C17:C19)</f>
        <v>0</v>
      </c>
      <c r="D16" s="469">
        <f t="shared" ref="D16" si="2">SUM(D17:D19)</f>
        <v>0</v>
      </c>
      <c r="E16" s="469">
        <f t="shared" si="1"/>
        <v>0</v>
      </c>
    </row>
    <row r="17" spans="1:5">
      <c r="A17" s="468">
        <v>5.0999999999999996</v>
      </c>
      <c r="B17" s="419" t="s">
        <v>739</v>
      </c>
      <c r="C17" s="469"/>
      <c r="D17" s="469"/>
      <c r="E17" s="469">
        <f t="shared" si="1"/>
        <v>0</v>
      </c>
    </row>
    <row r="18" spans="1:5">
      <c r="A18" s="468">
        <v>5.2</v>
      </c>
      <c r="B18" s="419" t="s">
        <v>570</v>
      </c>
      <c r="C18" s="469"/>
      <c r="D18" s="469"/>
      <c r="E18" s="469">
        <f t="shared" si="1"/>
        <v>0</v>
      </c>
    </row>
    <row r="19" spans="1:5">
      <c r="A19" s="468">
        <v>5.3</v>
      </c>
      <c r="B19" s="419" t="s">
        <v>740</v>
      </c>
      <c r="C19" s="469"/>
      <c r="D19" s="469"/>
      <c r="E19" s="469">
        <f t="shared" si="1"/>
        <v>0</v>
      </c>
    </row>
    <row r="20" spans="1:5" ht="20.399999999999999">
      <c r="A20" s="468">
        <v>6</v>
      </c>
      <c r="B20" s="417" t="s">
        <v>741</v>
      </c>
      <c r="C20" s="469">
        <f>SUM(C21:C22)</f>
        <v>1812683558.0962408</v>
      </c>
      <c r="D20" s="469">
        <f t="shared" ref="D20" si="3">SUM(D21:D22)</f>
        <v>0</v>
      </c>
      <c r="E20" s="469">
        <f t="shared" si="1"/>
        <v>1812683558.0962408</v>
      </c>
    </row>
    <row r="21" spans="1:5">
      <c r="A21" s="468">
        <v>6.1</v>
      </c>
      <c r="B21" s="419" t="s">
        <v>570</v>
      </c>
      <c r="C21" s="470">
        <v>48473647.099999994</v>
      </c>
      <c r="D21" s="470"/>
      <c r="E21" s="469">
        <f t="shared" si="1"/>
        <v>48473647.099999994</v>
      </c>
    </row>
    <row r="22" spans="1:5">
      <c r="A22" s="468">
        <v>6.2</v>
      </c>
      <c r="B22" s="419" t="s">
        <v>740</v>
      </c>
      <c r="C22" s="470">
        <v>1764209910.9962409</v>
      </c>
      <c r="D22" s="470"/>
      <c r="E22" s="469">
        <f t="shared" si="1"/>
        <v>1764209910.9962409</v>
      </c>
    </row>
    <row r="23" spans="1:5" ht="20.399999999999999">
      <c r="A23" s="468">
        <v>7</v>
      </c>
      <c r="B23" s="420" t="s">
        <v>742</v>
      </c>
      <c r="C23" s="471"/>
      <c r="D23" s="471"/>
      <c r="E23" s="469">
        <f t="shared" si="1"/>
        <v>0</v>
      </c>
    </row>
    <row r="24" spans="1:5" ht="20.399999999999999">
      <c r="A24" s="468">
        <v>8</v>
      </c>
      <c r="B24" s="421" t="s">
        <v>743</v>
      </c>
      <c r="C24" s="471"/>
      <c r="D24" s="471"/>
      <c r="E24" s="469">
        <f t="shared" si="1"/>
        <v>0</v>
      </c>
    </row>
    <row r="25" spans="1:5">
      <c r="A25" s="468">
        <v>9</v>
      </c>
      <c r="B25" s="418" t="s">
        <v>744</v>
      </c>
      <c r="C25" s="471">
        <f>SUM(C26:C27)</f>
        <v>37588515.24000001</v>
      </c>
      <c r="D25" s="471">
        <f t="shared" ref="D25" si="4">SUM(D26:D27)</f>
        <v>0</v>
      </c>
      <c r="E25" s="469">
        <f t="shared" si="1"/>
        <v>37588515.24000001</v>
      </c>
    </row>
    <row r="26" spans="1:5">
      <c r="A26" s="468">
        <v>9.1</v>
      </c>
      <c r="B26" s="422" t="s">
        <v>745</v>
      </c>
      <c r="C26" s="471">
        <v>37588515.24000001</v>
      </c>
      <c r="D26" s="471"/>
      <c r="E26" s="469">
        <f t="shared" si="1"/>
        <v>37588515.24000001</v>
      </c>
    </row>
    <row r="27" spans="1:5">
      <c r="A27" s="468">
        <v>9.1999999999999993</v>
      </c>
      <c r="B27" s="422" t="s">
        <v>746</v>
      </c>
      <c r="C27" s="471"/>
      <c r="D27" s="471"/>
      <c r="E27" s="469">
        <f t="shared" si="1"/>
        <v>0</v>
      </c>
    </row>
    <row r="28" spans="1:5">
      <c r="A28" s="468">
        <v>10</v>
      </c>
      <c r="B28" s="418" t="s">
        <v>37</v>
      </c>
      <c r="C28" s="471">
        <f>SUM(C29:C30)</f>
        <v>20254474.150000002</v>
      </c>
      <c r="D28" s="471">
        <f t="shared" ref="D28" si="5">SUM(D29:D30)</f>
        <v>20254474.150000002</v>
      </c>
      <c r="E28" s="469">
        <f t="shared" si="1"/>
        <v>0</v>
      </c>
    </row>
    <row r="29" spans="1:5">
      <c r="A29" s="468">
        <v>10.1</v>
      </c>
      <c r="B29" s="422" t="s">
        <v>747</v>
      </c>
      <c r="C29" s="471"/>
      <c r="D29" s="471"/>
      <c r="E29" s="469">
        <f t="shared" si="1"/>
        <v>0</v>
      </c>
    </row>
    <row r="30" spans="1:5">
      <c r="A30" s="468">
        <v>10.199999999999999</v>
      </c>
      <c r="B30" s="422" t="s">
        <v>748</v>
      </c>
      <c r="C30" s="471">
        <v>20254474.150000002</v>
      </c>
      <c r="D30" s="471">
        <v>20254474.150000002</v>
      </c>
      <c r="E30" s="469">
        <f t="shared" si="1"/>
        <v>0</v>
      </c>
    </row>
    <row r="31" spans="1:5">
      <c r="A31" s="468">
        <v>11</v>
      </c>
      <c r="B31" s="418" t="s">
        <v>749</v>
      </c>
      <c r="C31" s="471">
        <f>SUM(C32:C33)</f>
        <v>1697888.5900000017</v>
      </c>
      <c r="D31" s="471">
        <f t="shared" ref="D31" si="6">SUM(D32:D33)</f>
        <v>0</v>
      </c>
      <c r="E31" s="469">
        <f t="shared" si="1"/>
        <v>1697888.5900000017</v>
      </c>
    </row>
    <row r="32" spans="1:5">
      <c r="A32" s="468">
        <v>11.1</v>
      </c>
      <c r="B32" s="422" t="s">
        <v>750</v>
      </c>
      <c r="C32" s="471">
        <v>1697888.5900000017</v>
      </c>
      <c r="D32" s="471"/>
      <c r="E32" s="469">
        <f t="shared" si="1"/>
        <v>1697888.5900000017</v>
      </c>
    </row>
    <row r="33" spans="1:7">
      <c r="A33" s="468">
        <v>11.2</v>
      </c>
      <c r="B33" s="422" t="s">
        <v>751</v>
      </c>
      <c r="C33" s="471"/>
      <c r="D33" s="471"/>
      <c r="E33" s="469">
        <f t="shared" si="1"/>
        <v>0</v>
      </c>
    </row>
    <row r="34" spans="1:7">
      <c r="A34" s="468">
        <v>13</v>
      </c>
      <c r="B34" s="418" t="s">
        <v>100</v>
      </c>
      <c r="C34" s="470">
        <v>30331228.280000001</v>
      </c>
      <c r="D34" s="470"/>
      <c r="E34" s="469">
        <f t="shared" si="1"/>
        <v>30331228.280000001</v>
      </c>
    </row>
    <row r="35" spans="1:7">
      <c r="A35" s="468">
        <v>13.1</v>
      </c>
      <c r="B35" s="423" t="s">
        <v>752</v>
      </c>
      <c r="C35" s="470"/>
      <c r="D35" s="470"/>
      <c r="E35" s="469">
        <f t="shared" si="1"/>
        <v>0</v>
      </c>
    </row>
    <row r="36" spans="1:7">
      <c r="A36" s="468">
        <v>13.2</v>
      </c>
      <c r="B36" s="423" t="s">
        <v>753</v>
      </c>
      <c r="C36" s="470"/>
      <c r="D36" s="470"/>
      <c r="E36" s="469">
        <f t="shared" si="1"/>
        <v>0</v>
      </c>
    </row>
    <row r="37" spans="1:7" ht="42" thickBot="1">
      <c r="A37" s="246"/>
      <c r="B37" s="247" t="s">
        <v>321</v>
      </c>
      <c r="C37" s="206">
        <f>SUM(C8,C12,C14,C15,C16,C20,C23,C24,C25,C28,C31,C34)</f>
        <v>2186691496.5662413</v>
      </c>
      <c r="D37" s="206">
        <f t="shared" ref="D37:E37" si="7">SUM(D8,D12,D14,D15,D16,D20,D23,D24,D25,D28,D31,D34)</f>
        <v>20254474.150000002</v>
      </c>
      <c r="E37" s="206">
        <f t="shared" si="7"/>
        <v>2166437022.4162407</v>
      </c>
    </row>
    <row r="38" spans="1:7">
      <c r="A38"/>
      <c r="B38"/>
      <c r="C38"/>
      <c r="D38"/>
      <c r="E38"/>
    </row>
    <row r="39" spans="1:7">
      <c r="A39"/>
      <c r="B39"/>
      <c r="C39"/>
      <c r="D39"/>
      <c r="E39"/>
    </row>
    <row r="41" spans="1:7" s="1" customFormat="1">
      <c r="B41" s="29"/>
      <c r="F41"/>
      <c r="G41"/>
    </row>
    <row r="42" spans="1:7" s="1" customFormat="1">
      <c r="B42" s="30"/>
      <c r="F42"/>
      <c r="G42"/>
    </row>
    <row r="43" spans="1:7" s="1" customFormat="1">
      <c r="B43" s="29"/>
      <c r="F43"/>
      <c r="G43"/>
    </row>
    <row r="44" spans="1:7" s="1" customFormat="1">
      <c r="B44" s="29"/>
      <c r="F44"/>
      <c r="G44"/>
    </row>
    <row r="45" spans="1:7" s="1" customFormat="1">
      <c r="B45" s="29"/>
      <c r="F45"/>
      <c r="G45"/>
    </row>
    <row r="46" spans="1:7" s="1" customFormat="1">
      <c r="B46" s="29"/>
      <c r="F46"/>
      <c r="G46"/>
    </row>
    <row r="47" spans="1:7" s="1" customFormat="1">
      <c r="B47" s="29"/>
      <c r="F47"/>
      <c r="G47"/>
    </row>
    <row r="48" spans="1:7"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109</v>
      </c>
      <c r="B1" s="12" t="str">
        <f>Info!C2</f>
        <v>სს "კრედობანკი"</v>
      </c>
    </row>
    <row r="2" spans="1:6" s="13" customFormat="1" ht="15.75" customHeight="1">
      <c r="A2" s="13" t="s">
        <v>110</v>
      </c>
      <c r="B2" s="346">
        <f>'1. key ratios'!B2</f>
        <v>45016</v>
      </c>
      <c r="C2"/>
      <c r="D2"/>
      <c r="E2"/>
      <c r="F2"/>
    </row>
    <row r="3" spans="1:6" s="13" customFormat="1" ht="15.75" customHeight="1">
      <c r="C3"/>
      <c r="D3"/>
      <c r="E3"/>
      <c r="F3"/>
    </row>
    <row r="4" spans="1:6" s="13" customFormat="1" ht="28.2" thickBot="1">
      <c r="A4" s="13" t="s">
        <v>257</v>
      </c>
      <c r="B4" s="132" t="s">
        <v>172</v>
      </c>
      <c r="C4" s="126" t="s">
        <v>88</v>
      </c>
      <c r="D4"/>
      <c r="E4"/>
      <c r="F4"/>
    </row>
    <row r="5" spans="1:6">
      <c r="A5" s="127">
        <v>1</v>
      </c>
      <c r="B5" s="128" t="s">
        <v>731</v>
      </c>
      <c r="C5" s="167">
        <f>'7. LI1'!E37</f>
        <v>2166437022.4162407</v>
      </c>
    </row>
    <row r="6" spans="1:6">
      <c r="A6" s="71">
        <v>2.1</v>
      </c>
      <c r="B6" s="134" t="s">
        <v>865</v>
      </c>
      <c r="C6" s="168">
        <v>42925950.250000007</v>
      </c>
    </row>
    <row r="7" spans="1:6" s="2" customFormat="1" ht="27.6" outlineLevel="1">
      <c r="A7" s="133">
        <v>2.2000000000000002</v>
      </c>
      <c r="B7" s="129" t="s">
        <v>866</v>
      </c>
      <c r="C7" s="169">
        <v>176713807</v>
      </c>
    </row>
    <row r="8" spans="1:6" s="2" customFormat="1" ht="27.6">
      <c r="A8" s="133">
        <v>3</v>
      </c>
      <c r="B8" s="130" t="s">
        <v>732</v>
      </c>
      <c r="C8" s="170">
        <f>SUM(C5:C7)</f>
        <v>2386076779.6662407</v>
      </c>
    </row>
    <row r="9" spans="1:6">
      <c r="A9" s="71">
        <v>4</v>
      </c>
      <c r="B9" s="137" t="s">
        <v>170</v>
      </c>
      <c r="C9" s="168"/>
    </row>
    <row r="10" spans="1:6" s="2" customFormat="1" ht="27.6" outlineLevel="1">
      <c r="A10" s="133">
        <v>5.0999999999999996</v>
      </c>
      <c r="B10" s="129" t="s">
        <v>176</v>
      </c>
      <c r="C10" s="169">
        <v>-23357403.065000005</v>
      </c>
    </row>
    <row r="11" spans="1:6" s="2" customFormat="1" ht="27.6" outlineLevel="1">
      <c r="A11" s="133">
        <v>5.2</v>
      </c>
      <c r="B11" s="129" t="s">
        <v>177</v>
      </c>
      <c r="C11" s="169">
        <v>-173179530.86000001</v>
      </c>
    </row>
    <row r="12" spans="1:6" s="2" customFormat="1">
      <c r="A12" s="133">
        <v>6</v>
      </c>
      <c r="B12" s="135" t="s">
        <v>439</v>
      </c>
      <c r="C12" s="169"/>
    </row>
    <row r="13" spans="1:6" s="2" customFormat="1" ht="15" thickBot="1">
      <c r="A13" s="136">
        <v>7</v>
      </c>
      <c r="B13" s="131" t="s">
        <v>171</v>
      </c>
      <c r="C13" s="171">
        <f>SUM(C8:C12)</f>
        <v>2189539845.7412405</v>
      </c>
    </row>
    <row r="15" spans="1:6" ht="27.6">
      <c r="B15" s="17" t="s">
        <v>440</v>
      </c>
      <c r="C15" s="751"/>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2595CCDF-BB96-4237-A261-C57CFDD81EB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2024-03-19T08:03:26Z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