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13_ncr:1_{972AD369-37DF-42D7-A8B5-5CFBDBBA634C}" xr6:coauthVersionLast="47" xr6:coauthVersionMax="47" xr10:uidLastSave="{00000000-0000-0000-0000-000000000000}"/>
  <bookViews>
    <workbookView xWindow="-120" yWindow="-120" windowWidth="20730" windowHeight="11160" tabRatio="919" activeTab="1"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 sheetId="92"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80" l="1"/>
  <c r="D16" i="80" l="1"/>
  <c r="C21" i="72"/>
  <c r="D21" i="72"/>
  <c r="G32" i="75"/>
  <c r="F32" i="75"/>
  <c r="G7" i="75"/>
  <c r="F7" i="75"/>
  <c r="D7" i="75"/>
  <c r="C7" i="75"/>
  <c r="F61" i="53"/>
  <c r="C53" i="53"/>
  <c r="D53" i="53"/>
  <c r="C54" i="53"/>
  <c r="C56" i="53" s="1"/>
  <c r="D54" i="53"/>
  <c r="D56" i="53" s="1"/>
  <c r="F40" i="62"/>
  <c r="C20" i="62"/>
  <c r="D20" i="62"/>
  <c r="D7" i="83"/>
  <c r="D8" i="83"/>
  <c r="G26" i="80" l="1"/>
  <c r="D23" i="80"/>
  <c r="C21" i="87" l="1"/>
  <c r="C9" i="87" l="1"/>
  <c r="C8" i="87" l="1"/>
  <c r="C19" i="87"/>
  <c r="C17" i="87"/>
  <c r="C20" i="87"/>
  <c r="C18" i="87"/>
  <c r="C15" i="87" l="1"/>
  <c r="C12" i="87"/>
  <c r="C13" i="87"/>
  <c r="C14" i="87"/>
  <c r="C11" i="87"/>
  <c r="C10" i="87" l="1"/>
  <c r="C14" i="86"/>
  <c r="C16" i="86"/>
  <c r="C17" i="86"/>
  <c r="C18" i="86"/>
  <c r="C19" i="86"/>
  <c r="C20" i="86"/>
  <c r="C21" i="86"/>
  <c r="C23" i="86"/>
  <c r="C24" i="86"/>
  <c r="C25" i="86"/>
  <c r="C26" i="86"/>
  <c r="C27" i="86"/>
  <c r="C9" i="86"/>
  <c r="C10" i="86"/>
  <c r="C11" i="86"/>
  <c r="C12" i="86"/>
  <c r="C13" i="86"/>
  <c r="C22" i="86" l="1"/>
  <c r="F22" i="82"/>
  <c r="E22" i="82"/>
  <c r="D22" i="82"/>
  <c r="C22" i="82"/>
  <c r="H20" i="82" l="1"/>
  <c r="H21" i="81"/>
  <c r="I8" i="83" l="1"/>
  <c r="I9" i="83"/>
  <c r="I10" i="83"/>
  <c r="I11" i="83"/>
  <c r="I12" i="83"/>
  <c r="I13" i="83"/>
  <c r="I14" i="83"/>
  <c r="I15" i="83"/>
  <c r="I16" i="83"/>
  <c r="I17" i="83"/>
  <c r="I18" i="83"/>
  <c r="I19" i="83"/>
  <c r="I20" i="83"/>
  <c r="I21" i="83"/>
  <c r="I22" i="83"/>
  <c r="I23" i="83"/>
  <c r="I24" i="83"/>
  <c r="I25" i="83"/>
  <c r="I26" i="83"/>
  <c r="I27" i="83"/>
  <c r="I28" i="83"/>
  <c r="I29" i="83"/>
  <c r="I30" i="83"/>
  <c r="I31" i="83"/>
  <c r="I32" i="83"/>
  <c r="I33" i="83"/>
  <c r="I7" i="83"/>
  <c r="G20" i="80" l="1"/>
  <c r="G19" i="80"/>
  <c r="G13" i="80" l="1"/>
  <c r="G12" i="80"/>
  <c r="G15" i="80" l="1"/>
  <c r="G9" i="80" l="1"/>
  <c r="G10" i="80"/>
  <c r="E22" i="62" l="1"/>
  <c r="E23" i="62"/>
  <c r="E24" i="62"/>
  <c r="E25" i="62"/>
  <c r="E26" i="62"/>
  <c r="E27" i="62"/>
  <c r="E28" i="62"/>
  <c r="E29" i="62"/>
  <c r="E30" i="62"/>
  <c r="C40" i="62" l="1"/>
  <c r="G34" i="80" l="1"/>
  <c r="C45" i="69"/>
  <c r="F22" i="75" l="1"/>
  <c r="D32" i="75"/>
  <c r="C32" i="75"/>
  <c r="G40" i="75"/>
  <c r="F40" i="75"/>
  <c r="D40" i="75"/>
  <c r="C40" i="75"/>
  <c r="I8" i="92" l="1"/>
  <c r="I9" i="92"/>
  <c r="I10" i="92"/>
  <c r="I11" i="92"/>
  <c r="I12" i="92"/>
  <c r="I13" i="92"/>
  <c r="I14" i="92"/>
  <c r="I15" i="92"/>
  <c r="I16" i="92"/>
  <c r="I17" i="92"/>
  <c r="I18" i="92"/>
  <c r="I7" i="92"/>
  <c r="K19" i="92"/>
  <c r="L19" i="92"/>
  <c r="M19" i="92"/>
  <c r="N19" i="92"/>
  <c r="J19" i="92"/>
  <c r="E19" i="92"/>
  <c r="F19" i="92"/>
  <c r="G19" i="92"/>
  <c r="H19" i="92"/>
  <c r="D19" i="92"/>
  <c r="C8" i="92"/>
  <c r="C9" i="92"/>
  <c r="C10" i="92"/>
  <c r="C11" i="92"/>
  <c r="C12" i="92"/>
  <c r="C13" i="92"/>
  <c r="C14" i="92"/>
  <c r="C15" i="92"/>
  <c r="C16" i="92"/>
  <c r="C17" i="92"/>
  <c r="C18" i="92"/>
  <c r="C7" i="92"/>
  <c r="C19" i="92" l="1"/>
  <c r="I19" i="92"/>
  <c r="C15" i="86" l="1"/>
  <c r="C8" i="86" l="1"/>
  <c r="J33" i="88"/>
  <c r="K33" i="88"/>
  <c r="L33" i="88"/>
  <c r="M33" i="88"/>
  <c r="N33"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I33" i="88" l="1"/>
  <c r="E33" i="88"/>
  <c r="F33" i="88"/>
  <c r="G33" i="88"/>
  <c r="H33" i="88"/>
  <c r="D33"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7" i="88"/>
  <c r="C33" i="88" l="1"/>
  <c r="C12" i="84"/>
  <c r="C7" i="84"/>
  <c r="G27" i="80" l="1"/>
  <c r="E9" i="37" l="1"/>
  <c r="J23" i="36" l="1"/>
  <c r="I23" i="36"/>
  <c r="K23" i="36" s="1"/>
  <c r="G23" i="36"/>
  <c r="F23" i="36"/>
  <c r="D21" i="36"/>
  <c r="F21" i="36"/>
  <c r="G21" i="36"/>
  <c r="I21" i="36"/>
  <c r="J21" i="36"/>
  <c r="C21" i="36"/>
  <c r="J16" i="36"/>
  <c r="I16" i="36"/>
  <c r="G16" i="36"/>
  <c r="F16" i="36"/>
  <c r="C16" i="36"/>
  <c r="D16" i="36"/>
  <c r="I24" i="36" l="1"/>
  <c r="I25" i="36" s="1"/>
  <c r="J24" i="36"/>
  <c r="K24" i="36" s="1"/>
  <c r="K25" i="36" s="1"/>
  <c r="F24" i="36"/>
  <c r="G24" i="36"/>
  <c r="G25" i="36" s="1"/>
  <c r="H23" i="36"/>
  <c r="H24" i="36" l="1"/>
  <c r="H25" i="36" s="1"/>
  <c r="J25" i="36"/>
  <c r="F25" i="36"/>
  <c r="K10" i="36"/>
  <c r="K11" i="36"/>
  <c r="K13" i="36"/>
  <c r="K15" i="36"/>
  <c r="K19" i="36"/>
  <c r="K21" i="36" s="1"/>
  <c r="K8" i="36"/>
  <c r="H10" i="36"/>
  <c r="H11" i="36"/>
  <c r="H13" i="36"/>
  <c r="H15" i="36"/>
  <c r="H19" i="36"/>
  <c r="H21" i="36" s="1"/>
  <c r="H8" i="36"/>
  <c r="E11" i="36"/>
  <c r="E12" i="36"/>
  <c r="E13" i="36"/>
  <c r="E15" i="36"/>
  <c r="E19" i="36"/>
  <c r="E21" i="36" s="1"/>
  <c r="E10" i="36"/>
  <c r="E16" i="36" l="1"/>
  <c r="K16" i="36"/>
  <c r="H16" i="36"/>
  <c r="H9" i="74"/>
  <c r="H10" i="74"/>
  <c r="H11" i="74"/>
  <c r="H12" i="74"/>
  <c r="H13" i="74"/>
  <c r="H14" i="74"/>
  <c r="H15" i="74"/>
  <c r="H16" i="74"/>
  <c r="H17" i="74"/>
  <c r="H18" i="74"/>
  <c r="H19" i="74"/>
  <c r="H20" i="74"/>
  <c r="H21" i="74"/>
  <c r="H8" i="74"/>
  <c r="C22" i="74"/>
  <c r="C15" i="69" l="1"/>
  <c r="E9" i="72" l="1"/>
  <c r="E10" i="72"/>
  <c r="E11" i="72"/>
  <c r="E12" i="72"/>
  <c r="E13" i="72"/>
  <c r="E14" i="72"/>
  <c r="E15" i="72"/>
  <c r="E16" i="72"/>
  <c r="E17" i="72"/>
  <c r="E18" i="72"/>
  <c r="E19" i="72"/>
  <c r="E20" i="72"/>
  <c r="E8" i="72"/>
  <c r="B2" i="71" l="1"/>
  <c r="G14" i="62" l="1"/>
  <c r="F14" i="62"/>
  <c r="C22" i="75" l="1"/>
  <c r="D14" i="62"/>
  <c r="C14" i="62"/>
  <c r="B1" i="89" l="1"/>
  <c r="B1" i="92" s="1"/>
  <c r="B1" i="88"/>
  <c r="B1" i="87"/>
  <c r="B1" i="86"/>
  <c r="B1" i="85"/>
  <c r="B1" i="84"/>
  <c r="B1" i="83"/>
  <c r="B1" i="82"/>
  <c r="B1" i="81"/>
  <c r="C21" i="82" l="1"/>
  <c r="D22" i="81"/>
  <c r="E22" i="81"/>
  <c r="F22" i="81"/>
  <c r="G22" i="81"/>
  <c r="C22" i="81"/>
  <c r="B2" i="89" l="1"/>
  <c r="B2" i="92" s="1"/>
  <c r="B2" i="88"/>
  <c r="B2" i="87"/>
  <c r="B2" i="86"/>
  <c r="B2" i="85"/>
  <c r="B2" i="84"/>
  <c r="B2" i="83"/>
  <c r="B2" i="82"/>
  <c r="B2" i="81"/>
  <c r="C10" i="85" l="1"/>
  <c r="C19" i="85" s="1"/>
  <c r="D12" i="84"/>
  <c r="D7" i="84"/>
  <c r="D19" i="84" s="1"/>
  <c r="H34" i="83"/>
  <c r="G34" i="83"/>
  <c r="F34" i="83"/>
  <c r="E34" i="83"/>
  <c r="D34" i="83"/>
  <c r="C34"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3" i="81"/>
  <c r="H12" i="81"/>
  <c r="H11" i="81"/>
  <c r="H10" i="81"/>
  <c r="H9" i="81"/>
  <c r="H8" i="81"/>
  <c r="I34" i="83" l="1"/>
  <c r="C19" i="84"/>
  <c r="I21" i="82"/>
  <c r="H22" i="81"/>
  <c r="B2" i="80"/>
  <c r="B1" i="80"/>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H7" i="37"/>
  <c r="G7" i="37"/>
  <c r="F7" i="37"/>
  <c r="F21" i="37" s="1"/>
  <c r="C7" i="37"/>
  <c r="G21" i="37" l="1"/>
  <c r="H21" i="37"/>
  <c r="I21" i="37"/>
  <c r="N14" i="37"/>
  <c r="E14" i="37"/>
  <c r="E7" i="37"/>
  <c r="C21" i="37"/>
  <c r="N8" i="37"/>
  <c r="E21" i="37" l="1"/>
  <c r="C12" i="79" s="1"/>
  <c r="C18" i="79" s="1"/>
  <c r="C36" i="79" s="1"/>
  <c r="C38" i="79" s="1"/>
  <c r="N7" i="37"/>
  <c r="N21" i="37" s="1"/>
  <c r="K7" i="37"/>
  <c r="K21" i="37" s="1"/>
  <c r="E21" i="72" l="1"/>
  <c r="C5" i="73" s="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39" i="75"/>
  <c r="E39" i="75"/>
  <c r="H38" i="75"/>
  <c r="E38" i="75"/>
  <c r="H37" i="75"/>
  <c r="E37" i="75"/>
  <c r="H36" i="75"/>
  <c r="E36" i="75"/>
  <c r="H35" i="75"/>
  <c r="E35" i="75"/>
  <c r="H34" i="75"/>
  <c r="E34" i="75"/>
  <c r="H33" i="75"/>
  <c r="E33"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H16" i="75" s="1"/>
  <c r="E17" i="75"/>
  <c r="H15" i="75"/>
  <c r="E15" i="75"/>
  <c r="H14" i="75"/>
  <c r="E14" i="75"/>
  <c r="H13" i="75"/>
  <c r="E13" i="75"/>
  <c r="H12" i="75"/>
  <c r="E12" i="75"/>
  <c r="H11" i="75"/>
  <c r="E11" i="75"/>
  <c r="H10" i="75"/>
  <c r="E10" i="75"/>
  <c r="H9" i="75"/>
  <c r="E9" i="75"/>
  <c r="H8" i="75"/>
  <c r="E8" i="75"/>
  <c r="E32" i="75" l="1"/>
  <c r="E16" i="75"/>
  <c r="E19" i="75"/>
  <c r="H32" i="75"/>
  <c r="H7" i="75"/>
  <c r="H19" i="75"/>
  <c r="E7" i="75"/>
  <c r="H40" i="75"/>
  <c r="E40" i="75"/>
  <c r="G61" i="53"/>
  <c r="D61" i="53"/>
  <c r="C61" i="53"/>
  <c r="G53" i="53"/>
  <c r="F53" i="53"/>
  <c r="G34" i="53"/>
  <c r="G45" i="53" s="1"/>
  <c r="F34" i="53"/>
  <c r="F45" i="53" s="1"/>
  <c r="D34" i="53"/>
  <c r="D45" i="53" s="1"/>
  <c r="C34" i="53"/>
  <c r="C45" i="53" s="1"/>
  <c r="F54" i="53" l="1"/>
  <c r="G54" i="53"/>
  <c r="G30" i="53"/>
  <c r="F30" i="53"/>
  <c r="D30" i="53"/>
  <c r="C30" i="53"/>
  <c r="G9" i="53"/>
  <c r="G22" i="53" s="1"/>
  <c r="F9" i="53"/>
  <c r="F22" i="53" s="1"/>
  <c r="D9" i="53"/>
  <c r="D22" i="53" s="1"/>
  <c r="C9" i="53"/>
  <c r="C22" i="53" s="1"/>
  <c r="D31" i="62"/>
  <c r="D41" i="62" s="1"/>
  <c r="C31" i="62"/>
  <c r="C41" i="62" s="1"/>
  <c r="D31" i="53" l="1"/>
  <c r="D63" i="53" s="1"/>
  <c r="D65" i="53" s="1"/>
  <c r="D67" i="53" s="1"/>
  <c r="G31" i="53"/>
  <c r="G56" i="53" s="1"/>
  <c r="G63" i="53" s="1"/>
  <c r="G65" i="53" s="1"/>
  <c r="G67" i="53" s="1"/>
  <c r="C31" i="53"/>
  <c r="C63" i="53" s="1"/>
  <c r="C65" i="53" s="1"/>
  <c r="C67" i="53" s="1"/>
  <c r="E22" i="53"/>
  <c r="F31" i="53"/>
  <c r="F56" i="53" s="1"/>
  <c r="F63" i="53" s="1"/>
  <c r="F65" i="53" s="1"/>
  <c r="F67" i="53" s="1"/>
  <c r="H22" i="53"/>
  <c r="G31" i="62"/>
  <c r="G41" i="62" s="1"/>
  <c r="F31" i="62"/>
  <c r="F41" i="62" s="1"/>
  <c r="F20" i="62"/>
  <c r="G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<sst xmlns="http://schemas.openxmlformats.org/spreadsheetml/2006/main" count="1176" uniqueCount="785">
  <si>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</si>
  <si>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</si>
  <si>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</si>
  <si>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</si>
  <si>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</si>
  <si>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</si>
  <si>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</si>
  <si>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</si>
  <si>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</si>
  <si>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</si>
  <si>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</si>
  <si>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</si>
  <si>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</si>
  <si>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</si>
  <si>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</si>
  <si>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</si>
  <si>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</si>
  <si>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</si>
  <si>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</si>
  <si>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</si>
  <si>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</si>
  <si>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</si>
  <si>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</si>
  <si>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</si>
  <si>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</si>
  <si>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</si>
  <si>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</si>
  <si>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</si>
  <si>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</si>
  <si>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</si>
  <si>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</si>
  <si>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</si>
  <si>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</si>
  <si>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</si>
  <si>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</si>
  <si>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</si>
  <si>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</si>
  <si>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</si>
  <si>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</si>
  <si>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</si>
  <si>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</si>
  <si>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</si>
  <si>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</si>
  <si>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</si>
  <si>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</si>
  <si>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</si>
  <si>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</si>
  <si>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</si>
  <si>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</si>
  <si>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</si>
  <si>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</si>
  <si>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</si>
  <si>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</si>
  <si>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</si>
  <si>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</si>
  <si>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</si>
  <si>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</si>
  <si>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</si>
  <si>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</si>
  <si>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</si>
  <si>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</si>
  <si>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</si>
  <si>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</si>
  <si>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</si>
  <si>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</si>
  <si>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</si>
  <si>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</si>
  <si>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</si>
  <si>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</si>
  <si>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</si>
  <si>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</si>
  <si>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</si>
  <si>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</si>
  <si>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</si>
  <si>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</si>
  <si>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</si>
  <si>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</si>
  <si>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</si>
  <si>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</si>
  <si>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</si>
  <si>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</si>
  <si>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</si>
  <si>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</si>
  <si>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</si>
  <si>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</si>
  <si>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</si>
  <si>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</si>
  <si>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</si>
  <si>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</si>
  <si>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</si>
  <si>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</si>
  <si>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</si>
  <si>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</si>
  <si>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</si>
  <si>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</si>
  <si>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</si>
  <si>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</si>
  <si>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</si>
  <si>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</si>
  <si>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</si>
  <si>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</si>
  <si>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</si>
  <si>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</si>
  <si>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</si>
  <si>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</si>
  <si>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</si>
  <si>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</si>
  <si>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</si>
  <si>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</si>
  <si>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</si>
  <si>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</si>
  <si>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</si>
  <si>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</si>
  <si>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</si>
  <si>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</si>
  <si>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</si>
  <si>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</si>
  <si>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</si>
  <si>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</si>
  <si>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</si>
  <si>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</si>
  <si>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</si>
  <si>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</si>
  <si>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</si>
  <si>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</si>
  <si>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</si>
  <si>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</si>
  <si>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</si>
  <si>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</si>
  <si>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</si>
  <si>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</si>
  <si>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</si>
  <si>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</si>
  <si>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</si>
  <si>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</si>
  <si>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</si>
  <si>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</si>
  <si>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</si>
  <si>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</si>
  <si>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</si>
  <si>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</si>
  <si>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</si>
  <si>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</si>
  <si>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</si>
  <si>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</si>
  <si>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</si>
  <si>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</si>
  <si>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</si>
  <si>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</si>
  <si>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</si>
  <si>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</si>
  <si>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</si>
  <si>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</si>
  <si>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</si>
  <si>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</si>
  <si>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</si>
  <si>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</si>
  <si>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</si>
  <si>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</si>
  <si>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</si>
  <si>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</si>
  <si>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</si>
  <si>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</si>
  <si>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</si>
  <si>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</si>
  <si>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</si>
  <si>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</si>
  <si>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</si>
  <si>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</si>
  <si>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</si>
  <si>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</si>
  <si>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</si>
  <si>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</si>
  <si>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</si>
  <si>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</si>
  <si>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</si>
  <si>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</si>
  <si>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</si>
  <si>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</si>
  <si>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</si>
  <si>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</si>
  <si>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</si>
  <si>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</si>
  <si>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</si>
  <si>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</si>
  <si>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</si>
  <si>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</si>
  <si>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</si>
  <si>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</si>
  <si>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</si>
  <si>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</si>
  <si>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</si>
  <si>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</si>
  <si>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</si>
  <si>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</si>
  <si>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</si>
  <si>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</si>
  <si>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</si>
  <si>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</si>
  <si>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</si>
  <si>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</si>
  <si>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</si>
  <si>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</si>
  <si>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</si>
  <si>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</si>
  <si>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</si>
  <si>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</si>
  <si>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</si>
  <si>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</si>
  <si>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</si>
  <si>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</si>
  <si>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</si>
  <si>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</si>
  <si>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</si>
  <si>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</si>
  <si>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</si>
  <si>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</si>
  <si>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</si>
  <si>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</si>
  <si>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</si>
  <si>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</si>
  <si>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</si>
  <si>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</si>
  <si>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</si>
  <si>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</si>
  <si>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</si>
  <si>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</si>
  <si>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</si>
  <si>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</si>
  <si>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</si>
  <si>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</si>
  <si>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</si>
  <si>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</si>
  <si>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</si>
  <si>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</si>
  <si>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</si>
  <si>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</si>
  <si>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</si>
  <si>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</si>
  <si>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</si>
  <si>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</si>
  <si>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</si>
  <si>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</si>
  <si>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</si>
  <si>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</si>
  <si>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</si>
  <si>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</si>
  <si>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</si>
  <si>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</si>
  <si>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</si>
  <si>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</si>
  <si>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</si>
  <si>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</si>
  <si>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</si>
  <si>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</si>
  <si>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</si>
  <si>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</si>
  <si>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</si>
  <si>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</si>
  <si>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</si>
  <si>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</si>
  <si>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</si>
  <si>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</si>
  <si>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</si>
  <si>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</si>
  <si>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</si>
  <si>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</si>
  <si>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</si>
  <si>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</si>
  <si>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</si>
  <si>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</si>
  <si>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</si>
  <si>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</si>
  <si>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</si>
  <si>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</si>
  <si>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</si>
  <si>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</si>
  <si>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</si>
  <si>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</si>
  <si>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</si>
  <si>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</si>
  <si>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</si>
  <si>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</si>
  <si>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</si>
  <si>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</si>
  <si>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</si>
  <si>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</si>
  <si>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</si>
  <si>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</si>
  <si>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</si>
  <si>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</si>
  <si>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</si>
  <si>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</si>
  <si>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</si>
  <si>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</si>
  <si>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</si>
  <si>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</si>
  <si>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</si>
  <si>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</si>
  <si>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</si>
  <si>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</si>
  <si>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</si>
  <si>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</si>
  <si>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</si>
  <si>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</si>
  <si>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</si>
  <si>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</si>
  <si>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</si>
  <si>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</si>
  <si>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</si>
  <si>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</si>
  <si>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</si>
  <si>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</si>
  <si>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</si>
  <si>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</si>
  <si>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</si>
  <si>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</si>
  <si>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</si>
  <si>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</si>
  <si>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</si>
  <si>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</si>
  <si>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</si>
  <si>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</si>
  <si>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</si>
  <si>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</si>
  <si>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</si>
  <si>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</si>
  <si>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</si>
  <si>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</si>
  <si>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</si>
  <si>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</si>
  <si>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</si>
  <si>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</si>
  <si>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</si>
  <si>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</si>
  <si>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</si>
  <si>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</si>
  <si>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</si>
  <si>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</si>
  <si>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</si>
  <si>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</si>
  <si>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</si>
  <si>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</si>
  <si>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</si>
  <si>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</si>
  <si>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</si>
  <si>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</si>
  <si>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</si>
  <si>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</si>
  <si>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</si>
  <si>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</si>
  <si>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</si>
  <si>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</si>
  <si>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</si>
  <si>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</si>
  <si>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</si>
  <si>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</si>
  <si>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</si>
  <si>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</si>
  <si>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</si>
  <si>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</si>
  <si>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</si>
  <si>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</si>
  <si>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</si>
  <si>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</si>
  <si>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</si>
  <si>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</si>
  <si>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</si>
  <si>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</si>
  <si>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</si>
  <si>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</si>
  <si>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</si>
  <si>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</si>
  <si>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</si>
  <si>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</si>
  <si>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</si>
  <si>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</si>
  <si>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</si>
  <si>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</si>
  <si>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</si>
  <si>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</si>
  <si>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</si>
  <si>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</si>
  <si>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</si>
  <si>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</si>
  <si>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</si>
  <si>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</si>
  <si>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</si>
  <si>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</si>
  <si>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</si>
  <si>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</si>
  <si>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</si>
  <si>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</si>
  <si>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</si>
  <si>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</si>
  <si>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</si>
  <si>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</si>
  <si>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</si>
  <si>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</si>
  <si>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</si>
  <si>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</si>
  <si>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</si>
  <si>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</si>
  <si>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</si>
  <si>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</si>
  <si>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</si>
  <si>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</si>
  <si>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</si>
  <si>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</si>
  <si>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</si>
  <si>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</si>
  <si>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</si>
  <si>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</si>
  <si>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</si>
  <si>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</si>
  <si>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</si>
  <si>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</si>
  <si>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</si>
  <si>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</si>
  <si>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</si>
  <si>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</si>
  <si>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</si>
  <si>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</si>
  <si>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</si>
  <si>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</si>
  <si>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</si>
  <si>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</si>
  <si>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</si>
  <si>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</si>
  <si>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</si>
  <si>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</si>
  <si>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</si>
  <si>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</si>
  <si>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</si>
  <si>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</si>
  <si>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</si>
  <si>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</si>
  <si>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</si>
  <si>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</si>
  <si>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</si>
  <si>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</si>
  <si>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</si>
  <si>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</si>
  <si>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</si>
  <si>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</si>
  <si>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</si>
  <si>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</si>
  <si>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</si>
  <si>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</si>
  <si>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</si>
  <si>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</si>
  <si>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</si>
  <si>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</si>
  <si>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</si>
  <si>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</si>
  <si>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</si>
  <si>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</si>
  <si>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</si>
  <si>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</si>
  <si>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</si>
  <si>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</si>
  <si>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</si>
  <si>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</si>
  <si>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</si>
  <si>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</si>
  <si>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</si>
  <si>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</si>
  <si>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</si>
  <si>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</si>
  <si>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</si>
  <si>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</si>
  <si>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</si>
  <si>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</si>
  <si>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</si>
  <si>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</si>
  <si>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</si>
  <si>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</si>
  <si>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</si>
  <si>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</si>
  <si>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</si>
  <si>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</si>
  <si>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</si>
  <si>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</si>
  <si>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</si>
  <si>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</si>
  <si>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</si>
  <si>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</si>
  <si>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</si>
  <si>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</si>
  <si>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</si>
  <si>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</si>
  <si>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</si>
  <si>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</si>
  <si>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</si>
  <si>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</si>
  <si>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</si>
  <si>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</si>
  <si>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</si>
  <si>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</si>
  <si>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</si>
  <si>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</si>
  <si>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</si>
  <si>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</si>
  <si>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</si>
  <si>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</si>
  <si>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</si>
  <si>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</si>
  <si>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</si>
  <si>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</si>
  <si>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</si>
  <si>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</si>
  <si>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</si>
  <si>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</si>
  <si>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</si>
  <si>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</si>
  <si>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</si>
  <si>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</si>
  <si>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</si>
  <si>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</si>
  <si>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</si>
  <si>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</si>
  <si>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</si>
  <si>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</si>
  <si>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</si>
  <si>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</si>
  <si>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</si>
  <si>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</si>
  <si>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</si>
  <si>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</si>
  <si>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</si>
  <si>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</si>
  <si>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</si>
  <si>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</si>
  <si>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</si>
  <si>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</si>
  <si>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</si>
  <si>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</si>
  <si>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</si>
  <si>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</si>
  <si>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</si>
  <si>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</si>
  <si>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</si>
  <si>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</si>
  <si>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</si>
  <si>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</si>
  <si>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</si>
  <si>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</si>
  <si>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</si>
  <si>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</si>
  <si>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</si>
  <si>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</si>
  <si>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</si>
  <si>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</si>
  <si>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</si>
  <si>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</si>
  <si>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</si>
  <si>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</si>
  <si>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</si>
  <si>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</si>
  <si>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</si>
  <si>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</si>
  <si>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</si>
  <si>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</si>
  <si>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</si>
  <si>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</si>
  <si>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</si>
  <si>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</si>
  <si>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</si>
  <si>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</si>
  <si>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</si>
  <si>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</si>
  <si>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</si>
  <si>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</si>
  <si>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</si>
  <si>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</si>
  <si>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</si>
  <si>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</si>
  <si>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</si>
  <si>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</si>
  <si>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</si>
  <si>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</si>
  <si>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</si>
  <si>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</si>
  <si>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</si>
  <si>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</si>
  <si>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</si>
  <si>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</si>
  <si>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</si>
  <si>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</si>
  <si>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</si>
  <si>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</si>
  <si>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</si>
  <si>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</si>
  <si>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</si>
  <si>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</si>
  <si>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</si>
  <si>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</si>
  <si>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</si>
  <si>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</si>
  <si>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</si>
  <si>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</si>
  <si>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</si>
  <si>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</si>
  <si>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</si>
  <si>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</si>
  <si>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</si>
  <si>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</si>
  <si>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</si>
  <si>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</si>
  <si>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</si>
  <si>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</si>
  <si>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</si>
  <si>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</si>
  <si>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</si>
  <si>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</si>
  <si>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</si>
  <si>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</si>
  <si>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</si>
  <si>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</si>
  <si>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</si>
  <si>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</si>
  <si>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</si>
  <si>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</si>
  <si>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</si>
  <si>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</si>
  <si>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</si>
  <si>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</si>
  <si>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</si>
  <si>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</si>
  <si>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</si>
  <si>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</si>
  <si>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</si>
  <si>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</si>
  <si>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</si>
  <si>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</si>
  <si>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</si>
  <si>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</si>
  <si>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</si>
  <si>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</si>
  <si>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</si>
  <si>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</si>
  <si>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</si>
  <si>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</si>
  <si>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</si>
  <si>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</si>
  <si>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</si>
  <si>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</si>
  <si>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</si>
  <si>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</si>
  <si>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</si>
  <si>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</si>
  <si>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</si>
  <si>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</si>
  <si>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</si>
  <si>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</si>
  <si>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</si>
  <si>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</si>
  <si>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</si>
  <si>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</si>
  <si>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</si>
  <si>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</si>
  <si>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</si>
  <si>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</si>
  <si>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</si>
  <si>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</si>
  <si>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</si>
  <si>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</si>
  <si>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</si>
  <si>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</si>
  <si>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</si>
  <si>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</si>
  <si>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</si>
  <si>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</si>
  <si>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</si>
  <si>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</si>
  <si>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</si>
  <si>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</si>
  <si>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</si>
  <si>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</si>
  <si>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</si>
  <si>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</si>
  <si>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</si>
  <si>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</si>
  <si>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</si>
  <si>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</si>
  <si>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</si>
  <si>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</si>
  <si>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</si>
  <si>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</si>
  <si>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</si>
  <si>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</si>
  <si>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</si>
  <si>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</si>
  <si>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</si>
  <si>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</si>
  <si>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</si>
  <si>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</si>
  <si>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</si>
  <si>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</si>
  <si>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</si>
  <si>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</si>
  <si>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</si>
  <si>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</si>
  <si>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</si>
  <si>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</si>
  <si>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</si>
  <si>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</si>
  <si>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</si>
  <si>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</si>
  <si>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</si>
  <si>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</si>
  <si>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</si>
  <si>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</si>
  <si>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</si>
  <si>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</si>
  <si>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</si>
  <si>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</si>
  <si>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</si>
  <si>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</si>
  <si>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</si>
  <si>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</si>
  <si>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</si>
  <si>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</si>
  <si>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</si>
  <si>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</si>
  <si>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</si>
  <si>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</si>
  <si>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</si>
  <si>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</si>
  <si>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</si>
  <si>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</si>
  <si>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</si>
  <si>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</si>
  <si>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</si>
  <si>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</si>
  <si>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</si>
  <si>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</si>
  <si>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</si>
  <si>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</si>
  <si>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"კრედო ბანკი"</t>
  </si>
  <si>
    <t>ტომას ენგელჰარდტი</t>
  </si>
  <si>
    <t>ზაალ ფირცხელავა</t>
  </si>
  <si>
    <t>www.credo.ge</t>
  </si>
  <si>
    <t>ცხრილი 9 (Capital), C46</t>
  </si>
  <si>
    <t>ცხრილი 9 (Capital), C15</t>
  </si>
  <si>
    <t>ცხრილი 9 (Capital), C44</t>
  </si>
  <si>
    <t>ცხრილი 9 (Capital), C7</t>
  </si>
  <si>
    <t>ცხრილი 9 (Capital), C11</t>
  </si>
  <si>
    <t>ცხრილი 9 (Capital), C9</t>
  </si>
  <si>
    <t>Thomas Engelhardt (Germany)</t>
  </si>
  <si>
    <t>Access Microfinance Holding AG</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</si>
  <si>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</si>
  <si>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</si>
  <si>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</si>
  <si>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</si>
  <si>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</si>
  <si>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</si>
  <si>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</si>
  <si>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</si>
  <si>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</si>
  <si>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</si>
  <si>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</si>
  <si>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</si>
  <si>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</si>
  <si>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</si>
  <si>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</si>
  <si>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</si>
  <si>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</si>
  <si>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</si>
  <si>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</si>
  <si>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</si>
  <si>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</si>
  <si>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</si>
  <si>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</si>
  <si>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</si>
  <si>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</si>
  <si>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</si>
  <si>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Agence Francaise de developpement</t>
  </si>
  <si>
    <t>Farah, Katia Chams (Netherlands)</t>
  </si>
  <si>
    <t>გიორგი ნადარეიშვილი</t>
  </si>
  <si>
    <t>რისკების დირექტორი</t>
  </si>
  <si>
    <t>ცხრილი 9 (Capital), C8</t>
  </si>
  <si>
    <t>Olga Tomash (Ukraine)</t>
  </si>
  <si>
    <t>British International Investment PLC (UK)</t>
  </si>
  <si>
    <t>Omidyar Tufts Active Citizenship Trust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</si>
</sst>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2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4" fillId="0" borderId="88" xfId="0" applyFont="1" applyFill="1" applyBorder="1" applyAlignment="1">
      <alignment vertical="center"/>
    </xf>
    <xf numFmtId="0" fontId="6" fillId="0" borderId="87" xfId="0" applyFont="1" applyFill="1" applyBorder="1" applyAlignment="1">
      <alignment vertical="center"/>
    </xf>
    <xf numFmtId="0" fontId="4" fillId="0" borderId="20"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9"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34" xfId="20" applyBorder="1"/>
    <xf numFmtId="169" fontId="28" fillId="37" borderId="97"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4" xfId="0" applyFont="1" applyFill="1" applyBorder="1" applyAlignment="1">
      <alignment vertical="center"/>
    </xf>
    <xf numFmtId="0" fontId="4" fillId="0" borderId="102" xfId="0" applyFont="1" applyFill="1" applyBorder="1" applyAlignment="1">
      <alignment horizontal="center" vertical="center"/>
    </xf>
    <xf numFmtId="0" fontId="4" fillId="0" borderId="100"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3"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2"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2"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2"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2"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9" fillId="0" borderId="102"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0" xfId="0" applyFont="1" applyBorder="1" applyAlignment="1"/>
    <xf numFmtId="0" fontId="9" fillId="0" borderId="100" xfId="0" applyFont="1" applyBorder="1" applyAlignment="1"/>
    <xf numFmtId="0" fontId="10" fillId="0" borderId="21" xfId="0" applyFont="1" applyBorder="1" applyAlignment="1">
      <alignment horizontal="center"/>
    </xf>
    <xf numFmtId="0" fontId="10" fillId="0" borderId="100"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2"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0"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2"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0" fontId="15" fillId="0" borderId="102"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5" xfId="0" applyFont="1" applyFill="1" applyBorder="1" applyAlignment="1">
      <alignment wrapText="1"/>
    </xf>
    <xf numFmtId="0" fontId="4" fillId="3" borderId="106" xfId="0" applyFont="1" applyFill="1" applyBorder="1"/>
    <xf numFmtId="0" fontId="6" fillId="3" borderId="11" xfId="0" applyFont="1" applyFill="1" applyBorder="1" applyAlignment="1">
      <alignment horizontal="center" wrapText="1"/>
    </xf>
    <xf numFmtId="0" fontId="4" fillId="0" borderId="87" xfId="0" applyFont="1" applyFill="1" applyBorder="1" applyAlignment="1">
      <alignment horizontal="center"/>
    </xf>
    <xf numFmtId="0" fontId="4" fillId="0" borderId="8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0" xfId="0" applyFont="1" applyFill="1" applyBorder="1" applyAlignment="1">
      <alignment horizontal="center" vertical="center" wrapText="1"/>
    </xf>
    <xf numFmtId="0" fontId="4" fillId="0" borderId="102" xfId="0" applyFont="1" applyBorder="1"/>
    <xf numFmtId="0" fontId="4" fillId="0" borderId="87" xfId="0" applyFont="1" applyBorder="1" applyAlignment="1">
      <alignment wrapText="1"/>
    </xf>
    <xf numFmtId="164" fontId="4" fillId="0" borderId="87" xfId="7" applyNumberFormat="1" applyFont="1" applyBorder="1"/>
    <xf numFmtId="164" fontId="4" fillId="0" borderId="100"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2" xfId="0" applyFont="1" applyBorder="1"/>
    <xf numFmtId="0" fontId="6" fillId="0" borderId="87" xfId="0" applyFont="1" applyBorder="1" applyAlignment="1">
      <alignment wrapText="1"/>
    </xf>
    <xf numFmtId="164" fontId="6" fillId="0" borderId="100"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3"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6" fillId="3" borderId="0" xfId="0" applyFont="1" applyFill="1" applyBorder="1" applyAlignment="1">
      <alignment horizontal="center"/>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49" fontId="121"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166" fontId="115" fillId="36" borderId="87" xfId="21413"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7" xfId="0" applyFont="1" applyFill="1" applyBorder="1" applyAlignment="1">
      <alignment horizontal="center" vertical="center" wrapText="1"/>
    </xf>
    <xf numFmtId="0" fontId="118" fillId="0" borderId="87" xfId="0" applyFont="1" applyFill="1" applyBorder="1" applyAlignment="1">
      <alignment horizontal="left" indent="1"/>
    </xf>
    <xf numFmtId="0" fontId="118" fillId="0" borderId="87" xfId="0" applyFont="1" applyFill="1" applyBorder="1" applyAlignment="1">
      <alignment horizontal="left" wrapText="1" indent="1"/>
    </xf>
    <xf numFmtId="0" fontId="115" fillId="0" borderId="87" xfId="0" applyFont="1" applyFill="1" applyBorder="1" applyAlignment="1">
      <alignment horizontal="left" indent="1"/>
    </xf>
    <xf numFmtId="0" fontId="115" fillId="0" borderId="87" xfId="0" applyNumberFormat="1" applyFont="1" applyFill="1" applyBorder="1" applyAlignment="1">
      <alignment horizontal="left" indent="1"/>
    </xf>
    <xf numFmtId="0" fontId="115" fillId="0" borderId="87" xfId="0" applyFont="1" applyFill="1" applyBorder="1" applyAlignment="1">
      <alignment horizontal="left" wrapText="1" indent="2"/>
    </xf>
    <xf numFmtId="0" fontId="118" fillId="0" borderId="87" xfId="0" applyFont="1" applyFill="1" applyBorder="1" applyAlignment="1">
      <alignment horizontal="left" vertical="center" indent="1"/>
    </xf>
    <xf numFmtId="0" fontId="116" fillId="79" borderId="87" xfId="0" applyFont="1" applyFill="1" applyBorder="1"/>
    <xf numFmtId="0" fontId="116" fillId="0" borderId="87" xfId="0" applyFont="1" applyFill="1" applyBorder="1" applyAlignment="1">
      <alignment horizontal="left" wrapText="1"/>
    </xf>
    <xf numFmtId="0" fontId="116" fillId="0" borderId="87" xfId="0" applyFont="1" applyFill="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wrapText="1" indent="3"/>
    </xf>
    <xf numFmtId="0" fontId="116" fillId="0" borderId="87" xfId="0" applyNumberFormat="1" applyFont="1" applyFill="1" applyBorder="1" applyAlignment="1">
      <alignment horizontal="left" wrapText="1" indent="1"/>
    </xf>
    <xf numFmtId="0" fontId="118" fillId="0" borderId="116"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7"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0" fontId="25" fillId="0" borderId="102" xfId="0" applyFont="1" applyBorder="1" applyAlignment="1">
      <alignment horizontal="center"/>
    </xf>
    <xf numFmtId="0" fontId="124" fillId="0" borderId="87" xfId="0" applyFont="1" applyBorder="1" applyAlignment="1">
      <alignment horizontal="left" indent="2"/>
    </xf>
    <xf numFmtId="0" fontId="124" fillId="0" borderId="82" xfId="0" applyFont="1" applyBorder="1" applyAlignment="1">
      <alignment horizontal="left" indent="2"/>
    </xf>
    <xf numFmtId="0" fontId="0" fillId="0" borderId="7" xfId="0" applyBorder="1"/>
    <xf numFmtId="0" fontId="25" fillId="0" borderId="87" xfId="0" applyFont="1" applyBorder="1"/>
    <xf numFmtId="0" fontId="104" fillId="0" borderId="87" xfId="0" applyFont="1" applyBorder="1"/>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93" fontId="9" fillId="0" borderId="87" xfId="0" applyNumberFormat="1" applyFont="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0" fillId="82" borderId="0" xfId="0" applyFill="1"/>
    <xf numFmtId="193" fontId="10" fillId="0" borderId="3" xfId="0" applyNumberFormat="1" applyFont="1" applyFill="1" applyBorder="1" applyAlignment="1" applyProtection="1">
      <alignment horizontal="right"/>
    </xf>
    <xf numFmtId="164" fontId="4" fillId="0" borderId="100" xfId="7" applyNumberFormat="1" applyFont="1" applyFill="1" applyBorder="1" applyAlignment="1">
      <alignment horizontal="right" vertical="center" wrapText="1"/>
    </xf>
    <xf numFmtId="164" fontId="108" fillId="0" borderId="10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165" fontId="4" fillId="36" borderId="27" xfId="20961" applyNumberFormat="1" applyFont="1" applyFill="1" applyBorder="1"/>
    <xf numFmtId="164" fontId="4" fillId="0" borderId="88"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26" xfId="0" applyNumberFormat="1" applyFont="1" applyFill="1" applyBorder="1" applyAlignment="1">
      <alignment vertical="center"/>
    </xf>
    <xf numFmtId="164" fontId="4" fillId="0" borderId="30" xfId="7" applyNumberFormat="1" applyFont="1" applyFill="1" applyBorder="1" applyAlignment="1">
      <alignment vertical="center"/>
    </xf>
    <xf numFmtId="164" fontId="6" fillId="0" borderId="30" xfId="0" applyNumberFormat="1" applyFont="1" applyBorder="1" applyAlignment="1">
      <alignment vertical="center"/>
    </xf>
    <xf numFmtId="164" fontId="6" fillId="0" borderId="21" xfId="0" applyNumberFormat="1" applyFont="1" applyBorder="1" applyAlignment="1">
      <alignment vertical="center"/>
    </xf>
    <xf numFmtId="164" fontId="4" fillId="0" borderId="123" xfId="7" applyNumberFormat="1" applyFont="1" applyFill="1" applyBorder="1" applyAlignment="1">
      <alignment vertical="center"/>
    </xf>
    <xf numFmtId="9" fontId="4" fillId="0" borderId="81" xfId="20961" applyFont="1" applyFill="1" applyBorder="1" applyAlignment="1">
      <alignment vertical="center"/>
    </xf>
    <xf numFmtId="9" fontId="4" fillId="0" borderId="124" xfId="20961" applyFont="1" applyFill="1" applyBorder="1" applyAlignment="1">
      <alignment vertical="center"/>
    </xf>
    <xf numFmtId="10" fontId="112" fillId="78" borderId="87" xfId="20961" applyNumberFormat="1" applyFont="1" applyFill="1" applyBorder="1" applyAlignment="1" applyProtection="1">
      <alignment horizontal="right" vertical="center"/>
    </xf>
    <xf numFmtId="164" fontId="4" fillId="0" borderId="87" xfId="7" applyNumberFormat="1" applyFont="1" applyBorder="1" applyAlignment="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0" xfId="0" applyNumberFormat="1" applyFont="1"/>
    <xf numFmtId="164" fontId="116" fillId="0" borderId="0" xfId="0" applyNumberFormat="1" applyFont="1" applyFill="1"/>
    <xf numFmtId="43" fontId="119" fillId="0" borderId="87" xfId="7" applyFont="1" applyBorder="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0" applyNumberFormat="1" applyFont="1" applyFill="1" applyBorder="1" applyAlignment="1">
      <alignment horizontal="left" vertical="center" wrapText="1"/>
    </xf>
    <xf numFmtId="164" fontId="119" fillId="0" borderId="87" xfId="0" applyNumberFormat="1" applyFont="1" applyBorder="1"/>
    <xf numFmtId="164" fontId="119" fillId="0" borderId="87" xfId="0" applyNumberFormat="1" applyFont="1" applyFill="1" applyBorder="1"/>
    <xf numFmtId="164" fontId="119" fillId="0" borderId="7" xfId="7" applyNumberFormat="1" applyFont="1" applyBorder="1"/>
    <xf numFmtId="164" fontId="116" fillId="81" borderId="87" xfId="7" applyNumberFormat="1" applyFont="1" applyFill="1" applyBorder="1"/>
    <xf numFmtId="164" fontId="116" fillId="0" borderId="87" xfId="7" applyNumberFormat="1" applyFont="1" applyFill="1" applyBorder="1" applyAlignment="1">
      <alignment horizontal="left" wrapText="1" indent="1"/>
    </xf>
    <xf numFmtId="9" fontId="116" fillId="0" borderId="0" xfId="20961" applyFont="1"/>
    <xf numFmtId="164" fontId="124" fillId="0" borderId="87" xfId="7" applyNumberFormat="1" applyFont="1" applyBorder="1"/>
    <xf numFmtId="164" fontId="124" fillId="0" borderId="82" xfId="7" applyNumberFormat="1" applyFont="1" applyBorder="1"/>
    <xf numFmtId="164" fontId="128" fillId="0" borderId="87" xfId="7" applyNumberFormat="1" applyFont="1" applyBorder="1"/>
    <xf numFmtId="0" fontId="116" fillId="0" borderId="82" xfId="0" applyFont="1" applyBorder="1" applyAlignment="1">
      <alignment horizontal="center" vertical="center" wrapText="1"/>
    </xf>
    <xf numFmtId="0" fontId="9" fillId="0" borderId="102" xfId="0" applyFont="1" applyBorder="1" applyAlignment="1">
      <alignment vertical="center"/>
    </xf>
    <xf numFmtId="0" fontId="13" fillId="0" borderId="88" xfId="0" applyFont="1" applyBorder="1" applyAlignment="1">
      <alignment wrapText="1"/>
    </xf>
    <xf numFmtId="0" fontId="13" fillId="0" borderId="87" xfId="0" applyFont="1" applyBorder="1" applyAlignment="1">
      <alignment wrapText="1"/>
    </xf>
    <xf numFmtId="10" fontId="4" fillId="0" borderId="24" xfId="20961" applyNumberFormat="1" applyFont="1" applyBorder="1" applyAlignment="1"/>
    <xf numFmtId="0" fontId="9" fillId="0" borderId="95" xfId="0" applyFont="1" applyBorder="1" applyAlignment="1">
      <alignment vertical="center"/>
    </xf>
    <xf numFmtId="0" fontId="13" fillId="0" borderId="123" xfId="0" applyFont="1" applyBorder="1" applyAlignment="1">
      <alignment wrapText="1"/>
    </xf>
    <xf numFmtId="10" fontId="4" fillId="0" borderId="100" xfId="20961" applyNumberFormat="1" applyFont="1" applyBorder="1" applyAlignment="1"/>
    <xf numFmtId="10" fontId="4" fillId="0" borderId="75" xfId="20961" applyNumberFormat="1" applyFont="1" applyBorder="1" applyAlignment="1"/>
    <xf numFmtId="10" fontId="4" fillId="0" borderId="27" xfId="20961" applyNumberFormat="1" applyFont="1" applyBorder="1" applyAlignment="1"/>
    <xf numFmtId="0" fontId="13" fillId="0" borderId="28" xfId="0" applyFont="1" applyFill="1" applyBorder="1" applyAlignment="1">
      <alignment wrapText="1"/>
    </xf>
    <xf numFmtId="193" fontId="9" fillId="0" borderId="82" xfId="0" applyNumberFormat="1" applyFont="1" applyFill="1" applyBorder="1" applyAlignment="1" applyProtection="1">
      <alignment vertical="center"/>
      <protection locked="0"/>
    </xf>
    <xf numFmtId="0" fontId="115" fillId="0" borderId="0" xfId="11" applyFont="1"/>
    <xf numFmtId="0" fontId="117" fillId="0" borderId="0" xfId="11" applyFont="1"/>
    <xf numFmtId="0" fontId="126" fillId="0" borderId="120" xfId="0" applyFont="1" applyBorder="1" applyAlignment="1">
      <alignment vertical="center" wrapText="1" readingOrder="1"/>
    </xf>
    <xf numFmtId="0" fontId="126" fillId="0" borderId="121" xfId="0" applyFont="1" applyBorder="1" applyAlignment="1">
      <alignment vertical="center" wrapText="1" readingOrder="1"/>
    </xf>
    <xf numFmtId="0" fontId="124" fillId="0" borderId="87" xfId="0" applyFont="1" applyBorder="1" applyAlignment="1">
      <alignment horizontal="left" indent="3"/>
    </xf>
    <xf numFmtId="0" fontId="126" fillId="0" borderId="121" xfId="0" applyFont="1" applyBorder="1" applyAlignment="1">
      <alignment horizontal="left" vertical="center" wrapText="1" indent="1" readingOrder="1"/>
    </xf>
    <xf numFmtId="0" fontId="126" fillId="0" borderId="122" xfId="0" applyFont="1" applyBorder="1" applyAlignment="1">
      <alignment vertical="center" wrapText="1" readingOrder="1"/>
    </xf>
    <xf numFmtId="0" fontId="127" fillId="0" borderId="87" xfId="0" applyFont="1" applyBorder="1" applyAlignment="1">
      <alignment vertical="center" wrapText="1" readingOrder="1"/>
    </xf>
    <xf numFmtId="10" fontId="124" fillId="0" borderId="87" xfId="20961" applyNumberFormat="1" applyFont="1" applyBorder="1"/>
    <xf numFmtId="43" fontId="124" fillId="0" borderId="87" xfId="7" applyNumberFormat="1" applyFont="1" applyBorder="1"/>
    <xf numFmtId="10" fontId="128" fillId="0" borderId="87" xfId="20961" applyNumberFormat="1" applyFont="1" applyBorder="1" applyAlignment="1">
      <alignment horizontal="center"/>
    </xf>
    <xf numFmtId="43" fontId="124" fillId="0" borderId="87" xfId="7" applyNumberFormat="1" applyFont="1" applyBorder="1" applyAlignment="1">
      <alignment horizontal="center"/>
    </xf>
    <xf numFmtId="43" fontId="124" fillId="0" borderId="82" xfId="7" applyNumberFormat="1" applyFont="1" applyBorder="1" applyAlignment="1">
      <alignment horizontal="center"/>
    </xf>
    <xf numFmtId="43" fontId="128" fillId="0" borderId="87" xfId="7" applyNumberFormat="1" applyFont="1" applyBorder="1" applyAlignment="1">
      <alignment horizontal="center"/>
    </xf>
    <xf numFmtId="9" fontId="124" fillId="0" borderId="87" xfId="20961" applyNumberFormat="1" applyFont="1" applyBorder="1" applyAlignment="1">
      <alignment horizontal="center"/>
    </xf>
    <xf numFmtId="9" fontId="124" fillId="0" borderId="87" xfId="20961" applyNumberFormat="1" applyFont="1" applyBorder="1"/>
    <xf numFmtId="9" fontId="124" fillId="0" borderId="82" xfId="20961" applyNumberFormat="1" applyFont="1" applyBorder="1" applyAlignment="1">
      <alignment horizontal="center"/>
    </xf>
    <xf numFmtId="9" fontId="9" fillId="0" borderId="26" xfId="20961" applyNumberFormat="1" applyFont="1" applyFill="1" applyBorder="1" applyAlignment="1" applyProtection="1">
      <alignment vertical="center"/>
      <protection locked="0"/>
    </xf>
    <xf numFmtId="193" fontId="4" fillId="0" borderId="0" xfId="0" applyNumberFormat="1" applyFont="1"/>
    <xf numFmtId="164" fontId="6" fillId="0" borderId="87" xfId="7" applyNumberFormat="1" applyFont="1" applyBorder="1"/>
    <xf numFmtId="164" fontId="6" fillId="0" borderId="87" xfId="7" applyNumberFormat="1" applyFont="1" applyBorder="1" applyAlignment="1">
      <alignment vertical="center"/>
    </xf>
    <xf numFmtId="43" fontId="116" fillId="0" borderId="0" xfId="7" applyNumberFormat="1" applyFont="1"/>
    <xf numFmtId="43" fontId="116" fillId="0" borderId="0" xfId="0" applyNumberFormat="1" applyFont="1"/>
    <xf numFmtId="164" fontId="116" fillId="0" borderId="0" xfId="7" applyNumberFormat="1" applyFont="1"/>
    <xf numFmtId="43" fontId="119" fillId="0" borderId="0" xfId="0" applyNumberFormat="1" applyFont="1"/>
    <xf numFmtId="10" fontId="116" fillId="0" borderId="0" xfId="20961" applyNumberFormat="1" applyFont="1"/>
    <xf numFmtId="166" fontId="115" fillId="36" borderId="125" xfId="21413" applyFont="1" applyFill="1" applyBorder="1"/>
    <xf numFmtId="43" fontId="116" fillId="0" borderId="0" xfId="0" applyNumberFormat="1" applyFont="1" applyBorder="1"/>
    <xf numFmtId="164" fontId="4" fillId="0" borderId="100" xfId="7" applyNumberFormat="1" applyFont="1" applyFill="1" applyBorder="1" applyAlignment="1"/>
    <xf numFmtId="164" fontId="4" fillId="0" borderId="100" xfId="7" applyNumberFormat="1" applyFont="1" applyFill="1" applyBorder="1"/>
    <xf numFmtId="164" fontId="4" fillId="0" borderId="0" xfId="0" applyNumberFormat="1" applyFont="1"/>
    <xf numFmtId="194" fontId="115" fillId="36" borderId="125" xfId="21413" applyNumberFormat="1" applyFont="1" applyFill="1" applyBorder="1"/>
    <xf numFmtId="164" fontId="116" fillId="83" borderId="87" xfId="7" applyNumberFormat="1" applyFont="1" applyFill="1" applyBorder="1"/>
    <xf numFmtId="3" fontId="23" fillId="0" borderId="88" xfId="0" applyNumberFormat="1" applyFont="1" applyFill="1" applyBorder="1" applyAlignment="1">
      <alignment vertical="center" wrapText="1"/>
    </xf>
    <xf numFmtId="14" fontId="4" fillId="0" borderId="0" xfId="0" applyNumberFormat="1" applyFont="1" applyAlignment="1">
      <alignment horizontal="left"/>
    </xf>
    <xf numFmtId="193" fontId="107" fillId="0" borderId="3" xfId="0" applyNumberFormat="1" applyFont="1" applyBorder="1" applyAlignment="1"/>
    <xf numFmtId="193" fontId="107" fillId="0" borderId="8" xfId="0" applyNumberFormat="1" applyFont="1" applyBorder="1" applyAlignment="1"/>
    <xf numFmtId="43" fontId="107" fillId="0" borderId="3" xfId="7" applyFont="1" applyBorder="1" applyAlignment="1"/>
    <xf numFmtId="193" fontId="107" fillId="0" borderId="3" xfId="0" applyNumberFormat="1" applyFont="1" applyFill="1" applyBorder="1" applyAlignment="1"/>
    <xf numFmtId="193" fontId="107" fillId="36" borderId="26" xfId="0" applyNumberFormat="1" applyFont="1" applyFill="1" applyBorder="1"/>
    <xf numFmtId="164" fontId="4" fillId="0" borderId="0" xfId="7" applyNumberFormat="1" applyFont="1" applyFill="1" applyBorder="1"/>
    <xf numFmtId="164" fontId="0" fillId="0" borderId="0" xfId="0" applyNumberFormat="1"/>
    <xf numFmtId="164" fontId="0" fillId="0" borderId="0" xfId="7" applyNumberFormat="1" applyFont="1"/>
    <xf numFmtId="164" fontId="3" fillId="0" borderId="0" xfId="7" applyNumberFormat="1" applyFont="1"/>
    <xf numFmtId="164" fontId="6" fillId="0" borderId="87" xfId="7" applyNumberFormat="1" applyFont="1" applyFill="1" applyBorder="1"/>
    <xf numFmtId="164" fontId="6" fillId="0" borderId="87" xfId="7" applyNumberFormat="1" applyFont="1" applyFill="1" applyBorder="1" applyAlignment="1">
      <alignment vertical="center"/>
    </xf>
    <xf numFmtId="0" fontId="4" fillId="84" borderId="77" xfId="0" applyFont="1" applyFill="1" applyBorder="1" applyAlignment="1">
      <alignment horizontal="center" vertical="center"/>
    </xf>
    <xf numFmtId="0" fontId="4" fillId="84" borderId="102" xfId="0" applyFont="1" applyFill="1" applyBorder="1" applyAlignment="1">
      <alignment horizontal="center" vertical="center"/>
    </xf>
    <xf numFmtId="193" fontId="9" fillId="0" borderId="87" xfId="0" applyNumberFormat="1" applyFont="1" applyFill="1" applyBorder="1" applyAlignment="1" applyProtection="1">
      <alignment vertical="center"/>
      <protection locked="0"/>
    </xf>
    <xf numFmtId="165" fontId="9" fillId="0" borderId="87" xfId="20961" applyNumberFormat="1" applyFont="1" applyFill="1" applyBorder="1" applyAlignment="1" applyProtection="1">
      <alignment vertical="center"/>
      <protection locked="0"/>
    </xf>
    <xf numFmtId="193" fontId="9" fillId="0" borderId="3" xfId="5" applyNumberFormat="1" applyFont="1" applyFill="1" applyBorder="1" applyProtection="1">
      <protection locked="0"/>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2"/>
    </xf>
    <xf numFmtId="43" fontId="0" fillId="0" borderId="0" xfId="0" applyNumberFormat="1"/>
    <xf numFmtId="0" fontId="9" fillId="0" borderId="22" xfId="0" applyFont="1" applyFill="1" applyBorder="1" applyAlignment="1">
      <alignment vertical="center"/>
    </xf>
    <xf numFmtId="0" fontId="13" fillId="0" borderId="8" xfId="0" applyFont="1" applyFill="1" applyBorder="1" applyAlignment="1">
      <alignment wrapText="1"/>
    </xf>
    <xf numFmtId="193" fontId="10" fillId="0" borderId="125" xfId="0" applyNumberFormat="1" applyFont="1" applyBorder="1" applyAlignment="1">
      <alignment horizontal="right"/>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0" xfId="0" applyFont="1" applyBorder="1" applyAlignment="1">
      <alignment horizontal="center" vertical="center" wrapText="1"/>
    </xf>
    <xf numFmtId="0" fontId="118" fillId="0" borderId="107"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10"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3"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9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xf>
    <xf numFmtId="0" fontId="123" fillId="0" borderId="83" xfId="0" applyFont="1" applyFill="1" applyBorder="1" applyAlignment="1">
      <alignment horizontal="center" vertical="center"/>
    </xf>
    <xf numFmtId="0" fontId="123" fillId="0" borderId="109"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5"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7"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09" xfId="0" applyNumberFormat="1" applyFont="1" applyFill="1" applyBorder="1" applyAlignment="1">
      <alignment horizontal="left" vertical="top" wrapText="1"/>
    </xf>
    <xf numFmtId="0" fontId="118" fillId="0" borderId="115" xfId="0" applyNumberFormat="1" applyFont="1" applyFill="1" applyBorder="1" applyAlignment="1">
      <alignment horizontal="left" vertical="top" wrapText="1"/>
    </xf>
    <xf numFmtId="0" fontId="118" fillId="0" borderId="116"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99" xfId="0" applyFont="1" applyFill="1" applyBorder="1" applyAlignment="1">
      <alignment horizontal="center" vertical="center"/>
    </xf>
    <xf numFmtId="0" fontId="116" fillId="0" borderId="109"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99"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99" xfId="0" applyFont="1" applyBorder="1" applyAlignment="1">
      <alignment horizontal="center" vertical="top" wrapText="1"/>
    </xf>
    <xf numFmtId="0" fontId="116" fillId="0" borderId="109"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8"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2" t="s">
        <v>253</v>
      </c>
      <c r="C1" s="91"/>
    </row>
    <row r="2" spans="1:3" s="179" customFormat="1" ht="15.75">
      <c r="A2" s="225">
        <v>1</v>
      </c>
      <c r="B2" s="180" t="s">
        <v>254</v>
      </c>
      <c r="C2" s="597" t="s">
        <v>739</v>
      </c>
    </row>
    <row r="3" spans="1:3" s="179" customFormat="1" ht="15.75">
      <c r="A3" s="225">
        <v>2</v>
      </c>
      <c r="B3" s="181" t="s">
        <v>255</v>
      </c>
      <c r="C3" s="598" t="s">
        <v>740</v>
      </c>
    </row>
    <row r="4" spans="1:3" s="179" customFormat="1" ht="15.75">
      <c r="A4" s="225">
        <v>3</v>
      </c>
      <c r="B4" s="181" t="s">
        <v>256</v>
      </c>
      <c r="C4" s="598" t="s">
        <v>741</v>
      </c>
    </row>
    <row r="5" spans="1:3" s="179" customFormat="1" ht="15.75">
      <c r="A5" s="226">
        <v>4</v>
      </c>
      <c r="B5" s="184" t="s">
        <v>257</v>
      </c>
      <c r="C5" s="394" t="s">
        <v>742</v>
      </c>
    </row>
    <row r="6" spans="1:3" s="183" customFormat="1" ht="65.25" customHeight="1">
      <c r="A6" s="713" t="s">
        <v>370</v>
      </c>
      <c r="B6" s="714"/>
      <c r="C6" s="714"/>
    </row>
    <row r="7" spans="1:3">
      <c r="A7" s="388" t="s">
        <v>326</v>
      </c>
      <c r="B7" s="389" t="s">
        <v>258</v>
      </c>
    </row>
    <row r="8" spans="1:3">
      <c r="A8" s="390">
        <v>1</v>
      </c>
      <c r="B8" s="386" t="s">
        <v>223</v>
      </c>
    </row>
    <row r="9" spans="1:3">
      <c r="A9" s="390">
        <v>2</v>
      </c>
      <c r="B9" s="386" t="s">
        <v>259</v>
      </c>
    </row>
    <row r="10" spans="1:3">
      <c r="A10" s="390">
        <v>3</v>
      </c>
      <c r="B10" s="386" t="s">
        <v>260</v>
      </c>
    </row>
    <row r="11" spans="1:3">
      <c r="A11" s="390">
        <v>4</v>
      </c>
      <c r="B11" s="386" t="s">
        <v>261</v>
      </c>
      <c r="C11" s="178"/>
    </row>
    <row r="12" spans="1:3">
      <c r="A12" s="390">
        <v>5</v>
      </c>
      <c r="B12" s="386" t="s">
        <v>187</v>
      </c>
    </row>
    <row r="13" spans="1:3">
      <c r="A13" s="390">
        <v>6</v>
      </c>
      <c r="B13" s="391" t="s">
        <v>149</v>
      </c>
    </row>
    <row r="14" spans="1:3">
      <c r="A14" s="390">
        <v>7</v>
      </c>
      <c r="B14" s="386" t="s">
        <v>262</v>
      </c>
    </row>
    <row r="15" spans="1:3">
      <c r="A15" s="390">
        <v>8</v>
      </c>
      <c r="B15" s="386" t="s">
        <v>265</v>
      </c>
    </row>
    <row r="16" spans="1:3">
      <c r="A16" s="390">
        <v>9</v>
      </c>
      <c r="B16" s="386" t="s">
        <v>88</v>
      </c>
    </row>
    <row r="17" spans="1:2">
      <c r="A17" s="392" t="s">
        <v>417</v>
      </c>
      <c r="B17" s="386" t="s">
        <v>397</v>
      </c>
    </row>
    <row r="18" spans="1:2">
      <c r="A18" s="390">
        <v>10</v>
      </c>
      <c r="B18" s="386" t="s">
        <v>268</v>
      </c>
    </row>
    <row r="19" spans="1:2">
      <c r="A19" s="390">
        <v>11</v>
      </c>
      <c r="B19" s="391" t="s">
        <v>249</v>
      </c>
    </row>
    <row r="20" spans="1:2">
      <c r="A20" s="390">
        <v>12</v>
      </c>
      <c r="B20" s="391" t="s">
        <v>246</v>
      </c>
    </row>
    <row r="21" spans="1:2">
      <c r="A21" s="390">
        <v>13</v>
      </c>
      <c r="B21" s="393" t="s">
        <v>361</v>
      </c>
    </row>
    <row r="22" spans="1:2">
      <c r="A22" s="390">
        <v>14</v>
      </c>
      <c r="B22" s="394" t="s">
        <v>391</v>
      </c>
    </row>
    <row r="23" spans="1:2">
      <c r="A23" s="395">
        <v>15</v>
      </c>
      <c r="B23" s="391" t="s">
        <v>77</v>
      </c>
    </row>
    <row r="24" spans="1:2">
      <c r="A24" s="395">
        <v>15.1</v>
      </c>
      <c r="B24" s="386" t="s">
        <v>426</v>
      </c>
    </row>
    <row r="25" spans="1:2">
      <c r="A25" s="395">
        <v>16</v>
      </c>
      <c r="B25" s="386" t="s">
        <v>494</v>
      </c>
    </row>
    <row r="26" spans="1:2">
      <c r="A26" s="395">
        <v>17</v>
      </c>
      <c r="B26" s="386" t="s">
        <v>703</v>
      </c>
    </row>
    <row r="27" spans="1:2">
      <c r="A27" s="395">
        <v>18</v>
      </c>
      <c r="B27" s="386" t="s">
        <v>712</v>
      </c>
    </row>
    <row r="28" spans="1:2">
      <c r="A28" s="395">
        <v>19</v>
      </c>
      <c r="B28" s="386" t="s">
        <v>713</v>
      </c>
    </row>
    <row r="29" spans="1:2">
      <c r="A29" s="395">
        <v>20</v>
      </c>
      <c r="B29" s="394" t="s">
        <v>589</v>
      </c>
    </row>
    <row r="30" spans="1:2">
      <c r="A30" s="395">
        <v>21</v>
      </c>
      <c r="B30" s="386" t="s">
        <v>607</v>
      </c>
    </row>
    <row r="31" spans="1:2">
      <c r="A31" s="395">
        <v>22</v>
      </c>
      <c r="B31" s="583" t="s">
        <v>624</v>
      </c>
    </row>
    <row r="32" spans="1:2" ht="26.25">
      <c r="A32" s="395">
        <v>23</v>
      </c>
      <c r="B32" s="583" t="s">
        <v>704</v>
      </c>
    </row>
    <row r="33" spans="1:2">
      <c r="A33" s="395">
        <v>24</v>
      </c>
      <c r="B33" s="386" t="s">
        <v>705</v>
      </c>
    </row>
    <row r="34" spans="1:2">
      <c r="A34" s="395">
        <v>25</v>
      </c>
      <c r="B34" s="386" t="s">
        <v>706</v>
      </c>
    </row>
    <row r="35" spans="1:2">
      <c r="A35" s="390">
        <v>26</v>
      </c>
      <c r="B35" s="394" t="s">
        <v>731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7674C52-CAC2-447F-9F91-80D1CB5F56D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Normal="100" workbookViewId="0">
      <pane xSplit="1" ySplit="5" topLeftCell="B42" activePane="bottomRight" state="frozen"/>
      <selection activeCell="D42" sqref="D42"/>
      <selection pane="topRight" activeCell="D42" sqref="D42"/>
      <selection pane="bottomLeft" activeCell="D42" sqref="D42"/>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188</v>
      </c>
      <c r="B1" s="16" t="str">
        <f>Info!C2</f>
        <v>სს "კრედო ბანკი"</v>
      </c>
      <c r="D1" s="2"/>
      <c r="E1" s="2"/>
      <c r="F1" s="2"/>
    </row>
    <row r="2" spans="1:6" s="21" customFormat="1" ht="15.75" customHeight="1">
      <c r="A2" s="21" t="s">
        <v>189</v>
      </c>
      <c r="B2" s="690">
        <f>'1. key ratios'!B2</f>
        <v>44742</v>
      </c>
    </row>
    <row r="3" spans="1:6" s="21" customFormat="1" ht="15.75" customHeight="1"/>
    <row r="4" spans="1:6" ht="15.75" thickBot="1">
      <c r="A4" s="5" t="s">
        <v>335</v>
      </c>
      <c r="B4" s="59" t="s">
        <v>88</v>
      </c>
    </row>
    <row r="5" spans="1:6">
      <c r="A5" s="132" t="s">
        <v>26</v>
      </c>
      <c r="B5" s="133"/>
      <c r="C5" s="134" t="s">
        <v>27</v>
      </c>
    </row>
    <row r="6" spans="1:6">
      <c r="A6" s="135">
        <v>1</v>
      </c>
      <c r="B6" s="80" t="s">
        <v>28</v>
      </c>
      <c r="C6" s="265">
        <f>SUM(C7:C11)</f>
        <v>211901899.62999988</v>
      </c>
    </row>
    <row r="7" spans="1:6">
      <c r="A7" s="135">
        <v>2</v>
      </c>
      <c r="B7" s="77" t="s">
        <v>29</v>
      </c>
      <c r="C7" s="266">
        <v>5176780</v>
      </c>
    </row>
    <row r="8" spans="1:6">
      <c r="A8" s="135">
        <v>3</v>
      </c>
      <c r="B8" s="71" t="s">
        <v>30</v>
      </c>
      <c r="C8" s="266">
        <v>35305300.5</v>
      </c>
    </row>
    <row r="9" spans="1:6">
      <c r="A9" s="135">
        <v>4</v>
      </c>
      <c r="B9" s="71" t="s">
        <v>31</v>
      </c>
      <c r="C9" s="266">
        <v>396459</v>
      </c>
    </row>
    <row r="10" spans="1:6">
      <c r="A10" s="135">
        <v>5</v>
      </c>
      <c r="B10" s="71" t="s">
        <v>32</v>
      </c>
      <c r="C10" s="266"/>
    </row>
    <row r="11" spans="1:6">
      <c r="A11" s="135">
        <v>6</v>
      </c>
      <c r="B11" s="78" t="s">
        <v>33</v>
      </c>
      <c r="C11" s="266">
        <v>171023360.12999988</v>
      </c>
    </row>
    <row r="12" spans="1:6" s="4" customFormat="1">
      <c r="A12" s="135">
        <v>7</v>
      </c>
      <c r="B12" s="80" t="s">
        <v>34</v>
      </c>
      <c r="C12" s="267">
        <f>SUM(C13:C27)</f>
        <v>13492468.710000001</v>
      </c>
    </row>
    <row r="13" spans="1:6" s="4" customFormat="1">
      <c r="A13" s="135">
        <v>8</v>
      </c>
      <c r="B13" s="79" t="s">
        <v>35</v>
      </c>
      <c r="C13" s="268">
        <v>396459</v>
      </c>
    </row>
    <row r="14" spans="1:6" s="4" customFormat="1" ht="25.5">
      <c r="A14" s="135">
        <v>9</v>
      </c>
      <c r="B14" s="72" t="s">
        <v>36</v>
      </c>
      <c r="C14" s="268"/>
    </row>
    <row r="15" spans="1:6" s="4" customFormat="1">
      <c r="A15" s="135">
        <v>10</v>
      </c>
      <c r="B15" s="73" t="s">
        <v>37</v>
      </c>
      <c r="C15" s="268">
        <v>13096009.710000001</v>
      </c>
    </row>
    <row r="16" spans="1:6" s="4" customFormat="1">
      <c r="A16" s="135">
        <v>11</v>
      </c>
      <c r="B16" s="74" t="s">
        <v>38</v>
      </c>
      <c r="C16" s="268"/>
    </row>
    <row r="17" spans="1:3" s="4" customFormat="1">
      <c r="A17" s="135">
        <v>12</v>
      </c>
      <c r="B17" s="73" t="s">
        <v>39</v>
      </c>
      <c r="C17" s="268"/>
    </row>
    <row r="18" spans="1:3" s="4" customFormat="1">
      <c r="A18" s="135">
        <v>13</v>
      </c>
      <c r="B18" s="73" t="s">
        <v>40</v>
      </c>
      <c r="C18" s="268"/>
    </row>
    <row r="19" spans="1:3" s="4" customFormat="1">
      <c r="A19" s="135">
        <v>14</v>
      </c>
      <c r="B19" s="73" t="s">
        <v>41</v>
      </c>
      <c r="C19" s="268"/>
    </row>
    <row r="20" spans="1:3" s="4" customFormat="1" ht="25.5">
      <c r="A20" s="135">
        <v>15</v>
      </c>
      <c r="B20" s="73" t="s">
        <v>42</v>
      </c>
      <c r="C20" s="268"/>
    </row>
    <row r="21" spans="1:3" s="4" customFormat="1" ht="25.5">
      <c r="A21" s="135">
        <v>16</v>
      </c>
      <c r="B21" s="72" t="s">
        <v>43</v>
      </c>
      <c r="C21" s="268"/>
    </row>
    <row r="22" spans="1:3" s="4" customFormat="1">
      <c r="A22" s="135">
        <v>17</v>
      </c>
      <c r="B22" s="136" t="s">
        <v>44</v>
      </c>
      <c r="C22" s="268"/>
    </row>
    <row r="23" spans="1:3" s="4" customFormat="1" ht="25.5">
      <c r="A23" s="135">
        <v>18</v>
      </c>
      <c r="B23" s="72" t="s">
        <v>45</v>
      </c>
      <c r="C23" s="268"/>
    </row>
    <row r="24" spans="1:3" s="4" customFormat="1" ht="25.5">
      <c r="A24" s="135">
        <v>19</v>
      </c>
      <c r="B24" s="72" t="s">
        <v>46</v>
      </c>
      <c r="C24" s="268"/>
    </row>
    <row r="25" spans="1:3" s="4" customFormat="1" ht="25.5">
      <c r="A25" s="135">
        <v>20</v>
      </c>
      <c r="B25" s="75" t="s">
        <v>47</v>
      </c>
      <c r="C25" s="268"/>
    </row>
    <row r="26" spans="1:3" s="4" customFormat="1">
      <c r="A26" s="135">
        <v>21</v>
      </c>
      <c r="B26" s="75" t="s">
        <v>48</v>
      </c>
      <c r="C26" s="268"/>
    </row>
    <row r="27" spans="1:3" s="4" customFormat="1" ht="25.5">
      <c r="A27" s="135">
        <v>22</v>
      </c>
      <c r="B27" s="75" t="s">
        <v>49</v>
      </c>
      <c r="C27" s="268"/>
    </row>
    <row r="28" spans="1:3" s="4" customFormat="1">
      <c r="A28" s="135">
        <v>23</v>
      </c>
      <c r="B28" s="81" t="s">
        <v>23</v>
      </c>
      <c r="C28" s="267">
        <f>C6-C12</f>
        <v>198409430.91999987</v>
      </c>
    </row>
    <row r="29" spans="1:3" s="4" customFormat="1">
      <c r="A29" s="137"/>
      <c r="B29" s="76"/>
      <c r="C29" s="268"/>
    </row>
    <row r="30" spans="1:3" s="4" customFormat="1">
      <c r="A30" s="137">
        <v>24</v>
      </c>
      <c r="B30" s="81" t="s">
        <v>50</v>
      </c>
      <c r="C30" s="267">
        <f>C31+C34</f>
        <v>0</v>
      </c>
    </row>
    <row r="31" spans="1:3" s="4" customFormat="1">
      <c r="A31" s="137">
        <v>25</v>
      </c>
      <c r="B31" s="71" t="s">
        <v>51</v>
      </c>
      <c r="C31" s="269">
        <f>C32+C33</f>
        <v>0</v>
      </c>
    </row>
    <row r="32" spans="1:3" s="4" customFormat="1">
      <c r="A32" s="137">
        <v>26</v>
      </c>
      <c r="B32" s="176" t="s">
        <v>52</v>
      </c>
      <c r="C32" s="268"/>
    </row>
    <row r="33" spans="1:3" s="4" customFormat="1">
      <c r="A33" s="137">
        <v>27</v>
      </c>
      <c r="B33" s="176" t="s">
        <v>53</v>
      </c>
      <c r="C33" s="268"/>
    </row>
    <row r="34" spans="1:3" s="4" customFormat="1">
      <c r="A34" s="137">
        <v>28</v>
      </c>
      <c r="B34" s="71" t="s">
        <v>54</v>
      </c>
      <c r="C34" s="268"/>
    </row>
    <row r="35" spans="1:3" s="4" customFormat="1">
      <c r="A35" s="137">
        <v>29</v>
      </c>
      <c r="B35" s="81" t="s">
        <v>55</v>
      </c>
      <c r="C35" s="267">
        <f>SUM(C36:C40)</f>
        <v>0</v>
      </c>
    </row>
    <row r="36" spans="1:3" s="4" customFormat="1">
      <c r="A36" s="137">
        <v>30</v>
      </c>
      <c r="B36" s="72" t="s">
        <v>56</v>
      </c>
      <c r="C36" s="268"/>
    </row>
    <row r="37" spans="1:3" s="4" customFormat="1">
      <c r="A37" s="137">
        <v>31</v>
      </c>
      <c r="B37" s="73" t="s">
        <v>57</v>
      </c>
      <c r="C37" s="268"/>
    </row>
    <row r="38" spans="1:3" s="4" customFormat="1" ht="25.5">
      <c r="A38" s="137">
        <v>32</v>
      </c>
      <c r="B38" s="72" t="s">
        <v>58</v>
      </c>
      <c r="C38" s="268"/>
    </row>
    <row r="39" spans="1:3" s="4" customFormat="1" ht="25.5">
      <c r="A39" s="137">
        <v>33</v>
      </c>
      <c r="B39" s="72" t="s">
        <v>46</v>
      </c>
      <c r="C39" s="268"/>
    </row>
    <row r="40" spans="1:3" s="4" customFormat="1" ht="25.5">
      <c r="A40" s="137">
        <v>34</v>
      </c>
      <c r="B40" s="75" t="s">
        <v>59</v>
      </c>
      <c r="C40" s="268"/>
    </row>
    <row r="41" spans="1:3" s="4" customFormat="1">
      <c r="A41" s="137">
        <v>35</v>
      </c>
      <c r="B41" s="81" t="s">
        <v>24</v>
      </c>
      <c r="C41" s="267">
        <f>C30-C35</f>
        <v>0</v>
      </c>
    </row>
    <row r="42" spans="1:3" s="4" customFormat="1">
      <c r="A42" s="137"/>
      <c r="B42" s="76"/>
      <c r="C42" s="268"/>
    </row>
    <row r="43" spans="1:3" s="4" customFormat="1">
      <c r="A43" s="137">
        <v>36</v>
      </c>
      <c r="B43" s="82" t="s">
        <v>60</v>
      </c>
      <c r="C43" s="267">
        <f>SUM(C44:C46)</f>
        <v>89580508.263613239</v>
      </c>
    </row>
    <row r="44" spans="1:3" s="4" customFormat="1">
      <c r="A44" s="137">
        <v>37</v>
      </c>
      <c r="B44" s="71" t="s">
        <v>61</v>
      </c>
      <c r="C44" s="268">
        <v>71977496</v>
      </c>
    </row>
    <row r="45" spans="1:3" s="4" customFormat="1">
      <c r="A45" s="137">
        <v>38</v>
      </c>
      <c r="B45" s="71" t="s">
        <v>62</v>
      </c>
      <c r="C45" s="268"/>
    </row>
    <row r="46" spans="1:3" s="4" customFormat="1">
      <c r="A46" s="137">
        <v>39</v>
      </c>
      <c r="B46" s="71" t="s">
        <v>63</v>
      </c>
      <c r="C46" s="268">
        <v>17603012.263613243</v>
      </c>
    </row>
    <row r="47" spans="1:3" s="4" customFormat="1">
      <c r="A47" s="137">
        <v>40</v>
      </c>
      <c r="B47" s="82" t="s">
        <v>64</v>
      </c>
      <c r="C47" s="267">
        <f>SUM(C48:C51)</f>
        <v>0</v>
      </c>
    </row>
    <row r="48" spans="1:3" s="4" customFormat="1">
      <c r="A48" s="137">
        <v>41</v>
      </c>
      <c r="B48" s="72" t="s">
        <v>65</v>
      </c>
      <c r="C48" s="268"/>
    </row>
    <row r="49" spans="1:3" s="4" customFormat="1">
      <c r="A49" s="137">
        <v>42</v>
      </c>
      <c r="B49" s="73" t="s">
        <v>66</v>
      </c>
      <c r="C49" s="268"/>
    </row>
    <row r="50" spans="1:3" s="4" customFormat="1" ht="25.5">
      <c r="A50" s="137">
        <v>43</v>
      </c>
      <c r="B50" s="72" t="s">
        <v>67</v>
      </c>
      <c r="C50" s="268"/>
    </row>
    <row r="51" spans="1:3" s="4" customFormat="1" ht="25.5">
      <c r="A51" s="137">
        <v>44</v>
      </c>
      <c r="B51" s="72" t="s">
        <v>46</v>
      </c>
      <c r="C51" s="268"/>
    </row>
    <row r="52" spans="1:3" s="4" customFormat="1" ht="15.75" thickBot="1">
      <c r="A52" s="138">
        <v>45</v>
      </c>
      <c r="B52" s="139" t="s">
        <v>25</v>
      </c>
      <c r="C52" s="270">
        <f>C43-C47</f>
        <v>89580508.263613239</v>
      </c>
    </row>
    <row r="55" spans="1:3">
      <c r="B55" s="2"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C15" sqref="C15:C17"/>
    </sheetView>
  </sheetViews>
  <sheetFormatPr defaultColWidth="9.140625" defaultRowHeight="12.75"/>
  <cols>
    <col min="1" max="1" width="10.85546875" style="335" bestFit="1" customWidth="1"/>
    <col min="2" max="2" width="59" style="335" customWidth="1"/>
    <col min="3" max="3" width="16.7109375" style="335" bestFit="1" customWidth="1"/>
    <col min="4" max="4" width="22.140625" style="335" customWidth="1"/>
    <col min="5" max="16384" width="9.140625" style="335"/>
  </cols>
  <sheetData>
    <row r="1" spans="1:4" ht="15">
      <c r="A1" s="17" t="s">
        <v>188</v>
      </c>
      <c r="B1" s="16" t="str">
        <f>Info!C2</f>
        <v>სს "კრედო ბანკი"</v>
      </c>
    </row>
    <row r="2" spans="1:4" s="21" customFormat="1" ht="15.75" customHeight="1">
      <c r="A2" s="21" t="s">
        <v>189</v>
      </c>
      <c r="B2" s="469">
        <f>'1. key ratios'!B2</f>
        <v>44742</v>
      </c>
    </row>
    <row r="3" spans="1:4" s="21" customFormat="1" ht="15.75" customHeight="1"/>
    <row r="4" spans="1:4" ht="13.5" thickBot="1">
      <c r="A4" s="336" t="s">
        <v>396</v>
      </c>
      <c r="B4" s="373" t="s">
        <v>397</v>
      </c>
    </row>
    <row r="5" spans="1:4" s="374" customFormat="1">
      <c r="A5" s="730" t="s">
        <v>398</v>
      </c>
      <c r="B5" s="731"/>
      <c r="C5" s="363" t="s">
        <v>399</v>
      </c>
      <c r="D5" s="364" t="s">
        <v>400</v>
      </c>
    </row>
    <row r="6" spans="1:4" s="375" customFormat="1">
      <c r="A6" s="365">
        <v>1</v>
      </c>
      <c r="B6" s="366" t="s">
        <v>401</v>
      </c>
      <c r="C6" s="366"/>
      <c r="D6" s="367"/>
    </row>
    <row r="7" spans="1:4" s="375" customFormat="1">
      <c r="A7" s="368" t="s">
        <v>402</v>
      </c>
      <c r="B7" s="369" t="s">
        <v>403</v>
      </c>
      <c r="C7" s="424">
        <v>4.4999999999999998E-2</v>
      </c>
      <c r="D7" s="607">
        <f>C7*'5. RWA'!$C$13</f>
        <v>79242117.376016095</v>
      </c>
    </row>
    <row r="8" spans="1:4" s="375" customFormat="1">
      <c r="A8" s="368" t="s">
        <v>404</v>
      </c>
      <c r="B8" s="369" t="s">
        <v>405</v>
      </c>
      <c r="C8" s="425">
        <v>0.06</v>
      </c>
      <c r="D8" s="607">
        <f>C8*'5. RWA'!$C$13</f>
        <v>105656156.5013548</v>
      </c>
    </row>
    <row r="9" spans="1:4" s="375" customFormat="1">
      <c r="A9" s="368" t="s">
        <v>406</v>
      </c>
      <c r="B9" s="369" t="s">
        <v>407</v>
      </c>
      <c r="C9" s="425">
        <v>0.08</v>
      </c>
      <c r="D9" s="607">
        <f>C9*'5. RWA'!$C$13</f>
        <v>140874875.33513972</v>
      </c>
    </row>
    <row r="10" spans="1:4" s="375" customFormat="1">
      <c r="A10" s="365" t="s">
        <v>408</v>
      </c>
      <c r="B10" s="366" t="s">
        <v>409</v>
      </c>
      <c r="C10" s="426"/>
      <c r="D10" s="422"/>
    </row>
    <row r="11" spans="1:4" s="376" customFormat="1">
      <c r="A11" s="370" t="s">
        <v>410</v>
      </c>
      <c r="B11" s="371" t="s">
        <v>472</v>
      </c>
      <c r="C11" s="427">
        <v>2.5000000000000001E-2</v>
      </c>
      <c r="D11" s="608">
        <f>C11*'5. RWA'!$C$13</f>
        <v>44023398.542231172</v>
      </c>
    </row>
    <row r="12" spans="1:4" s="376" customFormat="1">
      <c r="A12" s="370" t="s">
        <v>411</v>
      </c>
      <c r="B12" s="371" t="s">
        <v>412</v>
      </c>
      <c r="C12" s="427">
        <v>0</v>
      </c>
      <c r="D12" s="608">
        <f>C12*'5. RWA'!$C$13</f>
        <v>0</v>
      </c>
    </row>
    <row r="13" spans="1:4" s="376" customFormat="1">
      <c r="A13" s="370" t="s">
        <v>413</v>
      </c>
      <c r="B13" s="371" t="s">
        <v>414</v>
      </c>
      <c r="C13" s="427">
        <v>0</v>
      </c>
      <c r="D13" s="608">
        <f>C13*'5. RWA'!$C$13</f>
        <v>0</v>
      </c>
    </row>
    <row r="14" spans="1:4" s="375" customFormat="1">
      <c r="A14" s="365" t="s">
        <v>415</v>
      </c>
      <c r="B14" s="366" t="s">
        <v>470</v>
      </c>
      <c r="C14" s="428"/>
      <c r="D14" s="422"/>
    </row>
    <row r="15" spans="1:4" s="375" customFormat="1">
      <c r="A15" s="387" t="s">
        <v>418</v>
      </c>
      <c r="B15" s="371" t="s">
        <v>471</v>
      </c>
      <c r="C15" s="427">
        <v>1.4254906120513002E-2</v>
      </c>
      <c r="D15" s="608">
        <f>C15*'5. RWA'!$C$13</f>
        <v>25101976.533017367</v>
      </c>
    </row>
    <row r="16" spans="1:4" s="375" customFormat="1">
      <c r="A16" s="387" t="s">
        <v>419</v>
      </c>
      <c r="B16" s="371" t="s">
        <v>421</v>
      </c>
      <c r="C16" s="427">
        <v>1.9016392125687055E-2</v>
      </c>
      <c r="D16" s="608">
        <f>C16*'5. RWA'!$C$13</f>
        <v>33486648.375378709</v>
      </c>
    </row>
    <row r="17" spans="1:6" s="375" customFormat="1">
      <c r="A17" s="387" t="s">
        <v>420</v>
      </c>
      <c r="B17" s="371" t="s">
        <v>468</v>
      </c>
      <c r="C17" s="427">
        <v>3.0955189500916074E-2</v>
      </c>
      <c r="D17" s="608">
        <f>C17*'5. RWA'!$C$13</f>
        <v>54510105.773964725</v>
      </c>
    </row>
    <row r="18" spans="1:6" s="374" customFormat="1">
      <c r="A18" s="732" t="s">
        <v>469</v>
      </c>
      <c r="B18" s="733"/>
      <c r="C18" s="429" t="s">
        <v>399</v>
      </c>
      <c r="D18" s="423" t="s">
        <v>400</v>
      </c>
    </row>
    <row r="19" spans="1:6" s="375" customFormat="1">
      <c r="A19" s="372">
        <v>4</v>
      </c>
      <c r="B19" s="371" t="s">
        <v>23</v>
      </c>
      <c r="C19" s="427">
        <f>C7+C11+C12+C13+C15</f>
        <v>8.4254906120513007E-2</v>
      </c>
      <c r="D19" s="607">
        <f>C19*'5. RWA'!$C$13</f>
        <v>148367492.45126465</v>
      </c>
    </row>
    <row r="20" spans="1:6" s="375" customFormat="1">
      <c r="A20" s="372">
        <v>5</v>
      </c>
      <c r="B20" s="371" t="s">
        <v>89</v>
      </c>
      <c r="C20" s="427">
        <f>C8+C11+C12+C13+C16</f>
        <v>0.10401639212568704</v>
      </c>
      <c r="D20" s="607">
        <f>C20*'5. RWA'!$C$13</f>
        <v>183166203.41896465</v>
      </c>
    </row>
    <row r="21" spans="1:6" s="375" customFormat="1" ht="13.5" thickBot="1">
      <c r="A21" s="377" t="s">
        <v>416</v>
      </c>
      <c r="B21" s="378" t="s">
        <v>88</v>
      </c>
      <c r="C21" s="430">
        <f>C9+C11+C12+C13+C17</f>
        <v>0.13595518950091609</v>
      </c>
      <c r="D21" s="609">
        <f>C21*'5. RWA'!$C$13</f>
        <v>239408379.65133566</v>
      </c>
    </row>
    <row r="22" spans="1:6">
      <c r="F22" s="336"/>
    </row>
    <row r="23" spans="1:6" ht="63.75">
      <c r="B23" s="23" t="s">
        <v>473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34" activePane="bottomRight" state="frozen"/>
      <selection pane="topRight" activeCell="B1" sqref="B1"/>
      <selection pane="bottomLeft" activeCell="A5" sqref="A5"/>
      <selection pane="bottomRight" activeCell="C38" sqref="C38:C44"/>
    </sheetView>
  </sheetViews>
  <sheetFormatPr defaultRowHeight="15.75"/>
  <cols>
    <col min="1" max="1" width="10.7109375" style="67" customWidth="1"/>
    <col min="2" max="2" width="91.85546875" style="67" customWidth="1"/>
    <col min="3" max="3" width="53.140625" style="67" customWidth="1"/>
    <col min="4" max="4" width="32.28515625" style="67" customWidth="1"/>
    <col min="5" max="5" width="9.42578125" customWidth="1"/>
  </cols>
  <sheetData>
    <row r="1" spans="1:6">
      <c r="A1" s="17" t="s">
        <v>188</v>
      </c>
      <c r="B1" s="19" t="str">
        <f>Info!C2</f>
        <v>სს "კრედო ბანკი"</v>
      </c>
      <c r="E1" s="2"/>
      <c r="F1" s="2"/>
    </row>
    <row r="2" spans="1:6" s="21" customFormat="1" ht="15.75" customHeight="1">
      <c r="A2" s="21" t="s">
        <v>189</v>
      </c>
      <c r="B2" s="469">
        <f>'1. key ratios'!B2</f>
        <v>44742</v>
      </c>
    </row>
    <row r="3" spans="1:6" s="21" customFormat="1" ht="15.75" customHeight="1">
      <c r="A3" s="26"/>
    </row>
    <row r="4" spans="1:6" s="21" customFormat="1" ht="15.75" customHeight="1" thickBot="1">
      <c r="A4" s="21" t="s">
        <v>336</v>
      </c>
      <c r="B4" s="199" t="s">
        <v>268</v>
      </c>
      <c r="D4" s="201" t="s">
        <v>93</v>
      </c>
    </row>
    <row r="5" spans="1:6" ht="38.25">
      <c r="A5" s="150" t="s">
        <v>26</v>
      </c>
      <c r="B5" s="151" t="s">
        <v>231</v>
      </c>
      <c r="C5" s="152" t="s">
        <v>236</v>
      </c>
      <c r="D5" s="200" t="s">
        <v>269</v>
      </c>
    </row>
    <row r="6" spans="1:6">
      <c r="A6" s="140">
        <v>1</v>
      </c>
      <c r="B6" s="83" t="s">
        <v>154</v>
      </c>
      <c r="C6" s="271">
        <v>71625012.519999996</v>
      </c>
      <c r="D6" s="141"/>
      <c r="E6" s="8"/>
    </row>
    <row r="7" spans="1:6">
      <c r="A7" s="140">
        <v>2</v>
      </c>
      <c r="B7" s="84" t="s">
        <v>155</v>
      </c>
      <c r="C7" s="272">
        <v>177868824.07999998</v>
      </c>
      <c r="D7" s="142"/>
      <c r="E7" s="8"/>
    </row>
    <row r="8" spans="1:6">
      <c r="A8" s="140">
        <v>3</v>
      </c>
      <c r="B8" s="84" t="s">
        <v>156</v>
      </c>
      <c r="C8" s="272">
        <v>29962387.149999999</v>
      </c>
      <c r="D8" s="142"/>
      <c r="E8" s="8"/>
    </row>
    <row r="9" spans="1:6">
      <c r="A9" s="140">
        <v>4</v>
      </c>
      <c r="B9" s="84" t="s">
        <v>185</v>
      </c>
      <c r="C9" s="272">
        <v>0</v>
      </c>
      <c r="D9" s="142"/>
      <c r="E9" s="8"/>
    </row>
    <row r="10" spans="1:6">
      <c r="A10" s="140">
        <v>5</v>
      </c>
      <c r="B10" s="84" t="s">
        <v>157</v>
      </c>
      <c r="C10" s="272">
        <v>47896657.43</v>
      </c>
      <c r="D10" s="142"/>
      <c r="E10" s="8"/>
    </row>
    <row r="11" spans="1:6">
      <c r="A11" s="140">
        <v>6.1</v>
      </c>
      <c r="B11" s="84" t="s">
        <v>158</v>
      </c>
      <c r="C11" s="273">
        <v>1624606421.5890002</v>
      </c>
      <c r="D11" s="143"/>
      <c r="E11" s="9"/>
    </row>
    <row r="12" spans="1:6">
      <c r="A12" s="140">
        <v>6.2</v>
      </c>
      <c r="B12" s="85" t="s">
        <v>159</v>
      </c>
      <c r="C12" s="273">
        <v>-66041279.032099999</v>
      </c>
      <c r="D12" s="143"/>
      <c r="E12" s="9"/>
    </row>
    <row r="13" spans="1:6">
      <c r="A13" s="140" t="s">
        <v>368</v>
      </c>
      <c r="B13" s="86" t="s">
        <v>369</v>
      </c>
      <c r="C13" s="273">
        <v>-29817788.456099998</v>
      </c>
      <c r="D13" s="227" t="s">
        <v>743</v>
      </c>
      <c r="E13" s="9"/>
    </row>
    <row r="14" spans="1:6">
      <c r="A14" s="140" t="s">
        <v>492</v>
      </c>
      <c r="B14" s="86" t="s">
        <v>481</v>
      </c>
      <c r="C14" s="273"/>
      <c r="D14" s="143"/>
      <c r="E14" s="9"/>
    </row>
    <row r="15" spans="1:6">
      <c r="A15" s="140">
        <v>6</v>
      </c>
      <c r="B15" s="84" t="s">
        <v>160</v>
      </c>
      <c r="C15" s="279">
        <f>C11+C12</f>
        <v>1558565142.5569003</v>
      </c>
      <c r="D15" s="143"/>
      <c r="E15" s="8"/>
    </row>
    <row r="16" spans="1:6">
      <c r="A16" s="140">
        <v>7</v>
      </c>
      <c r="B16" s="84" t="s">
        <v>161</v>
      </c>
      <c r="C16" s="272">
        <v>34061739.560000002</v>
      </c>
      <c r="D16" s="142"/>
      <c r="E16" s="8"/>
    </row>
    <row r="17" spans="1:5">
      <c r="A17" s="140">
        <v>8</v>
      </c>
      <c r="B17" s="84" t="s">
        <v>162</v>
      </c>
      <c r="C17" s="272">
        <v>2171163</v>
      </c>
      <c r="D17" s="142"/>
      <c r="E17" s="8"/>
    </row>
    <row r="18" spans="1:5">
      <c r="A18" s="140">
        <v>9</v>
      </c>
      <c r="B18" s="84" t="s">
        <v>163</v>
      </c>
      <c r="C18" s="272"/>
      <c r="D18" s="142"/>
      <c r="E18" s="8"/>
    </row>
    <row r="19" spans="1:5">
      <c r="A19" s="140">
        <v>9.1</v>
      </c>
      <c r="B19" s="86" t="s">
        <v>245</v>
      </c>
      <c r="C19" s="273"/>
      <c r="D19" s="142"/>
      <c r="E19" s="8"/>
    </row>
    <row r="20" spans="1:5">
      <c r="A20" s="140">
        <v>9.1999999999999993</v>
      </c>
      <c r="B20" s="86" t="s">
        <v>235</v>
      </c>
      <c r="C20" s="273"/>
      <c r="D20" s="142"/>
      <c r="E20" s="8"/>
    </row>
    <row r="21" spans="1:5">
      <c r="A21" s="140">
        <v>9.3000000000000007</v>
      </c>
      <c r="B21" s="86" t="s">
        <v>234</v>
      </c>
      <c r="C21" s="273"/>
      <c r="D21" s="142"/>
      <c r="E21" s="8"/>
    </row>
    <row r="22" spans="1:5">
      <c r="A22" s="140">
        <v>10</v>
      </c>
      <c r="B22" s="84" t="s">
        <v>164</v>
      </c>
      <c r="C22" s="272">
        <v>38989721.18999999</v>
      </c>
      <c r="D22" s="142"/>
      <c r="E22" s="8"/>
    </row>
    <row r="23" spans="1:5">
      <c r="A23" s="140">
        <v>10.1</v>
      </c>
      <c r="B23" s="86" t="s">
        <v>233</v>
      </c>
      <c r="C23" s="272">
        <v>13096009.710000001</v>
      </c>
      <c r="D23" s="227" t="s">
        <v>744</v>
      </c>
      <c r="E23" s="8"/>
    </row>
    <row r="24" spans="1:5">
      <c r="A24" s="140">
        <v>11</v>
      </c>
      <c r="B24" s="87" t="s">
        <v>165</v>
      </c>
      <c r="C24" s="272">
        <v>45847246.439999998</v>
      </c>
      <c r="D24" s="144"/>
      <c r="E24" s="8"/>
    </row>
    <row r="25" spans="1:5">
      <c r="A25" s="140">
        <v>12</v>
      </c>
      <c r="B25" s="89" t="s">
        <v>166</v>
      </c>
      <c r="C25" s="275">
        <f>SUM(C6:C10,C15:C18,C22,C24)</f>
        <v>2006987893.9269004</v>
      </c>
      <c r="D25" s="145"/>
      <c r="E25" s="7"/>
    </row>
    <row r="26" spans="1:5">
      <c r="A26" s="140">
        <v>13</v>
      </c>
      <c r="B26" s="84" t="s">
        <v>167</v>
      </c>
      <c r="C26" s="276">
        <v>3807570</v>
      </c>
      <c r="D26" s="146"/>
      <c r="E26" s="8"/>
    </row>
    <row r="27" spans="1:5">
      <c r="A27" s="140">
        <v>14</v>
      </c>
      <c r="B27" s="84" t="s">
        <v>168</v>
      </c>
      <c r="C27" s="272">
        <v>114206769.20590189</v>
      </c>
      <c r="D27" s="142"/>
      <c r="E27" s="8"/>
    </row>
    <row r="28" spans="1:5">
      <c r="A28" s="140">
        <v>15</v>
      </c>
      <c r="B28" s="84" t="s">
        <v>169</v>
      </c>
      <c r="C28" s="272">
        <v>30595037.241599768</v>
      </c>
      <c r="D28" s="142"/>
      <c r="E28" s="8"/>
    </row>
    <row r="29" spans="1:5">
      <c r="A29" s="140">
        <v>16</v>
      </c>
      <c r="B29" s="84" t="s">
        <v>170</v>
      </c>
      <c r="C29" s="272">
        <v>350727398.38469976</v>
      </c>
      <c r="D29" s="142"/>
      <c r="E29" s="8"/>
    </row>
    <row r="30" spans="1:5">
      <c r="A30" s="140">
        <v>17</v>
      </c>
      <c r="B30" s="84" t="s">
        <v>171</v>
      </c>
      <c r="C30" s="272">
        <v>0</v>
      </c>
      <c r="D30" s="142"/>
      <c r="E30" s="8"/>
    </row>
    <row r="31" spans="1:5">
      <c r="A31" s="140">
        <v>18</v>
      </c>
      <c r="B31" s="84" t="s">
        <v>172</v>
      </c>
      <c r="C31" s="272">
        <v>1088523405.4401481</v>
      </c>
      <c r="D31" s="142"/>
      <c r="E31" s="8"/>
    </row>
    <row r="32" spans="1:5">
      <c r="A32" s="140">
        <v>19</v>
      </c>
      <c r="B32" s="84" t="s">
        <v>173</v>
      </c>
      <c r="C32" s="272">
        <v>27926704.539999999</v>
      </c>
      <c r="D32" s="142"/>
      <c r="E32" s="8"/>
    </row>
    <row r="33" spans="1:5">
      <c r="A33" s="140">
        <v>20</v>
      </c>
      <c r="B33" s="84" t="s">
        <v>95</v>
      </c>
      <c r="C33" s="272">
        <v>93560579.339999989</v>
      </c>
      <c r="D33" s="142"/>
      <c r="E33" s="8"/>
    </row>
    <row r="34" spans="1:5">
      <c r="A34" s="593">
        <v>20.100000000000001</v>
      </c>
      <c r="B34" s="88" t="s">
        <v>715</v>
      </c>
      <c r="C34" s="274"/>
      <c r="D34" s="144"/>
      <c r="E34" s="8"/>
    </row>
    <row r="35" spans="1:5">
      <c r="A35" s="140">
        <v>21</v>
      </c>
      <c r="B35" s="87" t="s">
        <v>174</v>
      </c>
      <c r="C35" s="274">
        <v>85738530</v>
      </c>
      <c r="D35" s="144"/>
      <c r="E35" s="8"/>
    </row>
    <row r="36" spans="1:5">
      <c r="A36" s="140">
        <v>21.1</v>
      </c>
      <c r="B36" s="88" t="s">
        <v>714</v>
      </c>
      <c r="C36" s="277">
        <v>71977496</v>
      </c>
      <c r="D36" s="227" t="s">
        <v>745</v>
      </c>
      <c r="E36" s="8"/>
    </row>
    <row r="37" spans="1:5">
      <c r="A37" s="140">
        <v>22</v>
      </c>
      <c r="B37" s="89" t="s">
        <v>175</v>
      </c>
      <c r="C37" s="275">
        <f>SUM(C26:C35)</f>
        <v>1795085994.1523495</v>
      </c>
      <c r="D37" s="145"/>
      <c r="E37" s="7"/>
    </row>
    <row r="38" spans="1:5">
      <c r="A38" s="140">
        <v>23</v>
      </c>
      <c r="B38" s="87" t="s">
        <v>176</v>
      </c>
      <c r="C38" s="272">
        <v>5176780</v>
      </c>
      <c r="D38" s="227" t="s">
        <v>746</v>
      </c>
      <c r="E38" s="8"/>
    </row>
    <row r="39" spans="1:5">
      <c r="A39" s="140">
        <v>24</v>
      </c>
      <c r="B39" s="87" t="s">
        <v>177</v>
      </c>
      <c r="C39" s="272">
        <v>0</v>
      </c>
      <c r="D39" s="142"/>
      <c r="E39" s="8"/>
    </row>
    <row r="40" spans="1:5">
      <c r="A40" s="140">
        <v>25</v>
      </c>
      <c r="B40" s="87" t="s">
        <v>232</v>
      </c>
      <c r="C40" s="272">
        <v>0</v>
      </c>
      <c r="D40" s="142"/>
      <c r="E40" s="8"/>
    </row>
    <row r="41" spans="1:5">
      <c r="A41" s="140">
        <v>26</v>
      </c>
      <c r="B41" s="87" t="s">
        <v>179</v>
      </c>
      <c r="C41" s="272">
        <v>35305300.5</v>
      </c>
      <c r="D41" s="227" t="s">
        <v>781</v>
      </c>
      <c r="E41" s="8"/>
    </row>
    <row r="42" spans="1:5">
      <c r="A42" s="140">
        <v>27</v>
      </c>
      <c r="B42" s="87" t="s">
        <v>180</v>
      </c>
      <c r="C42" s="272">
        <v>0</v>
      </c>
      <c r="D42" s="142"/>
      <c r="E42" s="8"/>
    </row>
    <row r="43" spans="1:5">
      <c r="A43" s="140">
        <v>28</v>
      </c>
      <c r="B43" s="87" t="s">
        <v>181</v>
      </c>
      <c r="C43" s="272">
        <v>171023360.12999988</v>
      </c>
      <c r="D43" s="227" t="s">
        <v>747</v>
      </c>
      <c r="E43" s="8"/>
    </row>
    <row r="44" spans="1:5">
      <c r="A44" s="140">
        <v>29</v>
      </c>
      <c r="B44" s="87" t="s">
        <v>35</v>
      </c>
      <c r="C44" s="272">
        <v>396459</v>
      </c>
      <c r="D44" s="227" t="s">
        <v>748</v>
      </c>
      <c r="E44" s="8"/>
    </row>
    <row r="45" spans="1:5" ht="16.5" thickBot="1">
      <c r="A45" s="147">
        <v>30</v>
      </c>
      <c r="B45" s="148" t="s">
        <v>182</v>
      </c>
      <c r="C45" s="278">
        <f>SUM(C38:C44)</f>
        <v>211901899.62999988</v>
      </c>
      <c r="D45" s="149"/>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75" zoomScaleNormal="75" workbookViewId="0">
      <pane xSplit="2" ySplit="7" topLeftCell="E17"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27.28515625" style="2" customWidth="1"/>
    <col min="3" max="3" width="11.28515625" style="2" bestFit="1"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12.7109375" style="2" bestFit="1" customWidth="1"/>
    <col min="12" max="12" width="13.28515625" style="2" bestFit="1" customWidth="1"/>
    <col min="13" max="13" width="11.28515625" style="2" bestFit="1" customWidth="1"/>
    <col min="14" max="14" width="13.28515625" style="2" bestFit="1" customWidth="1"/>
    <col min="15" max="15" width="10.710937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3"/>
  </cols>
  <sheetData>
    <row r="1" spans="1:19">
      <c r="A1" s="2" t="s">
        <v>188</v>
      </c>
      <c r="B1" s="335" t="str">
        <f>Info!C2</f>
        <v>სს "კრედო ბანკი"</v>
      </c>
    </row>
    <row r="2" spans="1:19">
      <c r="A2" s="2" t="s">
        <v>189</v>
      </c>
      <c r="B2" s="469">
        <f>'1. key ratios'!B2</f>
        <v>44742</v>
      </c>
    </row>
    <row r="4" spans="1:19" ht="102.75" thickBot="1">
      <c r="A4" s="66" t="s">
        <v>337</v>
      </c>
      <c r="B4" s="306" t="s">
        <v>358</v>
      </c>
    </row>
    <row r="5" spans="1:19">
      <c r="A5" s="129"/>
      <c r="B5" s="131"/>
      <c r="C5" s="115" t="s">
        <v>0</v>
      </c>
      <c r="D5" s="115" t="s">
        <v>1</v>
      </c>
      <c r="E5" s="115" t="s">
        <v>2</v>
      </c>
      <c r="F5" s="115" t="s">
        <v>3</v>
      </c>
      <c r="G5" s="115" t="s">
        <v>4</v>
      </c>
      <c r="H5" s="115" t="s">
        <v>5</v>
      </c>
      <c r="I5" s="115" t="s">
        <v>237</v>
      </c>
      <c r="J5" s="115" t="s">
        <v>238</v>
      </c>
      <c r="K5" s="115" t="s">
        <v>239</v>
      </c>
      <c r="L5" s="115" t="s">
        <v>240</v>
      </c>
      <c r="M5" s="115" t="s">
        <v>241</v>
      </c>
      <c r="N5" s="115" t="s">
        <v>242</v>
      </c>
      <c r="O5" s="115" t="s">
        <v>345</v>
      </c>
      <c r="P5" s="115" t="s">
        <v>346</v>
      </c>
      <c r="Q5" s="115" t="s">
        <v>347</v>
      </c>
      <c r="R5" s="298" t="s">
        <v>348</v>
      </c>
      <c r="S5" s="116" t="s">
        <v>349</v>
      </c>
    </row>
    <row r="6" spans="1:19" ht="46.5" customHeight="1">
      <c r="A6" s="154"/>
      <c r="B6" s="738" t="s">
        <v>350</v>
      </c>
      <c r="C6" s="736">
        <v>0</v>
      </c>
      <c r="D6" s="737"/>
      <c r="E6" s="736">
        <v>0.2</v>
      </c>
      <c r="F6" s="737"/>
      <c r="G6" s="736">
        <v>0.35</v>
      </c>
      <c r="H6" s="737"/>
      <c r="I6" s="736">
        <v>0.5</v>
      </c>
      <c r="J6" s="737"/>
      <c r="K6" s="736">
        <v>0.75</v>
      </c>
      <c r="L6" s="737"/>
      <c r="M6" s="736">
        <v>1</v>
      </c>
      <c r="N6" s="737"/>
      <c r="O6" s="736">
        <v>1.5</v>
      </c>
      <c r="P6" s="737"/>
      <c r="Q6" s="736">
        <v>2.5</v>
      </c>
      <c r="R6" s="737"/>
      <c r="S6" s="734" t="s">
        <v>250</v>
      </c>
    </row>
    <row r="7" spans="1:19">
      <c r="A7" s="154"/>
      <c r="B7" s="739"/>
      <c r="C7" s="305" t="s">
        <v>343</v>
      </c>
      <c r="D7" s="305" t="s">
        <v>344</v>
      </c>
      <c r="E7" s="305" t="s">
        <v>343</v>
      </c>
      <c r="F7" s="305" t="s">
        <v>344</v>
      </c>
      <c r="G7" s="305" t="s">
        <v>343</v>
      </c>
      <c r="H7" s="305" t="s">
        <v>344</v>
      </c>
      <c r="I7" s="305" t="s">
        <v>343</v>
      </c>
      <c r="J7" s="305" t="s">
        <v>344</v>
      </c>
      <c r="K7" s="305" t="s">
        <v>343</v>
      </c>
      <c r="L7" s="305" t="s">
        <v>344</v>
      </c>
      <c r="M7" s="305" t="s">
        <v>343</v>
      </c>
      <c r="N7" s="305" t="s">
        <v>344</v>
      </c>
      <c r="O7" s="305" t="s">
        <v>343</v>
      </c>
      <c r="P7" s="305" t="s">
        <v>344</v>
      </c>
      <c r="Q7" s="305" t="s">
        <v>343</v>
      </c>
      <c r="R7" s="305" t="s">
        <v>344</v>
      </c>
      <c r="S7" s="735"/>
    </row>
    <row r="8" spans="1:19" s="158" customFormat="1" ht="63.75">
      <c r="A8" s="119">
        <v>1</v>
      </c>
      <c r="B8" s="72" t="s">
        <v>216</v>
      </c>
      <c r="C8" s="691">
        <v>179089583.91999999</v>
      </c>
      <c r="D8" s="691"/>
      <c r="E8" s="691"/>
      <c r="F8" s="692"/>
      <c r="G8" s="691"/>
      <c r="H8" s="691"/>
      <c r="I8" s="691"/>
      <c r="J8" s="691"/>
      <c r="K8" s="691"/>
      <c r="L8" s="691"/>
      <c r="M8" s="691">
        <v>21493017.509999998</v>
      </c>
      <c r="N8" s="691"/>
      <c r="O8" s="691"/>
      <c r="P8" s="691"/>
      <c r="Q8" s="691"/>
      <c r="R8" s="692"/>
      <c r="S8" s="310">
        <f>$C$6*SUM(C8:D8)+$E$6*SUM(E8:F8)+$G$6*SUM(G8:H8)+$I$6*SUM(I8:J8)+$K$6*SUM(K8:L8)+$M$6*SUM(M8:N8)+$O$6*SUM(O8:P8)+$Q$6*SUM(Q8:R8)</f>
        <v>21493017.509999998</v>
      </c>
    </row>
    <row r="9" spans="1:19" s="158" customFormat="1" ht="76.5">
      <c r="A9" s="119">
        <v>2</v>
      </c>
      <c r="B9" s="72" t="s">
        <v>217</v>
      </c>
      <c r="C9" s="693"/>
      <c r="D9" s="691"/>
      <c r="E9" s="691"/>
      <c r="F9" s="691"/>
      <c r="G9" s="691"/>
      <c r="H9" s="691"/>
      <c r="I9" s="691"/>
      <c r="J9" s="691"/>
      <c r="K9" s="691"/>
      <c r="L9" s="691"/>
      <c r="M9" s="691"/>
      <c r="N9" s="691"/>
      <c r="O9" s="691"/>
      <c r="P9" s="691"/>
      <c r="Q9" s="691"/>
      <c r="R9" s="692"/>
      <c r="S9" s="310">
        <f t="shared" ref="S9:S21" si="0">$C$6*SUM(C9:D9)+$E$6*SUM(E9:F9)+$G$6*SUM(G9:H9)+$I$6*SUM(I9:J9)+$K$6*SUM(K9:L9)+$M$6*SUM(M9:N9)+$O$6*SUM(O9:P9)+$Q$6*SUM(Q9:R9)</f>
        <v>0</v>
      </c>
    </row>
    <row r="10" spans="1:19" s="158" customFormat="1" ht="38.25">
      <c r="A10" s="119">
        <v>3</v>
      </c>
      <c r="B10" s="72" t="s">
        <v>218</v>
      </c>
      <c r="C10" s="691">
        <v>26140428.5</v>
      </c>
      <c r="D10" s="691"/>
      <c r="E10" s="691"/>
      <c r="F10" s="691"/>
      <c r="G10" s="691"/>
      <c r="H10" s="691"/>
      <c r="I10" s="691"/>
      <c r="J10" s="691"/>
      <c r="K10" s="691"/>
      <c r="L10" s="691"/>
      <c r="M10" s="691"/>
      <c r="N10" s="691"/>
      <c r="O10" s="691"/>
      <c r="P10" s="691"/>
      <c r="Q10" s="691"/>
      <c r="R10" s="692"/>
      <c r="S10" s="310">
        <f t="shared" si="0"/>
        <v>0</v>
      </c>
    </row>
    <row r="11" spans="1:19" s="158" customFormat="1" ht="51">
      <c r="A11" s="119">
        <v>4</v>
      </c>
      <c r="B11" s="72" t="s">
        <v>219</v>
      </c>
      <c r="C11" s="691"/>
      <c r="D11" s="691"/>
      <c r="E11" s="691"/>
      <c r="F11" s="691"/>
      <c r="G11" s="691"/>
      <c r="H11" s="691"/>
      <c r="I11" s="691"/>
      <c r="J11" s="691"/>
      <c r="K11" s="691"/>
      <c r="L11" s="691"/>
      <c r="M11" s="691"/>
      <c r="N11" s="691"/>
      <c r="O11" s="691"/>
      <c r="P11" s="691"/>
      <c r="Q11" s="691"/>
      <c r="R11" s="692"/>
      <c r="S11" s="310">
        <f t="shared" si="0"/>
        <v>0</v>
      </c>
    </row>
    <row r="12" spans="1:19" s="158" customFormat="1" ht="38.25">
      <c r="A12" s="119">
        <v>5</v>
      </c>
      <c r="B12" s="72" t="s">
        <v>220</v>
      </c>
      <c r="C12" s="691"/>
      <c r="D12" s="691"/>
      <c r="E12" s="691"/>
      <c r="F12" s="691"/>
      <c r="G12" s="691"/>
      <c r="H12" s="691"/>
      <c r="I12" s="691"/>
      <c r="J12" s="691"/>
      <c r="K12" s="691"/>
      <c r="L12" s="691"/>
      <c r="M12" s="691"/>
      <c r="N12" s="691"/>
      <c r="O12" s="691"/>
      <c r="P12" s="691"/>
      <c r="Q12" s="691"/>
      <c r="R12" s="692"/>
      <c r="S12" s="310">
        <f t="shared" si="0"/>
        <v>0</v>
      </c>
    </row>
    <row r="13" spans="1:19" s="158" customFormat="1" ht="38.25">
      <c r="A13" s="119">
        <v>6</v>
      </c>
      <c r="B13" s="72" t="s">
        <v>221</v>
      </c>
      <c r="C13" s="691"/>
      <c r="D13" s="691"/>
      <c r="E13" s="694">
        <v>1358428.76</v>
      </c>
      <c r="F13" s="694"/>
      <c r="G13" s="694"/>
      <c r="H13" s="694"/>
      <c r="I13" s="694">
        <v>28586306.740000002</v>
      </c>
      <c r="J13" s="694"/>
      <c r="K13" s="694"/>
      <c r="L13" s="694"/>
      <c r="M13" s="694">
        <v>14607.310000000001</v>
      </c>
      <c r="N13" s="691"/>
      <c r="O13" s="691"/>
      <c r="P13" s="691"/>
      <c r="Q13" s="691"/>
      <c r="R13" s="692"/>
      <c r="S13" s="310">
        <f t="shared" si="0"/>
        <v>14579446.432000002</v>
      </c>
    </row>
    <row r="14" spans="1:19" s="158" customFormat="1" ht="38.25">
      <c r="A14" s="119">
        <v>7</v>
      </c>
      <c r="B14" s="72" t="s">
        <v>73</v>
      </c>
      <c r="C14" s="691"/>
      <c r="D14" s="691"/>
      <c r="E14" s="691"/>
      <c r="F14" s="691"/>
      <c r="G14" s="691"/>
      <c r="H14" s="691"/>
      <c r="I14" s="691"/>
      <c r="J14" s="691"/>
      <c r="K14" s="691"/>
      <c r="L14" s="691"/>
      <c r="M14" s="691">
        <v>8793220.8877539188</v>
      </c>
      <c r="N14" s="691"/>
      <c r="O14" s="691"/>
      <c r="P14" s="691"/>
      <c r="Q14" s="691"/>
      <c r="R14" s="692"/>
      <c r="S14" s="310">
        <f t="shared" si="0"/>
        <v>8793220.8877539188</v>
      </c>
    </row>
    <row r="15" spans="1:19" s="158" customFormat="1" ht="25.5">
      <c r="A15" s="119">
        <v>8</v>
      </c>
      <c r="B15" s="72" t="s">
        <v>74</v>
      </c>
      <c r="C15" s="691"/>
      <c r="D15" s="691"/>
      <c r="E15" s="691"/>
      <c r="F15" s="691"/>
      <c r="G15" s="691"/>
      <c r="H15" s="691"/>
      <c r="I15" s="691"/>
      <c r="J15" s="691"/>
      <c r="K15" s="691">
        <v>1444141649.0016694</v>
      </c>
      <c r="L15" s="691">
        <v>12908667</v>
      </c>
      <c r="M15" s="691"/>
      <c r="N15" s="691"/>
      <c r="O15" s="691"/>
      <c r="P15" s="691"/>
      <c r="Q15" s="691"/>
      <c r="R15" s="692"/>
      <c r="S15" s="310">
        <f t="shared" si="0"/>
        <v>1092787737.0012522</v>
      </c>
    </row>
    <row r="16" spans="1:19" s="158" customFormat="1" ht="63.75">
      <c r="A16" s="119">
        <v>9</v>
      </c>
      <c r="B16" s="72" t="s">
        <v>75</v>
      </c>
      <c r="C16" s="691"/>
      <c r="D16" s="691"/>
      <c r="E16" s="691"/>
      <c r="F16" s="691"/>
      <c r="G16" s="691"/>
      <c r="H16" s="691"/>
      <c r="I16" s="691"/>
      <c r="J16" s="691"/>
      <c r="K16" s="691"/>
      <c r="L16" s="691"/>
      <c r="M16" s="691"/>
      <c r="N16" s="691"/>
      <c r="O16" s="691"/>
      <c r="P16" s="691"/>
      <c r="Q16" s="691"/>
      <c r="R16" s="692"/>
      <c r="S16" s="310">
        <f t="shared" si="0"/>
        <v>0</v>
      </c>
    </row>
    <row r="17" spans="1:19" s="158" customFormat="1" ht="25.5">
      <c r="A17" s="119">
        <v>10</v>
      </c>
      <c r="B17" s="72" t="s">
        <v>69</v>
      </c>
      <c r="C17" s="691"/>
      <c r="D17" s="691"/>
      <c r="E17" s="691"/>
      <c r="F17" s="691"/>
      <c r="G17" s="691"/>
      <c r="H17" s="691"/>
      <c r="I17" s="691"/>
      <c r="J17" s="691"/>
      <c r="K17" s="691"/>
      <c r="L17" s="691"/>
      <c r="M17" s="691">
        <v>9480677.9556559771</v>
      </c>
      <c r="N17" s="691"/>
      <c r="O17" s="691">
        <v>4368280.78001233</v>
      </c>
      <c r="P17" s="691"/>
      <c r="Q17" s="691"/>
      <c r="R17" s="692"/>
      <c r="S17" s="310">
        <f t="shared" si="0"/>
        <v>16033099.125674471</v>
      </c>
    </row>
    <row r="18" spans="1:19" s="158" customFormat="1" ht="38.25">
      <c r="A18" s="119">
        <v>11</v>
      </c>
      <c r="B18" s="72" t="s">
        <v>70</v>
      </c>
      <c r="C18" s="691"/>
      <c r="D18" s="691"/>
      <c r="E18" s="691"/>
      <c r="F18" s="691"/>
      <c r="G18" s="691"/>
      <c r="H18" s="691"/>
      <c r="I18" s="691"/>
      <c r="J18" s="691"/>
      <c r="K18" s="691"/>
      <c r="L18" s="691"/>
      <c r="M18" s="691">
        <v>109931220.94681291</v>
      </c>
      <c r="N18" s="691"/>
      <c r="O18" s="691">
        <v>44775117.070377357</v>
      </c>
      <c r="P18" s="691"/>
      <c r="Q18" s="691"/>
      <c r="R18" s="692"/>
      <c r="S18" s="310">
        <f t="shared" si="0"/>
        <v>177093896.55237895</v>
      </c>
    </row>
    <row r="19" spans="1:19" s="158" customFormat="1" ht="38.25">
      <c r="A19" s="119">
        <v>12</v>
      </c>
      <c r="B19" s="72" t="s">
        <v>71</v>
      </c>
      <c r="C19" s="691"/>
      <c r="D19" s="691"/>
      <c r="E19" s="691"/>
      <c r="F19" s="691"/>
      <c r="G19" s="691"/>
      <c r="H19" s="691"/>
      <c r="I19" s="691"/>
      <c r="J19" s="691"/>
      <c r="K19" s="691"/>
      <c r="L19" s="691"/>
      <c r="M19" s="691"/>
      <c r="N19" s="691"/>
      <c r="O19" s="691"/>
      <c r="P19" s="691"/>
      <c r="Q19" s="691"/>
      <c r="R19" s="692"/>
      <c r="S19" s="310">
        <f t="shared" si="0"/>
        <v>0</v>
      </c>
    </row>
    <row r="20" spans="1:19" s="158" customFormat="1" ht="25.5">
      <c r="A20" s="119">
        <v>13</v>
      </c>
      <c r="B20" s="72" t="s">
        <v>72</v>
      </c>
      <c r="C20" s="691"/>
      <c r="D20" s="691"/>
      <c r="E20" s="691"/>
      <c r="F20" s="691"/>
      <c r="G20" s="691"/>
      <c r="H20" s="691"/>
      <c r="I20" s="691"/>
      <c r="J20" s="691"/>
      <c r="K20" s="691"/>
      <c r="L20" s="691"/>
      <c r="M20" s="691"/>
      <c r="N20" s="691"/>
      <c r="O20" s="691"/>
      <c r="P20" s="691"/>
      <c r="Q20" s="691"/>
      <c r="R20" s="692"/>
      <c r="S20" s="310">
        <f t="shared" si="0"/>
        <v>0</v>
      </c>
    </row>
    <row r="21" spans="1:19" s="158" customFormat="1">
      <c r="A21" s="119">
        <v>14</v>
      </c>
      <c r="B21" s="72" t="s">
        <v>248</v>
      </c>
      <c r="C21" s="691">
        <v>71625012.519999996</v>
      </c>
      <c r="D21" s="691"/>
      <c r="E21" s="691"/>
      <c r="F21" s="691"/>
      <c r="G21" s="691"/>
      <c r="H21" s="691"/>
      <c r="I21" s="691"/>
      <c r="J21" s="691"/>
      <c r="K21" s="691"/>
      <c r="L21" s="691"/>
      <c r="M21" s="691">
        <v>73101712.679999977</v>
      </c>
      <c r="N21" s="691"/>
      <c r="O21" s="691"/>
      <c r="P21" s="691"/>
      <c r="Q21" s="691">
        <v>810408.24</v>
      </c>
      <c r="R21" s="692"/>
      <c r="S21" s="310">
        <f t="shared" si="0"/>
        <v>75127733.279999971</v>
      </c>
    </row>
    <row r="22" spans="1:19" ht="13.5" thickBot="1">
      <c r="A22" s="101"/>
      <c r="B22" s="160" t="s">
        <v>68</v>
      </c>
      <c r="C22" s="695">
        <f>SUM(C8:C21)</f>
        <v>276855024.94</v>
      </c>
      <c r="D22" s="695">
        <f t="shared" ref="D22:S22" si="1">SUM(D8:D21)</f>
        <v>0</v>
      </c>
      <c r="E22" s="695">
        <f t="shared" si="1"/>
        <v>1358428.76</v>
      </c>
      <c r="F22" s="695">
        <f t="shared" si="1"/>
        <v>0</v>
      </c>
      <c r="G22" s="695">
        <f t="shared" si="1"/>
        <v>0</v>
      </c>
      <c r="H22" s="695">
        <f t="shared" si="1"/>
        <v>0</v>
      </c>
      <c r="I22" s="695">
        <f t="shared" si="1"/>
        <v>28586306.740000002</v>
      </c>
      <c r="J22" s="695">
        <f t="shared" si="1"/>
        <v>0</v>
      </c>
      <c r="K22" s="695">
        <f t="shared" si="1"/>
        <v>1444141649.0016694</v>
      </c>
      <c r="L22" s="695">
        <f t="shared" si="1"/>
        <v>12908667</v>
      </c>
      <c r="M22" s="695">
        <f t="shared" si="1"/>
        <v>222814457.29022279</v>
      </c>
      <c r="N22" s="695">
        <f t="shared" si="1"/>
        <v>0</v>
      </c>
      <c r="O22" s="695">
        <f t="shared" si="1"/>
        <v>49143397.850389689</v>
      </c>
      <c r="P22" s="695">
        <f t="shared" si="1"/>
        <v>0</v>
      </c>
      <c r="Q22" s="695">
        <f t="shared" si="1"/>
        <v>810408.24</v>
      </c>
      <c r="R22" s="695">
        <f t="shared" si="1"/>
        <v>0</v>
      </c>
      <c r="S22" s="610">
        <f t="shared" si="1"/>
        <v>1405908150.7890594</v>
      </c>
    </row>
    <row r="24" spans="1:19">
      <c r="S24" s="686"/>
    </row>
    <row r="26" spans="1:19">
      <c r="S26" s="68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35" t="str">
        <f>Info!C2</f>
        <v>სს "კრედო ბანკი"</v>
      </c>
    </row>
    <row r="2" spans="1:22">
      <c r="A2" s="2" t="s">
        <v>189</v>
      </c>
      <c r="B2" s="469">
        <f>'1. key ratios'!B2</f>
        <v>44742</v>
      </c>
    </row>
    <row r="4" spans="1:22" ht="27.75" thickBot="1">
      <c r="A4" s="2" t="s">
        <v>338</v>
      </c>
      <c r="B4" s="307" t="s">
        <v>359</v>
      </c>
      <c r="V4" s="201" t="s">
        <v>93</v>
      </c>
    </row>
    <row r="5" spans="1:22">
      <c r="A5" s="99"/>
      <c r="B5" s="100"/>
      <c r="C5" s="740" t="s">
        <v>198</v>
      </c>
      <c r="D5" s="741"/>
      <c r="E5" s="741"/>
      <c r="F5" s="741"/>
      <c r="G5" s="741"/>
      <c r="H5" s="741"/>
      <c r="I5" s="741"/>
      <c r="J5" s="741"/>
      <c r="K5" s="741"/>
      <c r="L5" s="742"/>
      <c r="M5" s="740" t="s">
        <v>199</v>
      </c>
      <c r="N5" s="741"/>
      <c r="O5" s="741"/>
      <c r="P5" s="741"/>
      <c r="Q5" s="741"/>
      <c r="R5" s="741"/>
      <c r="S5" s="742"/>
      <c r="T5" s="745" t="s">
        <v>357</v>
      </c>
      <c r="U5" s="745" t="s">
        <v>356</v>
      </c>
      <c r="V5" s="743" t="s">
        <v>200</v>
      </c>
    </row>
    <row r="6" spans="1:22" s="66" customFormat="1" ht="140.25">
      <c r="A6" s="117"/>
      <c r="B6" s="177"/>
      <c r="C6" s="97" t="s">
        <v>201</v>
      </c>
      <c r="D6" s="96" t="s">
        <v>202</v>
      </c>
      <c r="E6" s="93" t="s">
        <v>203</v>
      </c>
      <c r="F6" s="308" t="s">
        <v>351</v>
      </c>
      <c r="G6" s="96" t="s">
        <v>204</v>
      </c>
      <c r="H6" s="96" t="s">
        <v>205</v>
      </c>
      <c r="I6" s="96" t="s">
        <v>206</v>
      </c>
      <c r="J6" s="96" t="s">
        <v>247</v>
      </c>
      <c r="K6" s="96" t="s">
        <v>207</v>
      </c>
      <c r="L6" s="98" t="s">
        <v>208</v>
      </c>
      <c r="M6" s="97" t="s">
        <v>209</v>
      </c>
      <c r="N6" s="96" t="s">
        <v>210</v>
      </c>
      <c r="O6" s="96" t="s">
        <v>211</v>
      </c>
      <c r="P6" s="96" t="s">
        <v>212</v>
      </c>
      <c r="Q6" s="96" t="s">
        <v>213</v>
      </c>
      <c r="R6" s="96" t="s">
        <v>214</v>
      </c>
      <c r="S6" s="98" t="s">
        <v>215</v>
      </c>
      <c r="T6" s="746"/>
      <c r="U6" s="746"/>
      <c r="V6" s="744"/>
    </row>
    <row r="7" spans="1:22" s="158" customFormat="1">
      <c r="A7" s="159">
        <v>1</v>
      </c>
      <c r="B7" s="157" t="s">
        <v>216</v>
      </c>
      <c r="C7" s="282"/>
      <c r="D7" s="280"/>
      <c r="E7" s="280"/>
      <c r="F7" s="280"/>
      <c r="G7" s="280"/>
      <c r="H7" s="280"/>
      <c r="I7" s="280"/>
      <c r="J7" s="280"/>
      <c r="K7" s="280"/>
      <c r="L7" s="283"/>
      <c r="M7" s="282"/>
      <c r="N7" s="280"/>
      <c r="O7" s="280"/>
      <c r="P7" s="280"/>
      <c r="Q7" s="280"/>
      <c r="R7" s="280"/>
      <c r="S7" s="283"/>
      <c r="T7" s="302"/>
      <c r="U7" s="301"/>
      <c r="V7" s="284">
        <f>SUM(C7:S7)</f>
        <v>0</v>
      </c>
    </row>
    <row r="8" spans="1:22" s="158" customFormat="1">
      <c r="A8" s="159">
        <v>2</v>
      </c>
      <c r="B8" s="157" t="s">
        <v>217</v>
      </c>
      <c r="C8" s="282"/>
      <c r="D8" s="280"/>
      <c r="E8" s="280"/>
      <c r="F8" s="280"/>
      <c r="G8" s="280"/>
      <c r="H8" s="280"/>
      <c r="I8" s="280"/>
      <c r="J8" s="280"/>
      <c r="K8" s="280"/>
      <c r="L8" s="283"/>
      <c r="M8" s="282"/>
      <c r="N8" s="280"/>
      <c r="O8" s="280"/>
      <c r="P8" s="280"/>
      <c r="Q8" s="280"/>
      <c r="R8" s="280"/>
      <c r="S8" s="283"/>
      <c r="T8" s="301"/>
      <c r="U8" s="301"/>
      <c r="V8" s="284">
        <f t="shared" ref="V8:V20" si="0">SUM(C8:S8)</f>
        <v>0</v>
      </c>
    </row>
    <row r="9" spans="1:22" s="158" customFormat="1">
      <c r="A9" s="159">
        <v>3</v>
      </c>
      <c r="B9" s="157" t="s">
        <v>218</v>
      </c>
      <c r="C9" s="282"/>
      <c r="D9" s="280"/>
      <c r="E9" s="280"/>
      <c r="F9" s="280"/>
      <c r="G9" s="280"/>
      <c r="H9" s="280"/>
      <c r="I9" s="280"/>
      <c r="J9" s="280"/>
      <c r="K9" s="280"/>
      <c r="L9" s="283"/>
      <c r="M9" s="282"/>
      <c r="N9" s="280"/>
      <c r="O9" s="280"/>
      <c r="P9" s="280"/>
      <c r="Q9" s="280"/>
      <c r="R9" s="280"/>
      <c r="S9" s="283"/>
      <c r="T9" s="301"/>
      <c r="U9" s="301"/>
      <c r="V9" s="284">
        <f>SUM(C9:S9)</f>
        <v>0</v>
      </c>
    </row>
    <row r="10" spans="1:22" s="158" customFormat="1">
      <c r="A10" s="159">
        <v>4</v>
      </c>
      <c r="B10" s="157" t="s">
        <v>219</v>
      </c>
      <c r="C10" s="282"/>
      <c r="D10" s="280"/>
      <c r="E10" s="280"/>
      <c r="F10" s="280"/>
      <c r="G10" s="280"/>
      <c r="H10" s="280"/>
      <c r="I10" s="280"/>
      <c r="J10" s="280"/>
      <c r="K10" s="280"/>
      <c r="L10" s="283"/>
      <c r="M10" s="282"/>
      <c r="N10" s="280"/>
      <c r="O10" s="280"/>
      <c r="P10" s="280"/>
      <c r="Q10" s="280"/>
      <c r="R10" s="280"/>
      <c r="S10" s="283"/>
      <c r="T10" s="301"/>
      <c r="U10" s="301"/>
      <c r="V10" s="284">
        <f t="shared" si="0"/>
        <v>0</v>
      </c>
    </row>
    <row r="11" spans="1:22" s="158" customFormat="1">
      <c r="A11" s="159">
        <v>5</v>
      </c>
      <c r="B11" s="157" t="s">
        <v>220</v>
      </c>
      <c r="C11" s="282"/>
      <c r="D11" s="280"/>
      <c r="E11" s="280"/>
      <c r="F11" s="280"/>
      <c r="G11" s="280"/>
      <c r="H11" s="280"/>
      <c r="I11" s="280"/>
      <c r="J11" s="280"/>
      <c r="K11" s="280"/>
      <c r="L11" s="283"/>
      <c r="M11" s="282"/>
      <c r="N11" s="280"/>
      <c r="O11" s="280"/>
      <c r="P11" s="280"/>
      <c r="Q11" s="280"/>
      <c r="R11" s="280"/>
      <c r="S11" s="283"/>
      <c r="T11" s="301"/>
      <c r="U11" s="301"/>
      <c r="V11" s="284">
        <f t="shared" si="0"/>
        <v>0</v>
      </c>
    </row>
    <row r="12" spans="1:22" s="158" customFormat="1">
      <c r="A12" s="159">
        <v>6</v>
      </c>
      <c r="B12" s="157" t="s">
        <v>221</v>
      </c>
      <c r="C12" s="282"/>
      <c r="D12" s="280"/>
      <c r="E12" s="280"/>
      <c r="F12" s="280"/>
      <c r="G12" s="280"/>
      <c r="H12" s="280"/>
      <c r="I12" s="280"/>
      <c r="J12" s="280"/>
      <c r="K12" s="280"/>
      <c r="L12" s="283"/>
      <c r="M12" s="282"/>
      <c r="N12" s="280"/>
      <c r="O12" s="280"/>
      <c r="P12" s="280"/>
      <c r="Q12" s="280"/>
      <c r="R12" s="280"/>
      <c r="S12" s="283"/>
      <c r="T12" s="301"/>
      <c r="U12" s="301"/>
      <c r="V12" s="284">
        <f t="shared" si="0"/>
        <v>0</v>
      </c>
    </row>
    <row r="13" spans="1:22" s="158" customFormat="1">
      <c r="A13" s="159">
        <v>7</v>
      </c>
      <c r="B13" s="157" t="s">
        <v>73</v>
      </c>
      <c r="C13" s="282"/>
      <c r="D13" s="280"/>
      <c r="E13" s="280"/>
      <c r="F13" s="280"/>
      <c r="G13" s="280"/>
      <c r="H13" s="280"/>
      <c r="I13" s="280"/>
      <c r="J13" s="280"/>
      <c r="K13" s="280"/>
      <c r="L13" s="283"/>
      <c r="M13" s="282"/>
      <c r="N13" s="280"/>
      <c r="O13" s="280"/>
      <c r="P13" s="280"/>
      <c r="Q13" s="280"/>
      <c r="R13" s="280"/>
      <c r="S13" s="283"/>
      <c r="T13" s="301"/>
      <c r="U13" s="301"/>
      <c r="V13" s="284">
        <f t="shared" si="0"/>
        <v>0</v>
      </c>
    </row>
    <row r="14" spans="1:22" s="158" customFormat="1">
      <c r="A14" s="159">
        <v>8</v>
      </c>
      <c r="B14" s="157" t="s">
        <v>74</v>
      </c>
      <c r="C14" s="282"/>
      <c r="D14" s="280"/>
      <c r="E14" s="280"/>
      <c r="F14" s="280"/>
      <c r="G14" s="280"/>
      <c r="H14" s="280"/>
      <c r="I14" s="280"/>
      <c r="J14" s="280"/>
      <c r="K14" s="280"/>
      <c r="L14" s="283"/>
      <c r="M14" s="282"/>
      <c r="N14" s="280"/>
      <c r="O14" s="280"/>
      <c r="P14" s="280"/>
      <c r="Q14" s="280"/>
      <c r="R14" s="280"/>
      <c r="S14" s="283"/>
      <c r="T14" s="301"/>
      <c r="U14" s="301"/>
      <c r="V14" s="284">
        <f t="shared" si="0"/>
        <v>0</v>
      </c>
    </row>
    <row r="15" spans="1:22" s="158" customFormat="1">
      <c r="A15" s="159">
        <v>9</v>
      </c>
      <c r="B15" s="157" t="s">
        <v>75</v>
      </c>
      <c r="C15" s="282"/>
      <c r="D15" s="280"/>
      <c r="E15" s="280"/>
      <c r="F15" s="280"/>
      <c r="G15" s="280"/>
      <c r="H15" s="280"/>
      <c r="I15" s="280"/>
      <c r="J15" s="280"/>
      <c r="K15" s="280"/>
      <c r="L15" s="283"/>
      <c r="M15" s="282"/>
      <c r="N15" s="280"/>
      <c r="O15" s="280"/>
      <c r="P15" s="280"/>
      <c r="Q15" s="280"/>
      <c r="R15" s="280"/>
      <c r="S15" s="283"/>
      <c r="T15" s="301"/>
      <c r="U15" s="301"/>
      <c r="V15" s="284">
        <f t="shared" si="0"/>
        <v>0</v>
      </c>
    </row>
    <row r="16" spans="1:22" s="158" customFormat="1">
      <c r="A16" s="159">
        <v>10</v>
      </c>
      <c r="B16" s="157" t="s">
        <v>69</v>
      </c>
      <c r="C16" s="282"/>
      <c r="D16" s="280"/>
      <c r="E16" s="280"/>
      <c r="F16" s="280"/>
      <c r="G16" s="280"/>
      <c r="H16" s="280"/>
      <c r="I16" s="280"/>
      <c r="J16" s="280"/>
      <c r="K16" s="280"/>
      <c r="L16" s="283"/>
      <c r="M16" s="282"/>
      <c r="N16" s="280"/>
      <c r="O16" s="280"/>
      <c r="P16" s="280"/>
      <c r="Q16" s="280"/>
      <c r="R16" s="280"/>
      <c r="S16" s="283"/>
      <c r="T16" s="301"/>
      <c r="U16" s="301"/>
      <c r="V16" s="284">
        <f t="shared" si="0"/>
        <v>0</v>
      </c>
    </row>
    <row r="17" spans="1:22" s="158" customFormat="1">
      <c r="A17" s="159">
        <v>11</v>
      </c>
      <c r="B17" s="157" t="s">
        <v>70</v>
      </c>
      <c r="C17" s="282"/>
      <c r="D17" s="280"/>
      <c r="E17" s="280"/>
      <c r="F17" s="280"/>
      <c r="G17" s="280"/>
      <c r="H17" s="280"/>
      <c r="I17" s="280"/>
      <c r="J17" s="280"/>
      <c r="K17" s="280"/>
      <c r="L17" s="283"/>
      <c r="M17" s="282"/>
      <c r="N17" s="280"/>
      <c r="O17" s="280"/>
      <c r="P17" s="280"/>
      <c r="Q17" s="280"/>
      <c r="R17" s="280"/>
      <c r="S17" s="283"/>
      <c r="T17" s="301"/>
      <c r="U17" s="301"/>
      <c r="V17" s="284">
        <f t="shared" si="0"/>
        <v>0</v>
      </c>
    </row>
    <row r="18" spans="1:22" s="158" customFormat="1">
      <c r="A18" s="159">
        <v>12</v>
      </c>
      <c r="B18" s="157" t="s">
        <v>71</v>
      </c>
      <c r="C18" s="282"/>
      <c r="D18" s="280"/>
      <c r="E18" s="280"/>
      <c r="F18" s="280"/>
      <c r="G18" s="280"/>
      <c r="H18" s="280"/>
      <c r="I18" s="280"/>
      <c r="J18" s="280"/>
      <c r="K18" s="280"/>
      <c r="L18" s="283"/>
      <c r="M18" s="282"/>
      <c r="N18" s="280"/>
      <c r="O18" s="280"/>
      <c r="P18" s="280"/>
      <c r="Q18" s="280"/>
      <c r="R18" s="280"/>
      <c r="S18" s="283"/>
      <c r="T18" s="301"/>
      <c r="U18" s="301"/>
      <c r="V18" s="284">
        <f t="shared" si="0"/>
        <v>0</v>
      </c>
    </row>
    <row r="19" spans="1:22" s="158" customFormat="1">
      <c r="A19" s="159">
        <v>13</v>
      </c>
      <c r="B19" s="157" t="s">
        <v>72</v>
      </c>
      <c r="C19" s="282"/>
      <c r="D19" s="280"/>
      <c r="E19" s="280"/>
      <c r="F19" s="280"/>
      <c r="G19" s="280"/>
      <c r="H19" s="280"/>
      <c r="I19" s="280"/>
      <c r="J19" s="280"/>
      <c r="K19" s="280"/>
      <c r="L19" s="283"/>
      <c r="M19" s="282"/>
      <c r="N19" s="280"/>
      <c r="O19" s="280"/>
      <c r="P19" s="280"/>
      <c r="Q19" s="280"/>
      <c r="R19" s="280"/>
      <c r="S19" s="283"/>
      <c r="T19" s="301"/>
      <c r="U19" s="301"/>
      <c r="V19" s="284">
        <f t="shared" si="0"/>
        <v>0</v>
      </c>
    </row>
    <row r="20" spans="1:22" s="158" customFormat="1">
      <c r="A20" s="159">
        <v>14</v>
      </c>
      <c r="B20" s="157" t="s">
        <v>248</v>
      </c>
      <c r="C20" s="282"/>
      <c r="D20" s="280"/>
      <c r="E20" s="280"/>
      <c r="F20" s="280"/>
      <c r="G20" s="280"/>
      <c r="H20" s="280"/>
      <c r="I20" s="280"/>
      <c r="J20" s="280"/>
      <c r="K20" s="280"/>
      <c r="L20" s="283"/>
      <c r="M20" s="282"/>
      <c r="N20" s="280"/>
      <c r="O20" s="280"/>
      <c r="P20" s="280"/>
      <c r="Q20" s="280"/>
      <c r="R20" s="280"/>
      <c r="S20" s="283"/>
      <c r="T20" s="301"/>
      <c r="U20" s="301"/>
      <c r="V20" s="284">
        <f t="shared" si="0"/>
        <v>0</v>
      </c>
    </row>
    <row r="21" spans="1:22" ht="13.5" thickBot="1">
      <c r="A21" s="101"/>
      <c r="B21" s="102" t="s">
        <v>68</v>
      </c>
      <c r="C21" s="285">
        <f>SUM(C7:C20)</f>
        <v>0</v>
      </c>
      <c r="D21" s="281">
        <f t="shared" ref="D21:V21" si="1">SUM(D7:D20)</f>
        <v>0</v>
      </c>
      <c r="E21" s="281">
        <f t="shared" si="1"/>
        <v>0</v>
      </c>
      <c r="F21" s="281">
        <f t="shared" si="1"/>
        <v>0</v>
      </c>
      <c r="G21" s="281">
        <f t="shared" si="1"/>
        <v>0</v>
      </c>
      <c r="H21" s="281">
        <f t="shared" si="1"/>
        <v>0</v>
      </c>
      <c r="I21" s="281">
        <f t="shared" si="1"/>
        <v>0</v>
      </c>
      <c r="J21" s="281">
        <f t="shared" si="1"/>
        <v>0</v>
      </c>
      <c r="K21" s="281">
        <f t="shared" si="1"/>
        <v>0</v>
      </c>
      <c r="L21" s="286">
        <f t="shared" si="1"/>
        <v>0</v>
      </c>
      <c r="M21" s="285">
        <f t="shared" si="1"/>
        <v>0</v>
      </c>
      <c r="N21" s="281">
        <f t="shared" si="1"/>
        <v>0</v>
      </c>
      <c r="O21" s="281">
        <f t="shared" si="1"/>
        <v>0</v>
      </c>
      <c r="P21" s="281">
        <f t="shared" si="1"/>
        <v>0</v>
      </c>
      <c r="Q21" s="281">
        <f t="shared" si="1"/>
        <v>0</v>
      </c>
      <c r="R21" s="281">
        <f t="shared" si="1"/>
        <v>0</v>
      </c>
      <c r="S21" s="286">
        <f t="shared" si="1"/>
        <v>0</v>
      </c>
      <c r="T21" s="286">
        <f>SUM(T7:T20)</f>
        <v>0</v>
      </c>
      <c r="U21" s="286">
        <f t="shared" si="1"/>
        <v>0</v>
      </c>
      <c r="V21" s="287">
        <f t="shared" si="1"/>
        <v>0</v>
      </c>
    </row>
    <row r="24" spans="1:22">
      <c r="A24" s="18"/>
      <c r="B24" s="18"/>
      <c r="C24" s="70"/>
      <c r="D24" s="70"/>
      <c r="E24" s="70"/>
    </row>
    <row r="25" spans="1:22">
      <c r="A25" s="94"/>
      <c r="B25" s="94"/>
      <c r="C25" s="18"/>
      <c r="D25" s="70"/>
      <c r="E25" s="70"/>
    </row>
    <row r="26" spans="1:22">
      <c r="A26" s="94"/>
      <c r="B26" s="95"/>
      <c r="C26" s="18"/>
      <c r="D26" s="70"/>
      <c r="E26" s="70"/>
    </row>
    <row r="27" spans="1:22">
      <c r="A27" s="94"/>
      <c r="B27" s="94"/>
      <c r="C27" s="18"/>
      <c r="D27" s="70"/>
      <c r="E27" s="70"/>
    </row>
    <row r="28" spans="1:22">
      <c r="A28" s="94"/>
      <c r="B28" s="95"/>
      <c r="C28" s="18"/>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35" t="str">
        <f>Info!C2</f>
        <v>სს "კრედო ბანკი"</v>
      </c>
    </row>
    <row r="2" spans="1:9">
      <c r="A2" s="2" t="s">
        <v>189</v>
      </c>
      <c r="B2" s="469">
        <f>'1. key ratios'!B2</f>
        <v>44742</v>
      </c>
    </row>
    <row r="4" spans="1:9" ht="13.5" thickBot="1">
      <c r="A4" s="2" t="s">
        <v>339</v>
      </c>
      <c r="B4" s="304" t="s">
        <v>360</v>
      </c>
    </row>
    <row r="5" spans="1:9">
      <c r="A5" s="99"/>
      <c r="B5" s="155"/>
      <c r="C5" s="161" t="s">
        <v>0</v>
      </c>
      <c r="D5" s="161" t="s">
        <v>1</v>
      </c>
      <c r="E5" s="161" t="s">
        <v>2</v>
      </c>
      <c r="F5" s="161" t="s">
        <v>3</v>
      </c>
      <c r="G5" s="299" t="s">
        <v>4</v>
      </c>
      <c r="H5" s="162" t="s">
        <v>5</v>
      </c>
      <c r="I5" s="24"/>
    </row>
    <row r="6" spans="1:9" ht="15" customHeight="1">
      <c r="A6" s="154"/>
      <c r="B6" s="22"/>
      <c r="C6" s="747" t="s">
        <v>352</v>
      </c>
      <c r="D6" s="751" t="s">
        <v>362</v>
      </c>
      <c r="E6" s="752"/>
      <c r="F6" s="747" t="s">
        <v>363</v>
      </c>
      <c r="G6" s="747" t="s">
        <v>364</v>
      </c>
      <c r="H6" s="749" t="s">
        <v>354</v>
      </c>
      <c r="I6" s="24"/>
    </row>
    <row r="7" spans="1:9" ht="76.5">
      <c r="A7" s="154"/>
      <c r="B7" s="22"/>
      <c r="C7" s="748"/>
      <c r="D7" s="303" t="s">
        <v>355</v>
      </c>
      <c r="E7" s="303" t="s">
        <v>353</v>
      </c>
      <c r="F7" s="748"/>
      <c r="G7" s="748"/>
      <c r="H7" s="750"/>
      <c r="I7" s="24"/>
    </row>
    <row r="8" spans="1:9">
      <c r="A8" s="90">
        <v>1</v>
      </c>
      <c r="B8" s="72" t="s">
        <v>216</v>
      </c>
      <c r="C8" s="288">
        <v>200582601.42999998</v>
      </c>
      <c r="D8" s="289"/>
      <c r="E8" s="288"/>
      <c r="F8" s="288">
        <v>21493017.509999998</v>
      </c>
      <c r="G8" s="300">
        <v>21493017.509999998</v>
      </c>
      <c r="H8" s="309">
        <f>IFERROR(G8/(C8+E8),"")</f>
        <v>0.10715295023980785</v>
      </c>
    </row>
    <row r="9" spans="1:9" ht="21" customHeight="1">
      <c r="A9" s="90">
        <v>2</v>
      </c>
      <c r="B9" s="72" t="s">
        <v>217</v>
      </c>
      <c r="C9" s="288"/>
      <c r="D9" s="289"/>
      <c r="E9" s="288"/>
      <c r="F9" s="288"/>
      <c r="G9" s="300"/>
      <c r="H9" s="309" t="str">
        <f t="shared" ref="H9:H21" si="0">IFERROR(G9/(C9+E9),"")</f>
        <v/>
      </c>
    </row>
    <row r="10" spans="1:9">
      <c r="A10" s="90">
        <v>3</v>
      </c>
      <c r="B10" s="72" t="s">
        <v>218</v>
      </c>
      <c r="C10" s="288">
        <v>26140428.5</v>
      </c>
      <c r="D10" s="289"/>
      <c r="E10" s="288"/>
      <c r="F10" s="288">
        <v>0</v>
      </c>
      <c r="G10" s="300">
        <v>0</v>
      </c>
      <c r="H10" s="309">
        <f t="shared" si="0"/>
        <v>0</v>
      </c>
    </row>
    <row r="11" spans="1:9">
      <c r="A11" s="90">
        <v>4</v>
      </c>
      <c r="B11" s="72" t="s">
        <v>219</v>
      </c>
      <c r="C11" s="288"/>
      <c r="D11" s="289"/>
      <c r="E11" s="288"/>
      <c r="F11" s="288"/>
      <c r="G11" s="300"/>
      <c r="H11" s="309" t="str">
        <f t="shared" si="0"/>
        <v/>
      </c>
    </row>
    <row r="12" spans="1:9">
      <c r="A12" s="90">
        <v>5</v>
      </c>
      <c r="B12" s="72" t="s">
        <v>220</v>
      </c>
      <c r="C12" s="288"/>
      <c r="D12" s="289"/>
      <c r="E12" s="288"/>
      <c r="F12" s="288"/>
      <c r="G12" s="300"/>
      <c r="H12" s="309" t="str">
        <f t="shared" si="0"/>
        <v/>
      </c>
    </row>
    <row r="13" spans="1:9">
      <c r="A13" s="90">
        <v>6</v>
      </c>
      <c r="B13" s="72" t="s">
        <v>221</v>
      </c>
      <c r="C13" s="288">
        <v>29959342.810000002</v>
      </c>
      <c r="D13" s="289"/>
      <c r="E13" s="288"/>
      <c r="F13" s="288">
        <v>14579446.432000002</v>
      </c>
      <c r="G13" s="300">
        <v>14579446.432000002</v>
      </c>
      <c r="H13" s="309">
        <f t="shared" si="0"/>
        <v>0.48664106300534704</v>
      </c>
    </row>
    <row r="14" spans="1:9">
      <c r="A14" s="90">
        <v>7</v>
      </c>
      <c r="B14" s="72" t="s">
        <v>73</v>
      </c>
      <c r="C14" s="288">
        <v>8793220.8877539188</v>
      </c>
      <c r="D14" s="289"/>
      <c r="E14" s="288"/>
      <c r="F14" s="289">
        <v>8793220.8877539188</v>
      </c>
      <c r="G14" s="347">
        <v>8793220.8877539188</v>
      </c>
      <c r="H14" s="309">
        <f t="shared" si="0"/>
        <v>1</v>
      </c>
    </row>
    <row r="15" spans="1:9">
      <c r="A15" s="90">
        <v>8</v>
      </c>
      <c r="B15" s="72" t="s">
        <v>74</v>
      </c>
      <c r="C15" s="289">
        <v>1444141649.0016694</v>
      </c>
      <c r="D15" s="289">
        <v>35681618.990000002</v>
      </c>
      <c r="E15" s="288">
        <v>12908667</v>
      </c>
      <c r="F15" s="289">
        <v>1092787737.0012522</v>
      </c>
      <c r="G15" s="347">
        <v>1092787737.0012522</v>
      </c>
      <c r="H15" s="309">
        <f t="shared" si="0"/>
        <v>0.75000000000000011</v>
      </c>
    </row>
    <row r="16" spans="1:9">
      <c r="A16" s="90">
        <v>9</v>
      </c>
      <c r="B16" s="72" t="s">
        <v>75</v>
      </c>
      <c r="C16" s="288"/>
      <c r="D16" s="289"/>
      <c r="E16" s="288"/>
      <c r="F16" s="289"/>
      <c r="G16" s="347"/>
      <c r="H16" s="309" t="str">
        <f t="shared" si="0"/>
        <v/>
      </c>
    </row>
    <row r="17" spans="1:8">
      <c r="A17" s="90">
        <v>10</v>
      </c>
      <c r="B17" s="72" t="s">
        <v>69</v>
      </c>
      <c r="C17" s="288">
        <v>13848958.735668307</v>
      </c>
      <c r="D17" s="289"/>
      <c r="E17" s="288"/>
      <c r="F17" s="289">
        <v>16033099.125674471</v>
      </c>
      <c r="G17" s="347">
        <v>16033099.125674471</v>
      </c>
      <c r="H17" s="309">
        <f t="shared" si="0"/>
        <v>1.157711524143751</v>
      </c>
    </row>
    <row r="18" spans="1:8">
      <c r="A18" s="90">
        <v>11</v>
      </c>
      <c r="B18" s="72" t="s">
        <v>70</v>
      </c>
      <c r="C18" s="288">
        <v>154706338.01719028</v>
      </c>
      <c r="D18" s="289"/>
      <c r="E18" s="288"/>
      <c r="F18" s="289">
        <v>177093896.55237895</v>
      </c>
      <c r="G18" s="347">
        <v>177093896.55237895</v>
      </c>
      <c r="H18" s="309">
        <f t="shared" si="0"/>
        <v>1.1447100281870874</v>
      </c>
    </row>
    <row r="19" spans="1:8">
      <c r="A19" s="90">
        <v>12</v>
      </c>
      <c r="B19" s="72" t="s">
        <v>71</v>
      </c>
      <c r="C19" s="288"/>
      <c r="D19" s="289"/>
      <c r="E19" s="288"/>
      <c r="F19" s="289"/>
      <c r="G19" s="347"/>
      <c r="H19" s="309" t="str">
        <f t="shared" si="0"/>
        <v/>
      </c>
    </row>
    <row r="20" spans="1:8">
      <c r="A20" s="90">
        <v>13</v>
      </c>
      <c r="B20" s="72" t="s">
        <v>72</v>
      </c>
      <c r="C20" s="288"/>
      <c r="D20" s="289"/>
      <c r="E20" s="288"/>
      <c r="F20" s="289"/>
      <c r="G20" s="347"/>
      <c r="H20" s="309" t="str">
        <f t="shared" si="0"/>
        <v/>
      </c>
    </row>
    <row r="21" spans="1:8">
      <c r="A21" s="90">
        <v>14</v>
      </c>
      <c r="B21" s="72" t="s">
        <v>248</v>
      </c>
      <c r="C21" s="288">
        <v>145537133.43999997</v>
      </c>
      <c r="D21" s="289"/>
      <c r="E21" s="288"/>
      <c r="F21" s="289">
        <v>75127733.279999986</v>
      </c>
      <c r="G21" s="347">
        <v>75127733.279999986</v>
      </c>
      <c r="H21" s="309">
        <f t="shared" si="0"/>
        <v>0.51621006614763787</v>
      </c>
    </row>
    <row r="22" spans="1:8" ht="13.5" thickBot="1">
      <c r="A22" s="156"/>
      <c r="B22" s="163" t="s">
        <v>68</v>
      </c>
      <c r="C22" s="281">
        <f>SUM(C8:C21)</f>
        <v>2023709672.8222821</v>
      </c>
      <c r="D22" s="281">
        <f>SUM(D8:D21)</f>
        <v>35681618.990000002</v>
      </c>
      <c r="E22" s="281">
        <f>SUM(E8:E21)</f>
        <v>12908667</v>
      </c>
      <c r="F22" s="281">
        <f>SUM(F8:F21)</f>
        <v>1405908150.7890594</v>
      </c>
      <c r="G22" s="281">
        <f>SUM(G8:G21)</f>
        <v>1405908150.7890594</v>
      </c>
      <c r="H22" s="611">
        <f>G22/(C22+E22)</f>
        <v>0.69031498111312339</v>
      </c>
    </row>
    <row r="24" spans="1:8">
      <c r="F24" s="674"/>
    </row>
    <row r="25" spans="1:8">
      <c r="F25" s="674"/>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335" bestFit="1" customWidth="1"/>
    <col min="2" max="2" width="84" style="335" customWidth="1"/>
    <col min="3" max="11" width="12.7109375" style="335" customWidth="1"/>
    <col min="12" max="16384" width="9.140625" style="335"/>
  </cols>
  <sheetData>
    <row r="1" spans="1:11">
      <c r="A1" s="335" t="s">
        <v>188</v>
      </c>
      <c r="B1" s="335" t="str">
        <f>Info!C2</f>
        <v>სს "კრედო ბანკი"</v>
      </c>
    </row>
    <row r="2" spans="1:11">
      <c r="A2" s="335" t="s">
        <v>189</v>
      </c>
      <c r="B2" s="469">
        <f>'1. key ratios'!B2</f>
        <v>44742</v>
      </c>
      <c r="C2" s="336"/>
      <c r="D2" s="336"/>
    </row>
    <row r="3" spans="1:11">
      <c r="B3" s="336"/>
      <c r="C3" s="336"/>
      <c r="D3" s="336"/>
    </row>
    <row r="4" spans="1:11" ht="13.5" thickBot="1">
      <c r="A4" s="335" t="s">
        <v>392</v>
      </c>
      <c r="B4" s="304" t="s">
        <v>391</v>
      </c>
      <c r="C4" s="336"/>
      <c r="D4" s="336"/>
    </row>
    <row r="5" spans="1:11" ht="30" customHeight="1">
      <c r="A5" s="756"/>
      <c r="B5" s="757"/>
      <c r="C5" s="754" t="s">
        <v>423</v>
      </c>
      <c r="D5" s="754"/>
      <c r="E5" s="754"/>
      <c r="F5" s="754" t="s">
        <v>424</v>
      </c>
      <c r="G5" s="754"/>
      <c r="H5" s="754"/>
      <c r="I5" s="754" t="s">
        <v>425</v>
      </c>
      <c r="J5" s="754"/>
      <c r="K5" s="755"/>
    </row>
    <row r="6" spans="1:11">
      <c r="A6" s="333"/>
      <c r="B6" s="334"/>
      <c r="C6" s="337" t="s">
        <v>27</v>
      </c>
      <c r="D6" s="337" t="s">
        <v>96</v>
      </c>
      <c r="E6" s="337" t="s">
        <v>68</v>
      </c>
      <c r="F6" s="337" t="s">
        <v>27</v>
      </c>
      <c r="G6" s="337" t="s">
        <v>96</v>
      </c>
      <c r="H6" s="337" t="s">
        <v>68</v>
      </c>
      <c r="I6" s="337" t="s">
        <v>27</v>
      </c>
      <c r="J6" s="337" t="s">
        <v>96</v>
      </c>
      <c r="K6" s="338" t="s">
        <v>68</v>
      </c>
    </row>
    <row r="7" spans="1:11">
      <c r="A7" s="339" t="s">
        <v>371</v>
      </c>
      <c r="B7" s="332"/>
      <c r="C7" s="332"/>
      <c r="D7" s="332"/>
      <c r="E7" s="332"/>
      <c r="F7" s="332"/>
      <c r="G7" s="332"/>
      <c r="H7" s="332"/>
      <c r="I7" s="332"/>
      <c r="J7" s="332"/>
      <c r="K7" s="340"/>
    </row>
    <row r="8" spans="1:11">
      <c r="A8" s="702">
        <v>1</v>
      </c>
      <c r="B8" s="316" t="s">
        <v>371</v>
      </c>
      <c r="C8" s="314"/>
      <c r="D8" s="314"/>
      <c r="E8" s="314"/>
      <c r="F8" s="614">
        <v>110096144.55883034</v>
      </c>
      <c r="G8" s="614">
        <v>79098182.840350315</v>
      </c>
      <c r="H8" s="614">
        <f>F8+G8</f>
        <v>189194327.39918065</v>
      </c>
      <c r="I8" s="614">
        <v>100622356.7885257</v>
      </c>
      <c r="J8" s="614">
        <v>36920624.08401341</v>
      </c>
      <c r="K8" s="615">
        <f>I8+J8</f>
        <v>137542980.8725391</v>
      </c>
    </row>
    <row r="9" spans="1:11">
      <c r="A9" s="339" t="s">
        <v>372</v>
      </c>
      <c r="B9" s="332"/>
      <c r="C9" s="332"/>
      <c r="D9" s="332"/>
      <c r="E9" s="332"/>
      <c r="F9" s="332"/>
      <c r="G9" s="332"/>
      <c r="H9" s="614"/>
      <c r="I9" s="332"/>
      <c r="J9" s="332"/>
      <c r="K9" s="615"/>
    </row>
    <row r="10" spans="1:11">
      <c r="A10" s="703">
        <v>2</v>
      </c>
      <c r="B10" s="317" t="s">
        <v>373</v>
      </c>
      <c r="C10" s="498">
        <v>118674172.96842293</v>
      </c>
      <c r="D10" s="612">
        <v>87165170.304991409</v>
      </c>
      <c r="E10" s="612">
        <f>C10+D10</f>
        <v>205839343.27341434</v>
      </c>
      <c r="F10" s="612">
        <v>32391562.694528311</v>
      </c>
      <c r="G10" s="612">
        <v>22040804.562816057</v>
      </c>
      <c r="H10" s="614">
        <f t="shared" ref="H10:H19" si="0">F10+G10</f>
        <v>54432367.257344365</v>
      </c>
      <c r="I10" s="612">
        <v>5933708.648421146</v>
      </c>
      <c r="J10" s="612">
        <v>4358258.5152495699</v>
      </c>
      <c r="K10" s="615">
        <f t="shared" ref="K10:K19" si="1">I10+J10</f>
        <v>10291967.163670715</v>
      </c>
    </row>
    <row r="11" spans="1:11">
      <c r="A11" s="703">
        <v>3</v>
      </c>
      <c r="B11" s="317" t="s">
        <v>374</v>
      </c>
      <c r="C11" s="498">
        <v>110073786.79379621</v>
      </c>
      <c r="D11" s="612">
        <v>9119975.0890762843</v>
      </c>
      <c r="E11" s="612">
        <f t="shared" ref="E11:E19" si="2">C11+D11</f>
        <v>119193761.88287249</v>
      </c>
      <c r="F11" s="612">
        <v>68403679.67083618</v>
      </c>
      <c r="G11" s="612">
        <v>6529886.3785603447</v>
      </c>
      <c r="H11" s="614">
        <f t="shared" si="0"/>
        <v>74933566.04939653</v>
      </c>
      <c r="I11" s="612">
        <v>64916577.269141607</v>
      </c>
      <c r="J11" s="612">
        <v>6506673.6840743506</v>
      </c>
      <c r="K11" s="615">
        <f t="shared" si="1"/>
        <v>71423250.953215957</v>
      </c>
    </row>
    <row r="12" spans="1:11">
      <c r="A12" s="703">
        <v>4</v>
      </c>
      <c r="B12" s="317" t="s">
        <v>375</v>
      </c>
      <c r="C12" s="498">
        <v>42853068.100358427</v>
      </c>
      <c r="D12" s="612">
        <v>0</v>
      </c>
      <c r="E12" s="612">
        <f t="shared" si="2"/>
        <v>42853068.100358427</v>
      </c>
      <c r="F12" s="612">
        <v>0</v>
      </c>
      <c r="G12" s="612">
        <v>0</v>
      </c>
      <c r="H12" s="614"/>
      <c r="I12" s="612">
        <v>0</v>
      </c>
      <c r="J12" s="612">
        <v>0</v>
      </c>
      <c r="K12" s="615"/>
    </row>
    <row r="13" spans="1:11">
      <c r="A13" s="703">
        <v>5</v>
      </c>
      <c r="B13" s="317" t="s">
        <v>376</v>
      </c>
      <c r="C13" s="498">
        <v>17957279.352756754</v>
      </c>
      <c r="D13" s="612">
        <v>4639083.58238889</v>
      </c>
      <c r="E13" s="612">
        <f t="shared" si="2"/>
        <v>22596362.935145643</v>
      </c>
      <c r="F13" s="612">
        <v>5387183.8058270253</v>
      </c>
      <c r="G13" s="612">
        <v>1391725.0747166669</v>
      </c>
      <c r="H13" s="614">
        <f t="shared" si="0"/>
        <v>6778908.880543692</v>
      </c>
      <c r="I13" s="612">
        <v>897863.96763783775</v>
      </c>
      <c r="J13" s="612">
        <v>231954.17911944451</v>
      </c>
      <c r="K13" s="615">
        <f t="shared" si="1"/>
        <v>1129818.1467572823</v>
      </c>
    </row>
    <row r="14" spans="1:11">
      <c r="A14" s="341">
        <v>6</v>
      </c>
      <c r="B14" s="317" t="s">
        <v>390</v>
      </c>
      <c r="C14" s="498"/>
      <c r="D14" s="612"/>
      <c r="E14" s="612"/>
      <c r="F14" s="612">
        <v>0</v>
      </c>
      <c r="G14" s="612">
        <v>0</v>
      </c>
      <c r="H14" s="614"/>
      <c r="I14" s="612">
        <v>0</v>
      </c>
      <c r="J14" s="612">
        <v>0</v>
      </c>
      <c r="K14" s="615"/>
    </row>
    <row r="15" spans="1:11">
      <c r="A15" s="703">
        <v>7</v>
      </c>
      <c r="B15" s="317" t="s">
        <v>377</v>
      </c>
      <c r="C15" s="498">
        <v>10638653.013480287</v>
      </c>
      <c r="D15" s="612">
        <v>4116934.7982336418</v>
      </c>
      <c r="E15" s="612">
        <f t="shared" si="2"/>
        <v>14755587.811713928</v>
      </c>
      <c r="F15" s="612">
        <v>10638653.013480287</v>
      </c>
      <c r="G15" s="612">
        <v>4116934.7982336418</v>
      </c>
      <c r="H15" s="614">
        <f t="shared" si="0"/>
        <v>14755587.811713928</v>
      </c>
      <c r="I15" s="612">
        <v>10638653.013480287</v>
      </c>
      <c r="J15" s="612">
        <v>4116934.7982336418</v>
      </c>
      <c r="K15" s="615">
        <f t="shared" si="1"/>
        <v>14755587.811713928</v>
      </c>
    </row>
    <row r="16" spans="1:11">
      <c r="A16" s="341">
        <v>8</v>
      </c>
      <c r="B16" s="319" t="s">
        <v>378</v>
      </c>
      <c r="C16" s="616">
        <f t="shared" ref="C16:K16" si="3">SUM(C10:C15)</f>
        <v>300196960.2288146</v>
      </c>
      <c r="D16" s="616">
        <f t="shared" si="3"/>
        <v>105041163.77469023</v>
      </c>
      <c r="E16" s="616">
        <f t="shared" si="3"/>
        <v>405238124.00350481</v>
      </c>
      <c r="F16" s="616">
        <f t="shared" si="3"/>
        <v>116821079.1846718</v>
      </c>
      <c r="G16" s="616">
        <f t="shared" si="3"/>
        <v>34079350.814326711</v>
      </c>
      <c r="H16" s="616">
        <f t="shared" si="3"/>
        <v>150900429.99899852</v>
      </c>
      <c r="I16" s="616">
        <f t="shared" si="3"/>
        <v>82386802.898680881</v>
      </c>
      <c r="J16" s="616">
        <f t="shared" si="3"/>
        <v>15213821.176677007</v>
      </c>
      <c r="K16" s="616">
        <f t="shared" si="3"/>
        <v>97600624.075357884</v>
      </c>
    </row>
    <row r="17" spans="1:11">
      <c r="A17" s="339" t="s">
        <v>379</v>
      </c>
      <c r="B17" s="332"/>
      <c r="C17" s="613"/>
      <c r="D17" s="613"/>
      <c r="E17" s="612"/>
      <c r="F17" s="613"/>
      <c r="G17" s="613"/>
      <c r="H17" s="614"/>
      <c r="I17" s="613"/>
      <c r="J17" s="613"/>
      <c r="K17" s="615"/>
    </row>
    <row r="18" spans="1:11">
      <c r="A18" s="341">
        <v>9</v>
      </c>
      <c r="B18" s="317" t="s">
        <v>380</v>
      </c>
      <c r="C18" s="498"/>
      <c r="D18" s="612"/>
      <c r="E18" s="612"/>
      <c r="F18" s="612"/>
      <c r="G18" s="612"/>
      <c r="H18" s="614"/>
      <c r="I18" s="612"/>
      <c r="J18" s="612"/>
      <c r="K18" s="615"/>
    </row>
    <row r="19" spans="1:11">
      <c r="A19" s="703">
        <v>10</v>
      </c>
      <c r="B19" s="317" t="s">
        <v>381</v>
      </c>
      <c r="C19" s="498">
        <v>66842866.840652853</v>
      </c>
      <c r="D19" s="612">
        <v>1083726.9061193902</v>
      </c>
      <c r="E19" s="612">
        <f t="shared" si="2"/>
        <v>67926593.746772245</v>
      </c>
      <c r="F19" s="612">
        <v>33421433.420326427</v>
      </c>
      <c r="G19" s="612">
        <v>541863.45305969508</v>
      </c>
      <c r="H19" s="614">
        <f t="shared" si="0"/>
        <v>33963296.873386122</v>
      </c>
      <c r="I19" s="612">
        <v>86125337.496462613</v>
      </c>
      <c r="J19" s="612">
        <v>42803364.356389448</v>
      </c>
      <c r="K19" s="615">
        <f t="shared" si="1"/>
        <v>128928701.85285206</v>
      </c>
    </row>
    <row r="20" spans="1:11">
      <c r="A20" s="341">
        <v>11</v>
      </c>
      <c r="B20" s="317" t="s">
        <v>382</v>
      </c>
      <c r="C20" s="317"/>
      <c r="D20" s="318"/>
      <c r="E20" s="318"/>
      <c r="F20" s="318"/>
      <c r="G20" s="318"/>
      <c r="H20" s="318"/>
      <c r="I20" s="318"/>
      <c r="J20" s="318"/>
      <c r="K20" s="342"/>
    </row>
    <row r="21" spans="1:11" ht="13.5" thickBot="1">
      <c r="A21" s="220">
        <v>12</v>
      </c>
      <c r="B21" s="343" t="s">
        <v>383</v>
      </c>
      <c r="C21" s="617">
        <f>SUM(C18:C20)</f>
        <v>66842866.840652853</v>
      </c>
      <c r="D21" s="617">
        <f t="shared" ref="D21:K21" si="4">SUM(D18:D20)</f>
        <v>1083726.9061193902</v>
      </c>
      <c r="E21" s="617">
        <f t="shared" si="4"/>
        <v>67926593.746772245</v>
      </c>
      <c r="F21" s="617">
        <f t="shared" si="4"/>
        <v>33421433.420326427</v>
      </c>
      <c r="G21" s="617">
        <f t="shared" si="4"/>
        <v>541863.45305969508</v>
      </c>
      <c r="H21" s="617">
        <f t="shared" si="4"/>
        <v>33963296.873386122</v>
      </c>
      <c r="I21" s="617">
        <f t="shared" si="4"/>
        <v>86125337.496462613</v>
      </c>
      <c r="J21" s="617">
        <f t="shared" si="4"/>
        <v>42803364.356389448</v>
      </c>
      <c r="K21" s="617">
        <f t="shared" si="4"/>
        <v>128928701.85285206</v>
      </c>
    </row>
    <row r="22" spans="1:11" ht="38.25" customHeight="1" thickBot="1">
      <c r="A22" s="330"/>
      <c r="B22" s="331"/>
      <c r="C22" s="331"/>
      <c r="D22" s="331"/>
      <c r="E22" s="331"/>
      <c r="F22" s="753" t="s">
        <v>384</v>
      </c>
      <c r="G22" s="754"/>
      <c r="H22" s="754"/>
      <c r="I22" s="753" t="s">
        <v>385</v>
      </c>
      <c r="J22" s="754"/>
      <c r="K22" s="755"/>
    </row>
    <row r="23" spans="1:11" ht="13.5" thickBot="1">
      <c r="A23" s="323">
        <v>13</v>
      </c>
      <c r="B23" s="320" t="s">
        <v>371</v>
      </c>
      <c r="C23" s="329"/>
      <c r="D23" s="329"/>
      <c r="E23" s="329"/>
      <c r="F23" s="618">
        <f>F8</f>
        <v>110096144.55883034</v>
      </c>
      <c r="G23" s="618">
        <f>G8</f>
        <v>79098182.840350315</v>
      </c>
      <c r="H23" s="619">
        <f>F23+G23</f>
        <v>189194327.39918065</v>
      </c>
      <c r="I23" s="618">
        <f>I8</f>
        <v>100622356.7885257</v>
      </c>
      <c r="J23" s="618">
        <f>J8</f>
        <v>36920624.08401341</v>
      </c>
      <c r="K23" s="620">
        <f>I23+J23</f>
        <v>137542980.8725391</v>
      </c>
    </row>
    <row r="24" spans="1:11" ht="13.5" thickBot="1">
      <c r="A24" s="324">
        <v>14</v>
      </c>
      <c r="B24" s="321" t="s">
        <v>386</v>
      </c>
      <c r="C24" s="344"/>
      <c r="D24" s="327"/>
      <c r="E24" s="328"/>
      <c r="F24" s="621">
        <f>MAX(F16-F21,F16*0.25)</f>
        <v>83399645.764345378</v>
      </c>
      <c r="G24" s="621">
        <f>MAX(G16-G21,G16*0.25)</f>
        <v>33537487.361267015</v>
      </c>
      <c r="H24" s="619">
        <f>F24+G24</f>
        <v>116937133.12561239</v>
      </c>
      <c r="I24" s="621">
        <f>MAX(I16-I21,I16*0.25)</f>
        <v>20596700.72467022</v>
      </c>
      <c r="J24" s="621">
        <f>MAX(J16-J21,J16*0.25)</f>
        <v>3803455.2941692518</v>
      </c>
      <c r="K24" s="620">
        <f>I24+J24</f>
        <v>24400156.018839471</v>
      </c>
    </row>
    <row r="25" spans="1:11" ht="13.5" thickBot="1">
      <c r="A25" s="325">
        <v>15</v>
      </c>
      <c r="B25" s="322" t="s">
        <v>387</v>
      </c>
      <c r="C25" s="326"/>
      <c r="D25" s="326"/>
      <c r="E25" s="326"/>
      <c r="F25" s="622">
        <f t="shared" ref="F25:K25" si="5">F23/F24</f>
        <v>1.3201032636267878</v>
      </c>
      <c r="G25" s="622">
        <f t="shared" si="5"/>
        <v>2.3585005635127598</v>
      </c>
      <c r="H25" s="622">
        <f t="shared" si="5"/>
        <v>1.6179148773550869</v>
      </c>
      <c r="I25" s="622">
        <f t="shared" si="5"/>
        <v>4.885362861441334</v>
      </c>
      <c r="J25" s="622">
        <f t="shared" si="5"/>
        <v>9.7071271326925341</v>
      </c>
      <c r="K25" s="623">
        <f t="shared" si="5"/>
        <v>5.6369713688036072</v>
      </c>
    </row>
    <row r="28" spans="1:11" ht="38.25">
      <c r="B28" s="23" t="s">
        <v>422</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140625" defaultRowHeight="15"/>
  <cols>
    <col min="1" max="1" width="10.5703125" style="67" bestFit="1" customWidth="1"/>
    <col min="2" max="2" width="95" style="67" customWidth="1"/>
    <col min="3" max="3" width="12.5703125" style="67" bestFit="1" customWidth="1"/>
    <col min="4" max="4" width="10" style="67" bestFit="1" customWidth="1"/>
    <col min="5" max="5" width="18.28515625" style="67" bestFit="1" customWidth="1"/>
    <col min="6" max="13" width="10.7109375" style="67" customWidth="1"/>
    <col min="14" max="14" width="31" style="67" bestFit="1" customWidth="1"/>
    <col min="15" max="16384" width="9.140625" style="13"/>
  </cols>
  <sheetData>
    <row r="1" spans="1:14">
      <c r="A1" s="5" t="s">
        <v>188</v>
      </c>
      <c r="B1" s="67" t="str">
        <f>Info!C2</f>
        <v>სს "კრედო ბანკი"</v>
      </c>
    </row>
    <row r="2" spans="1:14" ht="14.25" customHeight="1">
      <c r="A2" s="67" t="s">
        <v>189</v>
      </c>
      <c r="B2" s="469">
        <f>'1. key ratios'!B2</f>
        <v>44742</v>
      </c>
    </row>
    <row r="3" spans="1:14" ht="14.25" customHeight="1"/>
    <row r="4" spans="1:14" ht="15.75" thickBot="1">
      <c r="A4" s="2" t="s">
        <v>340</v>
      </c>
      <c r="B4" s="92" t="s">
        <v>77</v>
      </c>
    </row>
    <row r="5" spans="1:14" s="25" customFormat="1" ht="12.75">
      <c r="A5" s="172"/>
      <c r="B5" s="173"/>
      <c r="C5" s="174" t="s">
        <v>0</v>
      </c>
      <c r="D5" s="174" t="s">
        <v>1</v>
      </c>
      <c r="E5" s="174" t="s">
        <v>2</v>
      </c>
      <c r="F5" s="174" t="s">
        <v>3</v>
      </c>
      <c r="G5" s="174" t="s">
        <v>4</v>
      </c>
      <c r="H5" s="174" t="s">
        <v>5</v>
      </c>
      <c r="I5" s="174" t="s">
        <v>237</v>
      </c>
      <c r="J5" s="174" t="s">
        <v>238</v>
      </c>
      <c r="K5" s="174" t="s">
        <v>239</v>
      </c>
      <c r="L5" s="174" t="s">
        <v>240</v>
      </c>
      <c r="M5" s="174" t="s">
        <v>241</v>
      </c>
      <c r="N5" s="175" t="s">
        <v>242</v>
      </c>
    </row>
    <row r="6" spans="1:14" ht="45">
      <c r="A6" s="164"/>
      <c r="B6" s="104"/>
      <c r="C6" s="105" t="s">
        <v>87</v>
      </c>
      <c r="D6" s="106" t="s">
        <v>76</v>
      </c>
      <c r="E6" s="107" t="s">
        <v>86</v>
      </c>
      <c r="F6" s="108">
        <v>0</v>
      </c>
      <c r="G6" s="108">
        <v>0.2</v>
      </c>
      <c r="H6" s="108">
        <v>0.35</v>
      </c>
      <c r="I6" s="108">
        <v>0.5</v>
      </c>
      <c r="J6" s="108">
        <v>0.75</v>
      </c>
      <c r="K6" s="108">
        <v>1</v>
      </c>
      <c r="L6" s="108">
        <v>1.5</v>
      </c>
      <c r="M6" s="108">
        <v>2.5</v>
      </c>
      <c r="N6" s="165" t="s">
        <v>77</v>
      </c>
    </row>
    <row r="7" spans="1:14">
      <c r="A7" s="166">
        <v>1</v>
      </c>
      <c r="B7" s="109" t="s">
        <v>78</v>
      </c>
      <c r="C7" s="290">
        <f>SUM(C8:C13)</f>
        <v>116641515</v>
      </c>
      <c r="D7" s="104"/>
      <c r="E7" s="293">
        <f t="shared" ref="E7:M7" si="0">SUM(E8:E13)</f>
        <v>2332830.3000000003</v>
      </c>
      <c r="F7" s="290">
        <f>SUM(F8:F13)</f>
        <v>0</v>
      </c>
      <c r="G7" s="290">
        <f t="shared" si="0"/>
        <v>0</v>
      </c>
      <c r="H7" s="290">
        <f t="shared" si="0"/>
        <v>0</v>
      </c>
      <c r="I7" s="290">
        <f t="shared" si="0"/>
        <v>0</v>
      </c>
      <c r="J7" s="290">
        <f t="shared" si="0"/>
        <v>0</v>
      </c>
      <c r="K7" s="290">
        <f t="shared" si="0"/>
        <v>2332830.3000000003</v>
      </c>
      <c r="L7" s="290">
        <f t="shared" si="0"/>
        <v>0</v>
      </c>
      <c r="M7" s="290">
        <f t="shared" si="0"/>
        <v>0</v>
      </c>
      <c r="N7" s="167">
        <f>SUM(N8:N13)</f>
        <v>2332830.3000000003</v>
      </c>
    </row>
    <row r="8" spans="1:14">
      <c r="A8" s="166">
        <v>1.1000000000000001</v>
      </c>
      <c r="B8" s="110" t="s">
        <v>79</v>
      </c>
      <c r="C8" s="291">
        <v>116641515</v>
      </c>
      <c r="D8" s="111">
        <v>0.02</v>
      </c>
      <c r="E8" s="293">
        <f>C8*D8</f>
        <v>2332830.3000000003</v>
      </c>
      <c r="F8" s="291"/>
      <c r="G8" s="291"/>
      <c r="H8" s="291"/>
      <c r="I8" s="291"/>
      <c r="J8" s="291"/>
      <c r="K8" s="706">
        <v>2332830.3000000003</v>
      </c>
      <c r="L8" s="291"/>
      <c r="M8" s="291"/>
      <c r="N8" s="167">
        <f>SUMPRODUCT($F$6:$M$6,F8:M8)</f>
        <v>2332830.3000000003</v>
      </c>
    </row>
    <row r="9" spans="1:14">
      <c r="A9" s="166">
        <v>1.2</v>
      </c>
      <c r="B9" s="110" t="s">
        <v>80</v>
      </c>
      <c r="C9" s="291"/>
      <c r="D9" s="111">
        <v>0.05</v>
      </c>
      <c r="E9" s="293">
        <f>C9*D9</f>
        <v>0</v>
      </c>
      <c r="F9" s="291"/>
      <c r="G9" s="291"/>
      <c r="H9" s="291"/>
      <c r="I9" s="291"/>
      <c r="J9" s="291"/>
      <c r="K9" s="291"/>
      <c r="L9" s="291"/>
      <c r="M9" s="291"/>
      <c r="N9" s="167">
        <f t="shared" ref="N9:N12" si="1">SUMPRODUCT($F$6:$M$6,F9:M9)</f>
        <v>0</v>
      </c>
    </row>
    <row r="10" spans="1:14">
      <c r="A10" s="166">
        <v>1.3</v>
      </c>
      <c r="B10" s="110" t="s">
        <v>81</v>
      </c>
      <c r="C10" s="291">
        <v>0</v>
      </c>
      <c r="D10" s="111">
        <v>0.08</v>
      </c>
      <c r="E10" s="293">
        <f>C10*D10</f>
        <v>0</v>
      </c>
      <c r="F10" s="291"/>
      <c r="G10" s="291"/>
      <c r="H10" s="291"/>
      <c r="I10" s="291"/>
      <c r="J10" s="291"/>
      <c r="K10" s="291"/>
      <c r="L10" s="291"/>
      <c r="M10" s="291"/>
      <c r="N10" s="167">
        <f>SUMPRODUCT($F$6:$M$6,F10:M10)</f>
        <v>0</v>
      </c>
    </row>
    <row r="11" spans="1:14">
      <c r="A11" s="166">
        <v>1.4</v>
      </c>
      <c r="B11" s="110" t="s">
        <v>82</v>
      </c>
      <c r="C11" s="291">
        <v>0</v>
      </c>
      <c r="D11" s="111">
        <v>0.11</v>
      </c>
      <c r="E11" s="293">
        <f>C11*D11</f>
        <v>0</v>
      </c>
      <c r="F11" s="291"/>
      <c r="G11" s="291"/>
      <c r="H11" s="291"/>
      <c r="I11" s="291"/>
      <c r="J11" s="291"/>
      <c r="K11" s="291"/>
      <c r="L11" s="291"/>
      <c r="M11" s="291"/>
      <c r="N11" s="167">
        <f t="shared" si="1"/>
        <v>0</v>
      </c>
    </row>
    <row r="12" spans="1:14">
      <c r="A12" s="166">
        <v>1.5</v>
      </c>
      <c r="B12" s="110" t="s">
        <v>83</v>
      </c>
      <c r="C12" s="291">
        <v>0</v>
      </c>
      <c r="D12" s="111">
        <v>0.14000000000000001</v>
      </c>
      <c r="E12" s="293">
        <f>C12*D12</f>
        <v>0</v>
      </c>
      <c r="F12" s="291"/>
      <c r="G12" s="291"/>
      <c r="H12" s="291"/>
      <c r="I12" s="291"/>
      <c r="J12" s="291"/>
      <c r="K12" s="291"/>
      <c r="L12" s="291"/>
      <c r="M12" s="291"/>
      <c r="N12" s="167">
        <f t="shared" si="1"/>
        <v>0</v>
      </c>
    </row>
    <row r="13" spans="1:14">
      <c r="A13" s="166">
        <v>1.6</v>
      </c>
      <c r="B13" s="112" t="s">
        <v>84</v>
      </c>
      <c r="C13" s="291">
        <v>0</v>
      </c>
      <c r="D13" s="113"/>
      <c r="E13" s="291"/>
      <c r="F13" s="291"/>
      <c r="G13" s="291"/>
      <c r="H13" s="291"/>
      <c r="I13" s="291"/>
      <c r="J13" s="291"/>
      <c r="K13" s="291"/>
      <c r="L13" s="291"/>
      <c r="M13" s="291"/>
      <c r="N13" s="167">
        <f>SUMPRODUCT($F$6:$M$6,F13:M13)</f>
        <v>0</v>
      </c>
    </row>
    <row r="14" spans="1:14">
      <c r="A14" s="166">
        <v>2</v>
      </c>
      <c r="B14" s="114" t="s">
        <v>85</v>
      </c>
      <c r="C14" s="290">
        <f>SUM(C15:C20)</f>
        <v>0</v>
      </c>
      <c r="D14" s="104"/>
      <c r="E14" s="293">
        <f t="shared" ref="E14:M14" si="2">SUM(E15:E20)</f>
        <v>0</v>
      </c>
      <c r="F14" s="291">
        <f t="shared" si="2"/>
        <v>0</v>
      </c>
      <c r="G14" s="291">
        <f t="shared" si="2"/>
        <v>0</v>
      </c>
      <c r="H14" s="291">
        <f t="shared" si="2"/>
        <v>0</v>
      </c>
      <c r="I14" s="291">
        <f t="shared" si="2"/>
        <v>0</v>
      </c>
      <c r="J14" s="291">
        <f t="shared" si="2"/>
        <v>0</v>
      </c>
      <c r="K14" s="291">
        <f t="shared" si="2"/>
        <v>0</v>
      </c>
      <c r="L14" s="291">
        <f t="shared" si="2"/>
        <v>0</v>
      </c>
      <c r="M14" s="291">
        <f t="shared" si="2"/>
        <v>0</v>
      </c>
      <c r="N14" s="167">
        <f>SUM(N15:N20)</f>
        <v>0</v>
      </c>
    </row>
    <row r="15" spans="1:14">
      <c r="A15" s="166">
        <v>2.1</v>
      </c>
      <c r="B15" s="112" t="s">
        <v>79</v>
      </c>
      <c r="C15" s="291"/>
      <c r="D15" s="111">
        <v>5.0000000000000001E-3</v>
      </c>
      <c r="E15" s="293">
        <f>C15*D15</f>
        <v>0</v>
      </c>
      <c r="F15" s="291"/>
      <c r="G15" s="291"/>
      <c r="H15" s="291"/>
      <c r="I15" s="291"/>
      <c r="J15" s="291"/>
      <c r="K15" s="291"/>
      <c r="L15" s="291"/>
      <c r="M15" s="291"/>
      <c r="N15" s="167">
        <f>SUMPRODUCT($F$6:$M$6,F15:M15)</f>
        <v>0</v>
      </c>
    </row>
    <row r="16" spans="1:14">
      <c r="A16" s="166">
        <v>2.2000000000000002</v>
      </c>
      <c r="B16" s="112" t="s">
        <v>80</v>
      </c>
      <c r="C16" s="291"/>
      <c r="D16" s="111">
        <v>0.01</v>
      </c>
      <c r="E16" s="293">
        <f>C16*D16</f>
        <v>0</v>
      </c>
      <c r="F16" s="291"/>
      <c r="G16" s="291"/>
      <c r="H16" s="291"/>
      <c r="I16" s="291"/>
      <c r="J16" s="291"/>
      <c r="K16" s="291"/>
      <c r="L16" s="291"/>
      <c r="M16" s="291"/>
      <c r="N16" s="167">
        <f t="shared" ref="N16:N20" si="3">SUMPRODUCT($F$6:$M$6,F16:M16)</f>
        <v>0</v>
      </c>
    </row>
    <row r="17" spans="1:14">
      <c r="A17" s="166">
        <v>2.2999999999999998</v>
      </c>
      <c r="B17" s="112" t="s">
        <v>81</v>
      </c>
      <c r="C17" s="291"/>
      <c r="D17" s="111">
        <v>0.02</v>
      </c>
      <c r="E17" s="293">
        <f>C17*D17</f>
        <v>0</v>
      </c>
      <c r="F17" s="291"/>
      <c r="G17" s="291"/>
      <c r="H17" s="291"/>
      <c r="I17" s="291"/>
      <c r="J17" s="291"/>
      <c r="K17" s="291"/>
      <c r="L17" s="291"/>
      <c r="M17" s="291"/>
      <c r="N17" s="167">
        <f t="shared" si="3"/>
        <v>0</v>
      </c>
    </row>
    <row r="18" spans="1:14">
      <c r="A18" s="166">
        <v>2.4</v>
      </c>
      <c r="B18" s="112" t="s">
        <v>82</v>
      </c>
      <c r="C18" s="291"/>
      <c r="D18" s="111">
        <v>0.03</v>
      </c>
      <c r="E18" s="293">
        <f>C18*D18</f>
        <v>0</v>
      </c>
      <c r="F18" s="291"/>
      <c r="G18" s="291"/>
      <c r="H18" s="291"/>
      <c r="I18" s="291"/>
      <c r="J18" s="291"/>
      <c r="K18" s="291"/>
      <c r="L18" s="291"/>
      <c r="M18" s="291"/>
      <c r="N18" s="167">
        <f t="shared" si="3"/>
        <v>0</v>
      </c>
    </row>
    <row r="19" spans="1:14">
      <c r="A19" s="166">
        <v>2.5</v>
      </c>
      <c r="B19" s="112" t="s">
        <v>83</v>
      </c>
      <c r="C19" s="291"/>
      <c r="D19" s="111">
        <v>0.04</v>
      </c>
      <c r="E19" s="293">
        <f>C19*D19</f>
        <v>0</v>
      </c>
      <c r="F19" s="291"/>
      <c r="G19" s="291"/>
      <c r="H19" s="291"/>
      <c r="I19" s="291"/>
      <c r="J19" s="291"/>
      <c r="K19" s="291"/>
      <c r="L19" s="291"/>
      <c r="M19" s="291"/>
      <c r="N19" s="167">
        <f t="shared" si="3"/>
        <v>0</v>
      </c>
    </row>
    <row r="20" spans="1:14">
      <c r="A20" s="166">
        <v>2.6</v>
      </c>
      <c r="B20" s="112" t="s">
        <v>84</v>
      </c>
      <c r="C20" s="291"/>
      <c r="D20" s="113"/>
      <c r="E20" s="294"/>
      <c r="F20" s="291"/>
      <c r="G20" s="291"/>
      <c r="H20" s="291"/>
      <c r="I20" s="291"/>
      <c r="J20" s="291"/>
      <c r="K20" s="291"/>
      <c r="L20" s="291"/>
      <c r="M20" s="291"/>
      <c r="N20" s="167">
        <f t="shared" si="3"/>
        <v>0</v>
      </c>
    </row>
    <row r="21" spans="1:14" ht="15.75" thickBot="1">
      <c r="A21" s="168">
        <v>3</v>
      </c>
      <c r="B21" s="169" t="s">
        <v>68</v>
      </c>
      <c r="C21" s="292">
        <f>C14+C7</f>
        <v>116641515</v>
      </c>
      <c r="D21" s="170"/>
      <c r="E21" s="295">
        <f>E14+E7</f>
        <v>2332830.3000000003</v>
      </c>
      <c r="F21" s="296">
        <f>F7+F14</f>
        <v>0</v>
      </c>
      <c r="G21" s="296">
        <f t="shared" ref="G21:L21" si="4">G7+G14</f>
        <v>0</v>
      </c>
      <c r="H21" s="296">
        <f t="shared" si="4"/>
        <v>0</v>
      </c>
      <c r="I21" s="296">
        <f t="shared" si="4"/>
        <v>0</v>
      </c>
      <c r="J21" s="296">
        <f t="shared" si="4"/>
        <v>0</v>
      </c>
      <c r="K21" s="296">
        <f t="shared" si="4"/>
        <v>2332830.3000000003</v>
      </c>
      <c r="L21" s="296">
        <f t="shared" si="4"/>
        <v>0</v>
      </c>
      <c r="M21" s="296">
        <f>M7+M14</f>
        <v>0</v>
      </c>
      <c r="N21" s="171">
        <f>N14+N7</f>
        <v>2332830.3000000003</v>
      </c>
    </row>
    <row r="22" spans="1:14">
      <c r="E22" s="297"/>
      <c r="F22" s="297"/>
      <c r="G22" s="297"/>
      <c r="H22" s="297"/>
      <c r="I22" s="297"/>
      <c r="J22" s="297"/>
      <c r="K22" s="297"/>
      <c r="L22" s="297"/>
      <c r="M22" s="29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24" workbookViewId="0">
      <selection activeCell="C28" sqref="C28:C30"/>
    </sheetView>
  </sheetViews>
  <sheetFormatPr defaultRowHeight="15"/>
  <cols>
    <col min="1" max="1" width="11.42578125" customWidth="1"/>
    <col min="2" max="2" width="76.85546875" style="4" customWidth="1"/>
    <col min="3" max="3" width="22.85546875" customWidth="1"/>
  </cols>
  <sheetData>
    <row r="1" spans="1:3">
      <c r="A1" s="335" t="s">
        <v>188</v>
      </c>
      <c r="B1" t="str">
        <f>Info!C2</f>
        <v>სს "კრედო ბანკი"</v>
      </c>
    </row>
    <row r="2" spans="1:3">
      <c r="A2" s="335" t="s">
        <v>189</v>
      </c>
      <c r="B2" s="469">
        <f>'1. key ratios'!B2</f>
        <v>44742</v>
      </c>
    </row>
    <row r="3" spans="1:3">
      <c r="A3" s="335"/>
      <c r="B3"/>
    </row>
    <row r="4" spans="1:3">
      <c r="A4" s="335" t="s">
        <v>467</v>
      </c>
      <c r="B4" t="s">
        <v>426</v>
      </c>
    </row>
    <row r="5" spans="1:3">
      <c r="A5" s="397"/>
      <c r="B5" s="397" t="s">
        <v>427</v>
      </c>
      <c r="C5" s="409"/>
    </row>
    <row r="6" spans="1:3">
      <c r="A6" s="398">
        <v>1</v>
      </c>
      <c r="B6" s="410" t="s">
        <v>479</v>
      </c>
      <c r="C6" s="411">
        <v>2036805682.5322819</v>
      </c>
    </row>
    <row r="7" spans="1:3">
      <c r="A7" s="398">
        <v>2</v>
      </c>
      <c r="B7" s="410" t="s">
        <v>428</v>
      </c>
      <c r="C7" s="411">
        <v>-13492468.710000001</v>
      </c>
    </row>
    <row r="8" spans="1:3">
      <c r="A8" s="399">
        <v>3</v>
      </c>
      <c r="B8" s="412" t="s">
        <v>429</v>
      </c>
      <c r="C8" s="413">
        <f>C6+C7</f>
        <v>2023313213.8222818</v>
      </c>
    </row>
    <row r="9" spans="1:3">
      <c r="A9" s="400"/>
      <c r="B9" s="400" t="s">
        <v>430</v>
      </c>
      <c r="C9" s="414"/>
    </row>
    <row r="10" spans="1:3">
      <c r="A10" s="401">
        <v>4</v>
      </c>
      <c r="B10" s="415" t="s">
        <v>431</v>
      </c>
      <c r="C10" s="411"/>
    </row>
    <row r="11" spans="1:3">
      <c r="A11" s="401">
        <v>5</v>
      </c>
      <c r="B11" s="416" t="s">
        <v>432</v>
      </c>
      <c r="C11" s="411"/>
    </row>
    <row r="12" spans="1:3">
      <c r="A12" s="401" t="s">
        <v>433</v>
      </c>
      <c r="B12" s="410" t="s">
        <v>434</v>
      </c>
      <c r="C12" s="413">
        <f>'15. CCR'!E21</f>
        <v>2332830.3000000003</v>
      </c>
    </row>
    <row r="13" spans="1:3">
      <c r="A13" s="402">
        <v>6</v>
      </c>
      <c r="B13" s="417" t="s">
        <v>435</v>
      </c>
      <c r="C13" s="411"/>
    </row>
    <row r="14" spans="1:3">
      <c r="A14" s="402">
        <v>7</v>
      </c>
      <c r="B14" s="418" t="s">
        <v>436</v>
      </c>
      <c r="C14" s="411"/>
    </row>
    <row r="15" spans="1:3">
      <c r="A15" s="403">
        <v>8</v>
      </c>
      <c r="B15" s="410" t="s">
        <v>437</v>
      </c>
      <c r="C15" s="411"/>
    </row>
    <row r="16" spans="1:3" ht="24">
      <c r="A16" s="402">
        <v>9</v>
      </c>
      <c r="B16" s="418" t="s">
        <v>438</v>
      </c>
      <c r="C16" s="411"/>
    </row>
    <row r="17" spans="1:3">
      <c r="A17" s="402">
        <v>10</v>
      </c>
      <c r="B17" s="418" t="s">
        <v>439</v>
      </c>
      <c r="C17" s="411"/>
    </row>
    <row r="18" spans="1:3">
      <c r="A18" s="404">
        <v>11</v>
      </c>
      <c r="B18" s="419" t="s">
        <v>440</v>
      </c>
      <c r="C18" s="413">
        <f>SUM(C10:C17)</f>
        <v>2332830.3000000003</v>
      </c>
    </row>
    <row r="19" spans="1:3">
      <c r="A19" s="400"/>
      <c r="B19" s="400" t="s">
        <v>441</v>
      </c>
      <c r="C19" s="420"/>
    </row>
    <row r="20" spans="1:3">
      <c r="A20" s="402">
        <v>12</v>
      </c>
      <c r="B20" s="415" t="s">
        <v>442</v>
      </c>
      <c r="C20" s="411"/>
    </row>
    <row r="21" spans="1:3">
      <c r="A21" s="402">
        <v>13</v>
      </c>
      <c r="B21" s="415" t="s">
        <v>443</v>
      </c>
      <c r="C21" s="411"/>
    </row>
    <row r="22" spans="1:3">
      <c r="A22" s="402">
        <v>14</v>
      </c>
      <c r="B22" s="415" t="s">
        <v>444</v>
      </c>
      <c r="C22" s="411"/>
    </row>
    <row r="23" spans="1:3" ht="24">
      <c r="A23" s="402" t="s">
        <v>445</v>
      </c>
      <c r="B23" s="415" t="s">
        <v>446</v>
      </c>
      <c r="C23" s="411"/>
    </row>
    <row r="24" spans="1:3">
      <c r="A24" s="402">
        <v>15</v>
      </c>
      <c r="B24" s="415" t="s">
        <v>447</v>
      </c>
      <c r="C24" s="411"/>
    </row>
    <row r="25" spans="1:3">
      <c r="A25" s="402" t="s">
        <v>448</v>
      </c>
      <c r="B25" s="410" t="s">
        <v>449</v>
      </c>
      <c r="C25" s="411"/>
    </row>
    <row r="26" spans="1:3">
      <c r="A26" s="404">
        <v>16</v>
      </c>
      <c r="B26" s="419" t="s">
        <v>450</v>
      </c>
      <c r="C26" s="413">
        <f>SUM(C20:C25)</f>
        <v>0</v>
      </c>
    </row>
    <row r="27" spans="1:3">
      <c r="A27" s="400"/>
      <c r="B27" s="400" t="s">
        <v>451</v>
      </c>
      <c r="C27" s="414"/>
    </row>
    <row r="28" spans="1:3">
      <c r="A28" s="401">
        <v>17</v>
      </c>
      <c r="B28" s="410" t="s">
        <v>452</v>
      </c>
      <c r="C28" s="411">
        <v>35681618.990000002</v>
      </c>
    </row>
    <row r="29" spans="1:3">
      <c r="A29" s="401">
        <v>18</v>
      </c>
      <c r="B29" s="410" t="s">
        <v>453</v>
      </c>
      <c r="C29" s="411">
        <v>-22772951.990000002</v>
      </c>
    </row>
    <row r="30" spans="1:3">
      <c r="A30" s="404">
        <v>19</v>
      </c>
      <c r="B30" s="419" t="s">
        <v>454</v>
      </c>
      <c r="C30" s="413">
        <f>C28+C29</f>
        <v>12908667</v>
      </c>
    </row>
    <row r="31" spans="1:3">
      <c r="A31" s="405"/>
      <c r="B31" s="400" t="s">
        <v>455</v>
      </c>
      <c r="C31" s="414"/>
    </row>
    <row r="32" spans="1:3">
      <c r="A32" s="401" t="s">
        <v>456</v>
      </c>
      <c r="B32" s="415" t="s">
        <v>457</v>
      </c>
      <c r="C32" s="421"/>
    </row>
    <row r="33" spans="1:3">
      <c r="A33" s="401" t="s">
        <v>458</v>
      </c>
      <c r="B33" s="416" t="s">
        <v>459</v>
      </c>
      <c r="C33" s="421"/>
    </row>
    <row r="34" spans="1:3">
      <c r="A34" s="400"/>
      <c r="B34" s="400" t="s">
        <v>460</v>
      </c>
      <c r="C34" s="414"/>
    </row>
    <row r="35" spans="1:3">
      <c r="A35" s="404">
        <v>20</v>
      </c>
      <c r="B35" s="419" t="s">
        <v>89</v>
      </c>
      <c r="C35" s="413">
        <f>'1. key ratios'!C9</f>
        <v>198409430.91999987</v>
      </c>
    </row>
    <row r="36" spans="1:3">
      <c r="A36" s="404">
        <v>21</v>
      </c>
      <c r="B36" s="419" t="s">
        <v>461</v>
      </c>
      <c r="C36" s="413">
        <f>C8+C18+C26+C30</f>
        <v>2038554711.1222818</v>
      </c>
    </row>
    <row r="37" spans="1:3">
      <c r="A37" s="406"/>
      <c r="B37" s="406" t="s">
        <v>426</v>
      </c>
      <c r="C37" s="414"/>
    </row>
    <row r="38" spans="1:3">
      <c r="A38" s="404">
        <v>22</v>
      </c>
      <c r="B38" s="419" t="s">
        <v>426</v>
      </c>
      <c r="C38" s="624">
        <f>IFERROR(C35/C36,0)</f>
        <v>9.7328479749640803E-2</v>
      </c>
    </row>
    <row r="39" spans="1:3">
      <c r="A39" s="406"/>
      <c r="B39" s="406" t="s">
        <v>462</v>
      </c>
      <c r="C39" s="414"/>
    </row>
    <row r="40" spans="1:3">
      <c r="A40" s="407" t="s">
        <v>463</v>
      </c>
      <c r="B40" s="415" t="s">
        <v>464</v>
      </c>
      <c r="C40" s="421"/>
    </row>
    <row r="41" spans="1:3">
      <c r="A41" s="408" t="s">
        <v>465</v>
      </c>
      <c r="B41" s="416" t="s">
        <v>466</v>
      </c>
      <c r="C41" s="421"/>
    </row>
    <row r="43" spans="1:3">
      <c r="B43" s="432" t="s">
        <v>480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2"/>
  <sheetViews>
    <sheetView zoomScale="90" zoomScaleNormal="90" workbookViewId="0">
      <pane xSplit="2" ySplit="6" topLeftCell="C21" activePane="bottomRight" state="frozen"/>
      <selection pane="topRight" activeCell="C1" sqref="C1"/>
      <selection pane="bottomLeft" activeCell="A7" sqref="A7"/>
      <selection pane="bottomRight" activeCell="G23" sqref="G23"/>
    </sheetView>
  </sheetViews>
  <sheetFormatPr defaultRowHeight="15"/>
  <cols>
    <col min="1" max="1" width="9.85546875" style="335" bestFit="1" customWidth="1"/>
    <col min="2" max="2" width="82.5703125" style="23" customWidth="1"/>
    <col min="3" max="7" width="17.5703125" style="335" customWidth="1"/>
    <col min="8" max="8" width="9.140625" style="3"/>
    <col min="9" max="9" width="17.7109375" bestFit="1" customWidth="1"/>
  </cols>
  <sheetData>
    <row r="1" spans="1:9">
      <c r="A1" s="335" t="s">
        <v>188</v>
      </c>
      <c r="B1" s="335" t="str">
        <f>Info!C2</f>
        <v>სს "კრედო ბანკი"</v>
      </c>
    </row>
    <row r="2" spans="1:9">
      <c r="A2" s="335" t="s">
        <v>189</v>
      </c>
      <c r="B2" s="469">
        <f>'1. key ratios'!B2</f>
        <v>44742</v>
      </c>
    </row>
    <row r="3" spans="1:9">
      <c r="B3" s="469"/>
    </row>
    <row r="4" spans="1:9" ht="15.75" thickBot="1">
      <c r="A4" s="335" t="s">
        <v>529</v>
      </c>
      <c r="B4" s="472" t="s">
        <v>494</v>
      </c>
    </row>
    <row r="5" spans="1:9">
      <c r="A5" s="473"/>
      <c r="B5" s="474"/>
      <c r="C5" s="758" t="s">
        <v>495</v>
      </c>
      <c r="D5" s="758"/>
      <c r="E5" s="758"/>
      <c r="F5" s="758"/>
      <c r="G5" s="759" t="s">
        <v>496</v>
      </c>
    </row>
    <row r="6" spans="1:9">
      <c r="A6" s="475"/>
      <c r="B6" s="476"/>
      <c r="C6" s="477" t="s">
        <v>497</v>
      </c>
      <c r="D6" s="478" t="s">
        <v>498</v>
      </c>
      <c r="E6" s="478" t="s">
        <v>499</v>
      </c>
      <c r="F6" s="478" t="s">
        <v>500</v>
      </c>
      <c r="G6" s="760"/>
    </row>
    <row r="7" spans="1:9">
      <c r="A7" s="479"/>
      <c r="B7" s="480" t="s">
        <v>501</v>
      </c>
      <c r="C7" s="481"/>
      <c r="D7" s="481"/>
      <c r="E7" s="481"/>
      <c r="F7" s="481"/>
      <c r="G7" s="482"/>
    </row>
    <row r="8" spans="1:9">
      <c r="A8" s="483">
        <v>1</v>
      </c>
      <c r="B8" s="484" t="s">
        <v>502</v>
      </c>
      <c r="C8" s="675">
        <f>SUM(C9:C10)</f>
        <v>198409430.91999987</v>
      </c>
      <c r="D8" s="675">
        <f>SUM(D9:D10)</f>
        <v>0</v>
      </c>
      <c r="E8" s="675">
        <f>SUM(E9:E10)</f>
        <v>0</v>
      </c>
      <c r="F8" s="675">
        <f>SUM(F9:F10)</f>
        <v>901253641.25999999</v>
      </c>
      <c r="G8" s="492">
        <f>SUM(G9:G10)</f>
        <v>1099663072.1799998</v>
      </c>
    </row>
    <row r="9" spans="1:9">
      <c r="A9" s="483">
        <v>2</v>
      </c>
      <c r="B9" s="487" t="s">
        <v>88</v>
      </c>
      <c r="C9" s="485">
        <v>198409430.91999987</v>
      </c>
      <c r="D9" s="485"/>
      <c r="E9" s="485"/>
      <c r="F9" s="485">
        <v>71977496</v>
      </c>
      <c r="G9" s="486">
        <f>SUM(C9:F9)</f>
        <v>270386926.91999984</v>
      </c>
    </row>
    <row r="10" spans="1:9">
      <c r="A10" s="483">
        <v>3</v>
      </c>
      <c r="B10" s="487" t="s">
        <v>503</v>
      </c>
      <c r="C10" s="488"/>
      <c r="D10" s="488"/>
      <c r="E10" s="488"/>
      <c r="F10" s="485">
        <v>829276145.25999999</v>
      </c>
      <c r="G10" s="486">
        <f>SUM(C10:F10)</f>
        <v>829276145.25999999</v>
      </c>
    </row>
    <row r="11" spans="1:9" ht="26.25">
      <c r="A11" s="483">
        <v>4</v>
      </c>
      <c r="B11" s="484" t="s">
        <v>504</v>
      </c>
      <c r="C11" s="675">
        <f t="shared" ref="C11:F11" si="0">SUM(C12:C13)</f>
        <v>104070975.75940076</v>
      </c>
      <c r="D11" s="675">
        <f t="shared" si="0"/>
        <v>83166698.061700031</v>
      </c>
      <c r="E11" s="675">
        <f t="shared" si="0"/>
        <v>71720880.787800089</v>
      </c>
      <c r="F11" s="675">
        <f t="shared" si="0"/>
        <v>11718656.511599908</v>
      </c>
      <c r="G11" s="492">
        <f>SUM(G12:G13)</f>
        <v>253765559.53577575</v>
      </c>
    </row>
    <row r="12" spans="1:9">
      <c r="A12" s="483">
        <v>5</v>
      </c>
      <c r="B12" s="487" t="s">
        <v>505</v>
      </c>
      <c r="C12" s="485">
        <v>104070975.75940076</v>
      </c>
      <c r="D12" s="498">
        <v>78561111.88940002</v>
      </c>
      <c r="E12" s="497">
        <v>69798889.795900092</v>
      </c>
      <c r="F12" s="497">
        <v>10740031.389799908</v>
      </c>
      <c r="G12" s="486">
        <f>SUM(C12:F12)*0.95</f>
        <v>250012458.39277574</v>
      </c>
      <c r="I12" s="696"/>
    </row>
    <row r="13" spans="1:9">
      <c r="A13" s="483">
        <v>6</v>
      </c>
      <c r="B13" s="487" t="s">
        <v>506</v>
      </c>
      <c r="C13" s="485"/>
      <c r="D13" s="498">
        <v>4605586.1723000053</v>
      </c>
      <c r="E13" s="497">
        <v>1921990.9919</v>
      </c>
      <c r="F13" s="497">
        <v>978625.12180000008</v>
      </c>
      <c r="G13" s="486">
        <f>SUM(C13:F13)*0.5</f>
        <v>3753101.1430000025</v>
      </c>
      <c r="I13" s="696"/>
    </row>
    <row r="14" spans="1:9">
      <c r="A14" s="483">
        <v>7</v>
      </c>
      <c r="B14" s="484" t="s">
        <v>507</v>
      </c>
      <c r="C14" s="675">
        <f t="shared" ref="C14:F14" si="1">SUM(C15:C16)</f>
        <v>40730830.688099973</v>
      </c>
      <c r="D14" s="675">
        <f t="shared" si="1"/>
        <v>245667287.11360002</v>
      </c>
      <c r="E14" s="675">
        <f t="shared" si="1"/>
        <v>214973245.65000001</v>
      </c>
      <c r="F14" s="675">
        <f t="shared" si="1"/>
        <v>296495</v>
      </c>
      <c r="G14" s="492">
        <f>SUM(G15:G16)</f>
        <v>187496172.80584991</v>
      </c>
    </row>
    <row r="15" spans="1:9" ht="51.75">
      <c r="A15" s="483">
        <v>8</v>
      </c>
      <c r="B15" s="487" t="s">
        <v>508</v>
      </c>
      <c r="C15" s="485">
        <v>40730830.688099973</v>
      </c>
      <c r="D15" s="625">
        <v>118991774.1136</v>
      </c>
      <c r="E15" s="485">
        <v>78979938.650000006</v>
      </c>
      <c r="F15" s="485">
        <v>296495</v>
      </c>
      <c r="G15" s="486">
        <f>SUM(C15:F15)*0.5</f>
        <v>119499519.22584999</v>
      </c>
      <c r="I15" s="697"/>
    </row>
    <row r="16" spans="1:9" ht="26.25">
      <c r="A16" s="483">
        <v>9</v>
      </c>
      <c r="B16" s="487" t="s">
        <v>509</v>
      </c>
      <c r="C16" s="485"/>
      <c r="D16" s="625">
        <f>122867943+3807570</f>
        <v>126675513</v>
      </c>
      <c r="E16" s="625">
        <v>135993307</v>
      </c>
      <c r="F16" s="485"/>
      <c r="G16" s="486">
        <v>67996653.579999924</v>
      </c>
    </row>
    <row r="17" spans="1:9">
      <c r="A17" s="483">
        <v>10</v>
      </c>
      <c r="B17" s="484" t="s">
        <v>510</v>
      </c>
      <c r="C17" s="485"/>
      <c r="D17" s="489"/>
      <c r="E17" s="485"/>
      <c r="F17" s="485"/>
      <c r="G17" s="486"/>
      <c r="I17" s="697"/>
    </row>
    <row r="18" spans="1:9">
      <c r="A18" s="483">
        <v>11</v>
      </c>
      <c r="B18" s="484" t="s">
        <v>95</v>
      </c>
      <c r="C18" s="675">
        <f>SUM(C19:C20)</f>
        <v>82439255.302428901</v>
      </c>
      <c r="D18" s="676">
        <f t="shared" ref="D18:G18" si="2">SUM(D19:D20)</f>
        <v>16228332.647089601</v>
      </c>
      <c r="E18" s="675">
        <f t="shared" si="2"/>
        <v>9767621.3976096511</v>
      </c>
      <c r="F18" s="675">
        <f t="shared" si="2"/>
        <v>13052073.835448861</v>
      </c>
      <c r="G18" s="486">
        <f t="shared" si="2"/>
        <v>0</v>
      </c>
      <c r="I18" s="709"/>
    </row>
    <row r="19" spans="1:9">
      <c r="A19" s="483">
        <v>12</v>
      </c>
      <c r="B19" s="487" t="s">
        <v>511</v>
      </c>
      <c r="C19" s="488"/>
      <c r="D19" s="489"/>
      <c r="E19" s="485"/>
      <c r="F19" s="485"/>
      <c r="G19" s="486">
        <f>SUM(C19:F19)*0</f>
        <v>0</v>
      </c>
      <c r="I19" s="699"/>
    </row>
    <row r="20" spans="1:9" ht="26.25">
      <c r="A20" s="483">
        <v>13</v>
      </c>
      <c r="B20" s="487" t="s">
        <v>512</v>
      </c>
      <c r="C20" s="485">
        <v>82439255.302428901</v>
      </c>
      <c r="D20" s="485">
        <v>16228332.647089601</v>
      </c>
      <c r="E20" s="485">
        <v>9767621.3976096511</v>
      </c>
      <c r="F20" s="485">
        <v>13052073.835448861</v>
      </c>
      <c r="G20" s="486">
        <f>SUM(C20:F20)*0</f>
        <v>0</v>
      </c>
    </row>
    <row r="21" spans="1:9">
      <c r="A21" s="490">
        <v>14</v>
      </c>
      <c r="B21" s="491" t="s">
        <v>513</v>
      </c>
      <c r="C21" s="488"/>
      <c r="D21" s="488"/>
      <c r="E21" s="488"/>
      <c r="F21" s="488"/>
      <c r="G21" s="492">
        <f>SUM(G8,G11,G14,G17,G18)</f>
        <v>1540924804.5216255</v>
      </c>
    </row>
    <row r="22" spans="1:9">
      <c r="A22" s="493"/>
      <c r="B22" s="512" t="s">
        <v>514</v>
      </c>
      <c r="C22" s="494"/>
      <c r="D22" s="495"/>
      <c r="E22" s="494"/>
      <c r="F22" s="494"/>
      <c r="G22" s="496"/>
    </row>
    <row r="23" spans="1:9">
      <c r="A23" s="483">
        <v>15</v>
      </c>
      <c r="B23" s="484" t="s">
        <v>371</v>
      </c>
      <c r="C23" s="700">
        <v>279441616.43999994</v>
      </c>
      <c r="D23" s="701">
        <f>47896657.43*0.95</f>
        <v>45501824.558499999</v>
      </c>
      <c r="E23" s="497"/>
      <c r="F23" s="497"/>
      <c r="G23" s="685">
        <v>3772480.2199249999</v>
      </c>
      <c r="I23" s="698"/>
    </row>
    <row r="24" spans="1:9">
      <c r="A24" s="483">
        <v>16</v>
      </c>
      <c r="B24" s="484" t="s">
        <v>515</v>
      </c>
      <c r="C24" s="675">
        <f>SUM(C25:C27,C29,C31)</f>
        <v>14607.310000000001</v>
      </c>
      <c r="D24" s="676">
        <f t="shared" ref="D24:G24" si="3">SUM(D25:D27,D29,D31)</f>
        <v>397036261.02553499</v>
      </c>
      <c r="E24" s="675">
        <f t="shared" si="3"/>
        <v>270128472.34965503</v>
      </c>
      <c r="F24" s="675">
        <f t="shared" si="3"/>
        <v>814157072.10337257</v>
      </c>
      <c r="G24" s="486">
        <f t="shared" si="3"/>
        <v>1025618069.0719618</v>
      </c>
      <c r="I24" s="698"/>
    </row>
    <row r="25" spans="1:9" ht="26.25">
      <c r="A25" s="483">
        <v>17</v>
      </c>
      <c r="B25" s="487" t="s">
        <v>516</v>
      </c>
      <c r="C25" s="485"/>
      <c r="D25" s="489"/>
      <c r="E25" s="485"/>
      <c r="F25" s="485"/>
      <c r="G25" s="486"/>
      <c r="I25" s="698"/>
    </row>
    <row r="26" spans="1:9" ht="39">
      <c r="A26" s="483">
        <v>18</v>
      </c>
      <c r="B26" s="487" t="s">
        <v>517</v>
      </c>
      <c r="C26" s="625">
        <v>14607.310000000001</v>
      </c>
      <c r="D26" s="625"/>
      <c r="E26" s="625"/>
      <c r="F26" s="625"/>
      <c r="G26" s="684">
        <f>C26*0.15+D26*0.05</f>
        <v>2191.0965000000001</v>
      </c>
    </row>
    <row r="27" spans="1:9">
      <c r="A27" s="483">
        <v>19</v>
      </c>
      <c r="B27" s="487" t="s">
        <v>518</v>
      </c>
      <c r="C27" s="485"/>
      <c r="D27" s="489">
        <v>397036261.02553499</v>
      </c>
      <c r="E27" s="485">
        <v>270128472.34965503</v>
      </c>
      <c r="F27" s="485">
        <v>811759772.10337257</v>
      </c>
      <c r="G27" s="685">
        <f>(D27+E27)*0.5+F27*0.85</f>
        <v>1023578172.9754617</v>
      </c>
      <c r="I27" s="697"/>
    </row>
    <row r="28" spans="1:9">
      <c r="A28" s="483">
        <v>20</v>
      </c>
      <c r="B28" s="499" t="s">
        <v>519</v>
      </c>
      <c r="C28" s="485"/>
      <c r="D28" s="489"/>
      <c r="E28" s="485"/>
      <c r="F28" s="485"/>
      <c r="G28" s="685"/>
    </row>
    <row r="29" spans="1:9">
      <c r="A29" s="483">
        <v>21</v>
      </c>
      <c r="B29" s="487" t="s">
        <v>520</v>
      </c>
      <c r="C29" s="485"/>
      <c r="D29" s="489"/>
      <c r="E29" s="485"/>
      <c r="F29" s="485"/>
      <c r="G29" s="685"/>
    </row>
    <row r="30" spans="1:9">
      <c r="A30" s="483">
        <v>22</v>
      </c>
      <c r="B30" s="499" t="s">
        <v>519</v>
      </c>
      <c r="C30" s="485"/>
      <c r="D30" s="489"/>
      <c r="E30" s="485"/>
      <c r="F30" s="485"/>
      <c r="G30" s="685"/>
    </row>
    <row r="31" spans="1:9" ht="26.25">
      <c r="A31" s="483">
        <v>23</v>
      </c>
      <c r="B31" s="487" t="s">
        <v>521</v>
      </c>
      <c r="C31" s="485"/>
      <c r="D31" s="489"/>
      <c r="E31" s="485"/>
      <c r="F31" s="485">
        <v>2397300</v>
      </c>
      <c r="G31" s="685">
        <f>SUM(C31:F31)*0.85</f>
        <v>2037705</v>
      </c>
    </row>
    <row r="32" spans="1:9">
      <c r="A32" s="483">
        <v>24</v>
      </c>
      <c r="B32" s="484" t="s">
        <v>522</v>
      </c>
      <c r="C32" s="485"/>
      <c r="D32" s="489"/>
      <c r="E32" s="485"/>
      <c r="F32" s="485"/>
      <c r="G32" s="486"/>
    </row>
    <row r="33" spans="1:9">
      <c r="A33" s="483">
        <v>25</v>
      </c>
      <c r="B33" s="484" t="s">
        <v>165</v>
      </c>
      <c r="C33" s="675">
        <f>SUM(C34:C35)</f>
        <v>71740957.919999987</v>
      </c>
      <c r="D33" s="675">
        <f>SUM(D34:D35)</f>
        <v>80618128.412679583</v>
      </c>
      <c r="E33" s="675">
        <f>SUM(E34:E35)</f>
        <v>3778196.509193033</v>
      </c>
      <c r="F33" s="675">
        <f>SUM(F34:F35)</f>
        <v>33167811.858127385</v>
      </c>
      <c r="G33" s="486">
        <f>SUM(G34:G35)</f>
        <v>140774692.83710742</v>
      </c>
      <c r="I33" s="698"/>
    </row>
    <row r="34" spans="1:9">
      <c r="A34" s="483">
        <v>26</v>
      </c>
      <c r="B34" s="487" t="s">
        <v>523</v>
      </c>
      <c r="C34" s="488"/>
      <c r="D34" s="498">
        <v>2089523.700000003</v>
      </c>
      <c r="E34" s="485"/>
      <c r="F34" s="485"/>
      <c r="G34" s="486">
        <f>D34</f>
        <v>2089523.700000003</v>
      </c>
      <c r="I34" s="698"/>
    </row>
    <row r="35" spans="1:9">
      <c r="A35" s="483">
        <v>27</v>
      </c>
      <c r="B35" s="487" t="s">
        <v>524</v>
      </c>
      <c r="C35" s="485">
        <v>71740957.919999987</v>
      </c>
      <c r="D35" s="489">
        <v>78528604.71267958</v>
      </c>
      <c r="E35" s="485">
        <v>3778196.509193033</v>
      </c>
      <c r="F35" s="485">
        <v>33167811.858127385</v>
      </c>
      <c r="G35" s="486">
        <v>138685169.1371074</v>
      </c>
      <c r="I35" s="697"/>
    </row>
    <row r="36" spans="1:9">
      <c r="A36" s="483">
        <v>28</v>
      </c>
      <c r="B36" s="484" t="s">
        <v>525</v>
      </c>
      <c r="C36" s="485">
        <v>9864284.9900000002</v>
      </c>
      <c r="D36" s="489"/>
      <c r="E36" s="485"/>
      <c r="F36" s="485">
        <v>25817334</v>
      </c>
      <c r="G36" s="486">
        <v>1784080.9495000001</v>
      </c>
    </row>
    <row r="37" spans="1:9">
      <c r="A37" s="490">
        <v>29</v>
      </c>
      <c r="B37" s="491" t="s">
        <v>526</v>
      </c>
      <c r="C37" s="488"/>
      <c r="D37" s="488"/>
      <c r="E37" s="488"/>
      <c r="F37" s="488"/>
      <c r="G37" s="492">
        <f>SUM(G23:G24,G32:G33,G36)</f>
        <v>1171949323.0784943</v>
      </c>
    </row>
    <row r="38" spans="1:9">
      <c r="A38" s="479"/>
      <c r="B38" s="500"/>
      <c r="C38" s="501"/>
      <c r="D38" s="501"/>
      <c r="E38" s="501"/>
      <c r="F38" s="501"/>
      <c r="G38" s="502"/>
      <c r="I38" s="697"/>
    </row>
    <row r="39" spans="1:9" ht="15.75" thickBot="1">
      <c r="A39" s="503">
        <v>30</v>
      </c>
      <c r="B39" s="504" t="s">
        <v>494</v>
      </c>
      <c r="C39" s="344"/>
      <c r="D39" s="327"/>
      <c r="E39" s="327"/>
      <c r="F39" s="505"/>
      <c r="G39" s="506">
        <f>IFERROR(G21/G37,0)</f>
        <v>1.3148391096586847</v>
      </c>
    </row>
    <row r="42" spans="1:9" ht="39">
      <c r="B42" s="23" t="s">
        <v>527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1"/>
  <sheetViews>
    <sheetView tabSelected="1" zoomScaleNormal="100" workbookViewId="0">
      <pane xSplit="1" ySplit="5" topLeftCell="B6" activePane="bottomRight" state="frozen"/>
      <selection pane="topRight" activeCell="B1" sqref="B1"/>
      <selection pane="bottomLeft" activeCell="A6" sqref="A6"/>
      <selection pane="bottomRight" activeCell="I43" sqref="I43"/>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13" width="6.7109375" customWidth="1"/>
  </cols>
  <sheetData>
    <row r="1" spans="1:8">
      <c r="A1" s="17" t="s">
        <v>188</v>
      </c>
      <c r="B1" s="431" t="str">
        <f>Info!C2</f>
        <v>სს "კრედო ბანკი"</v>
      </c>
    </row>
    <row r="2" spans="1:8">
      <c r="A2" s="17" t="s">
        <v>189</v>
      </c>
      <c r="B2" s="453">
        <v>44742</v>
      </c>
      <c r="C2" s="28"/>
      <c r="D2" s="18"/>
      <c r="E2" s="18"/>
      <c r="F2" s="18"/>
      <c r="G2" s="18"/>
      <c r="H2" s="1"/>
    </row>
    <row r="3" spans="1:8">
      <c r="A3" s="17"/>
      <c r="C3" s="28"/>
      <c r="D3" s="18"/>
      <c r="E3" s="18"/>
      <c r="F3" s="18"/>
      <c r="G3" s="18"/>
      <c r="H3" s="1"/>
    </row>
    <row r="4" spans="1:8" ht="16.5" thickBot="1">
      <c r="A4" s="68" t="s">
        <v>327</v>
      </c>
      <c r="B4" s="204" t="s">
        <v>223</v>
      </c>
      <c r="C4" s="205"/>
      <c r="D4" s="206"/>
      <c r="E4" s="206"/>
      <c r="F4" s="206"/>
      <c r="G4" s="206"/>
      <c r="H4" s="1"/>
    </row>
    <row r="5" spans="1:8" ht="15">
      <c r="A5" s="312" t="s">
        <v>26</v>
      </c>
      <c r="B5" s="313"/>
      <c r="C5" s="454" t="str">
        <f>INT((MONTH($B$2))/3)&amp;"Q"&amp;"-"&amp;YEAR($B$2)</f>
        <v>2Q-2022</v>
      </c>
      <c r="D5" s="454" t="str">
        <f>IF(INT(MONTH($B$2))=3, "4"&amp;"Q"&amp;"-"&amp;YEAR($B$2)-1, IF(INT(MONTH($B$2))=6, "1"&amp;"Q"&amp;"-"&amp;YEAR($B$2), IF(INT(MONTH($B$2))=9, "2"&amp;"Q"&amp;"-"&amp;YEAR($B$2),IF(INT(MONTH($B$2))=12, "3"&amp;"Q"&amp;"-"&amp;YEAR($B$2), 0))))</f>
        <v>1Q-2022</v>
      </c>
      <c r="E5" s="454" t="str">
        <f>IF(INT(MONTH($B$2))=3, "3"&amp;"Q"&amp;"-"&amp;YEAR($B$2)-1, IF(INT(MONTH($B$2))=6, "4"&amp;"Q"&amp;"-"&amp;YEAR($B$2)-1, IF(INT(MONTH($B$2))=9, "1"&amp;"Q"&amp;"-"&amp;YEAR($B$2),IF(INT(MONTH($B$2))=12, "2"&amp;"Q"&amp;"-"&amp;YEAR($B$2), 0))))</f>
        <v>4Q-2021</v>
      </c>
      <c r="F5" s="454" t="str">
        <f>IF(INT(MONTH($B$2))=3, "2"&amp;"Q"&amp;"-"&amp;YEAR($B$2)-1, IF(INT(MONTH($B$2))=6, "3"&amp;"Q"&amp;"-"&amp;YEAR($B$2)-1, IF(INT(MONTH($B$2))=9, "4"&amp;"Q"&amp;"-"&amp;YEAR($B$2)-1,IF(INT(MONTH($B$2))=12, "1"&amp;"Q"&amp;"-"&amp;YEAR($B$2), 0))))</f>
        <v>3Q-2021</v>
      </c>
      <c r="G5" s="455" t="str">
        <f>IF(INT(MONTH($B$2))=3, "1"&amp;"Q"&amp;"-"&amp;YEAR($B$2)-1, IF(INT(MONTH($B$2))=6, "2"&amp;"Q"&amp;"-"&amp;YEAR($B$2)-1, IF(INT(MONTH($B$2))=9, "3"&amp;"Q"&amp;"-"&amp;YEAR($B$2)-1,IF(INT(MONTH($B$2))=12, "4"&amp;"Q"&amp;"-"&amp;YEAR($B$2)-1, 0))))</f>
        <v>2Q-2021</v>
      </c>
    </row>
    <row r="6" spans="1:8" ht="15">
      <c r="A6" s="456"/>
      <c r="B6" s="457" t="s">
        <v>186</v>
      </c>
      <c r="C6" s="314"/>
      <c r="D6" s="314"/>
      <c r="E6" s="314"/>
      <c r="F6" s="314"/>
      <c r="G6" s="315"/>
    </row>
    <row r="7" spans="1:8" ht="15">
      <c r="A7" s="456"/>
      <c r="B7" s="458" t="s">
        <v>190</v>
      </c>
      <c r="C7" s="314"/>
      <c r="D7" s="314"/>
      <c r="E7" s="314"/>
      <c r="F7" s="314"/>
      <c r="G7" s="315"/>
    </row>
    <row r="8" spans="1:8" ht="15">
      <c r="A8" s="436">
        <v>1</v>
      </c>
      <c r="B8" s="437" t="s">
        <v>23</v>
      </c>
      <c r="C8" s="459">
        <v>198409430.91999987</v>
      </c>
      <c r="D8" s="460">
        <v>197489453.98000044</v>
      </c>
      <c r="E8" s="460">
        <v>190970466.01999995</v>
      </c>
      <c r="F8" s="460">
        <v>170545936.60499954</v>
      </c>
      <c r="G8" s="461">
        <v>159516402.39999977</v>
      </c>
    </row>
    <row r="9" spans="1:8" ht="15">
      <c r="A9" s="436">
        <v>2</v>
      </c>
      <c r="B9" s="437" t="s">
        <v>89</v>
      </c>
      <c r="C9" s="459">
        <v>198409430.91999987</v>
      </c>
      <c r="D9" s="460">
        <v>197489453.98000044</v>
      </c>
      <c r="E9" s="460">
        <v>190970466.01999995</v>
      </c>
      <c r="F9" s="460">
        <v>170545936.60499954</v>
      </c>
      <c r="G9" s="461">
        <v>159516402.39999977</v>
      </c>
    </row>
    <row r="10" spans="1:8" ht="15">
      <c r="A10" s="436">
        <v>3</v>
      </c>
      <c r="B10" s="437" t="s">
        <v>88</v>
      </c>
      <c r="C10" s="459">
        <v>287989939.18361312</v>
      </c>
      <c r="D10" s="460">
        <v>282429451.49236441</v>
      </c>
      <c r="E10" s="460">
        <v>275919553.95755643</v>
      </c>
      <c r="F10" s="460">
        <v>238148092.37380791</v>
      </c>
      <c r="G10" s="461">
        <v>220503390.8101269</v>
      </c>
    </row>
    <row r="11" spans="1:8" ht="15">
      <c r="A11" s="436">
        <v>4</v>
      </c>
      <c r="B11" s="437" t="s">
        <v>485</v>
      </c>
      <c r="C11" s="459">
        <v>148367492.45126465</v>
      </c>
      <c r="D11" s="460">
        <v>139475312.33826685</v>
      </c>
      <c r="E11" s="460">
        <v>133444721.91963258</v>
      </c>
      <c r="F11" s="460">
        <v>109872576.48518217</v>
      </c>
      <c r="G11" s="461">
        <v>104154177.3230308</v>
      </c>
    </row>
    <row r="12" spans="1:8" ht="15">
      <c r="A12" s="436">
        <v>5</v>
      </c>
      <c r="B12" s="437" t="s">
        <v>486</v>
      </c>
      <c r="C12" s="459">
        <v>183166203.41896465</v>
      </c>
      <c r="D12" s="460">
        <v>172176573.46557817</v>
      </c>
      <c r="E12" s="460">
        <v>164232533.09510088</v>
      </c>
      <c r="F12" s="460">
        <v>135229184.71478793</v>
      </c>
      <c r="G12" s="461">
        <v>128029747.38348642</v>
      </c>
    </row>
    <row r="13" spans="1:8" ht="15">
      <c r="A13" s="436">
        <v>6</v>
      </c>
      <c r="B13" s="437" t="s">
        <v>487</v>
      </c>
      <c r="C13" s="459">
        <v>239408379.65133566</v>
      </c>
      <c r="D13" s="460">
        <v>225040345.25436014</v>
      </c>
      <c r="E13" s="460">
        <v>226769539.88382533</v>
      </c>
      <c r="F13" s="460">
        <v>186717948.58043131</v>
      </c>
      <c r="G13" s="461">
        <v>174443344.48956314</v>
      </c>
    </row>
    <row r="14" spans="1:8" ht="15">
      <c r="A14" s="456"/>
      <c r="B14" s="457" t="s">
        <v>489</v>
      </c>
      <c r="C14" s="314"/>
      <c r="D14" s="314"/>
      <c r="E14" s="314"/>
      <c r="F14" s="314"/>
      <c r="G14" s="315"/>
    </row>
    <row r="15" spans="1:8" ht="15" customHeight="1">
      <c r="A15" s="436">
        <v>7</v>
      </c>
      <c r="B15" s="437" t="s">
        <v>488</v>
      </c>
      <c r="C15" s="462">
        <v>1760935941.6892467</v>
      </c>
      <c r="D15" s="460">
        <v>1656738792.5893064</v>
      </c>
      <c r="E15" s="460">
        <v>1646372343.0332627</v>
      </c>
      <c r="F15" s="460">
        <v>1354725836.7705703</v>
      </c>
      <c r="G15" s="461">
        <v>1303609759.8539195</v>
      </c>
    </row>
    <row r="16" spans="1:8" ht="15">
      <c r="A16" s="456"/>
      <c r="B16" s="457" t="s">
        <v>493</v>
      </c>
      <c r="C16" s="314"/>
      <c r="D16" s="314"/>
      <c r="E16" s="314"/>
      <c r="F16" s="314"/>
      <c r="G16" s="315"/>
    </row>
    <row r="17" spans="1:7" s="3" customFormat="1" ht="15">
      <c r="A17" s="436"/>
      <c r="B17" s="458" t="s">
        <v>474</v>
      </c>
      <c r="C17" s="314"/>
      <c r="D17" s="314"/>
      <c r="E17" s="314"/>
      <c r="F17" s="314"/>
      <c r="G17" s="315"/>
    </row>
    <row r="18" spans="1:7" ht="15">
      <c r="A18" s="435">
        <v>8</v>
      </c>
      <c r="B18" s="463" t="s">
        <v>483</v>
      </c>
      <c r="C18" s="470">
        <v>0.11267271353986213</v>
      </c>
      <c r="D18" s="470">
        <v>0.11920373619751212</v>
      </c>
      <c r="E18" s="471">
        <v>0.11600555535699156</v>
      </c>
      <c r="F18" s="471">
        <v>0.12588963167008851</v>
      </c>
      <c r="G18" s="471">
        <v>0.12236514892146476</v>
      </c>
    </row>
    <row r="19" spans="1:7" ht="15" customHeight="1">
      <c r="A19" s="435">
        <v>9</v>
      </c>
      <c r="B19" s="463" t="s">
        <v>482</v>
      </c>
      <c r="C19" s="470">
        <v>0.11267271353986213</v>
      </c>
      <c r="D19" s="470">
        <v>0.11920373619751212</v>
      </c>
      <c r="E19" s="471">
        <v>0.11600555535699156</v>
      </c>
      <c r="F19" s="471">
        <v>0.12588963167008851</v>
      </c>
      <c r="G19" s="471">
        <v>0.12236514892146476</v>
      </c>
    </row>
    <row r="20" spans="1:7" ht="15">
      <c r="A20" s="435">
        <v>10</v>
      </c>
      <c r="B20" s="463" t="s">
        <v>484</v>
      </c>
      <c r="C20" s="470">
        <v>0.16354367718075397</v>
      </c>
      <c r="D20" s="470">
        <v>0.17047313237046693</v>
      </c>
      <c r="E20" s="471">
        <v>0.16760695178841442</v>
      </c>
      <c r="F20" s="471">
        <v>0.17579061822686673</v>
      </c>
      <c r="G20" s="471">
        <v>0.16914831232533589</v>
      </c>
    </row>
    <row r="21" spans="1:7" ht="15">
      <c r="A21" s="435">
        <v>11</v>
      </c>
      <c r="B21" s="437" t="s">
        <v>485</v>
      </c>
      <c r="C21" s="470">
        <v>8.4254906120513007E-2</v>
      </c>
      <c r="D21" s="470">
        <v>8.4186664163444738E-2</v>
      </c>
      <c r="E21" s="471">
        <v>8.1054040642183592E-2</v>
      </c>
      <c r="F21" s="471">
        <v>8.1103182284541941E-2</v>
      </c>
      <c r="G21" s="471">
        <v>7.9896745583357826E-2</v>
      </c>
    </row>
    <row r="22" spans="1:7" ht="15">
      <c r="A22" s="435">
        <v>12</v>
      </c>
      <c r="B22" s="437" t="s">
        <v>486</v>
      </c>
      <c r="C22" s="470">
        <v>0.10401639212568704</v>
      </c>
      <c r="D22" s="470">
        <v>0.10392499664747061</v>
      </c>
      <c r="E22" s="471">
        <v>9.9754518717210167E-2</v>
      </c>
      <c r="F22" s="471">
        <v>9.9820333416797219E-2</v>
      </c>
      <c r="G22" s="471">
        <v>9.821171283485422E-2</v>
      </c>
    </row>
    <row r="23" spans="1:7" ht="15">
      <c r="A23" s="435">
        <v>13</v>
      </c>
      <c r="B23" s="437" t="s">
        <v>487</v>
      </c>
      <c r="C23" s="470">
        <v>0.13595518950091609</v>
      </c>
      <c r="D23" s="470">
        <v>0.13583332886329416</v>
      </c>
      <c r="E23" s="471">
        <v>0.13773935828961356</v>
      </c>
      <c r="F23" s="471">
        <v>0.13782711122239633</v>
      </c>
      <c r="G23" s="471">
        <v>0.13381561711313897</v>
      </c>
    </row>
    <row r="24" spans="1:7" ht="15">
      <c r="A24" s="456"/>
      <c r="B24" s="457" t="s">
        <v>6</v>
      </c>
      <c r="C24" s="314"/>
      <c r="D24" s="314"/>
      <c r="E24" s="314"/>
      <c r="F24" s="314"/>
      <c r="G24" s="315"/>
    </row>
    <row r="25" spans="1:7" ht="15" customHeight="1">
      <c r="A25" s="464">
        <v>14</v>
      </c>
      <c r="B25" s="465" t="s">
        <v>7</v>
      </c>
      <c r="C25" s="599">
        <v>0.17594187329019867</v>
      </c>
      <c r="D25" s="599">
        <v>0.17558798173409881</v>
      </c>
      <c r="E25" s="600">
        <v>0.17906126754806295</v>
      </c>
      <c r="F25" s="600">
        <v>0.16676073723122978</v>
      </c>
      <c r="G25" s="600">
        <v>0.16490591544310193</v>
      </c>
    </row>
    <row r="26" spans="1:7" ht="15">
      <c r="A26" s="464">
        <v>15</v>
      </c>
      <c r="B26" s="465" t="s">
        <v>8</v>
      </c>
      <c r="C26" s="599">
        <v>9.4890187147007657E-2</v>
      </c>
      <c r="D26" s="599">
        <v>9.4786573956475148E-2</v>
      </c>
      <c r="E26" s="600">
        <v>9.1761194423027714E-2</v>
      </c>
      <c r="F26" s="600">
        <v>8.5703202350992838E-2</v>
      </c>
      <c r="G26" s="600">
        <v>8.2510663276905469E-2</v>
      </c>
    </row>
    <row r="27" spans="1:7" ht="15">
      <c r="A27" s="464">
        <v>16</v>
      </c>
      <c r="B27" s="465" t="s">
        <v>9</v>
      </c>
      <c r="C27" s="599">
        <v>3.9544071239042078E-2</v>
      </c>
      <c r="D27" s="599">
        <v>4.629038108866456E-2</v>
      </c>
      <c r="E27" s="600">
        <v>4.3632615790773571E-2</v>
      </c>
      <c r="F27" s="600">
        <v>4.2393594816898507E-2</v>
      </c>
      <c r="G27" s="600">
        <v>4.4595100939298284E-2</v>
      </c>
    </row>
    <row r="28" spans="1:7" ht="15">
      <c r="A28" s="464">
        <v>17</v>
      </c>
      <c r="B28" s="465" t="s">
        <v>224</v>
      </c>
      <c r="C28" s="599">
        <v>8.1051686143190999E-2</v>
      </c>
      <c r="D28" s="599">
        <v>8.0801407777623666E-2</v>
      </c>
      <c r="E28" s="600">
        <v>8.7300073125035238E-2</v>
      </c>
      <c r="F28" s="600">
        <v>8.1057534880236912E-2</v>
      </c>
      <c r="G28" s="600">
        <v>8.2395252166196462E-2</v>
      </c>
    </row>
    <row r="29" spans="1:7" ht="15">
      <c r="A29" s="464">
        <v>18</v>
      </c>
      <c r="B29" s="465" t="s">
        <v>10</v>
      </c>
      <c r="C29" s="599">
        <v>1.4009968708847517E-2</v>
      </c>
      <c r="D29" s="599">
        <v>1.6594867425930651E-2</v>
      </c>
      <c r="E29" s="600">
        <v>1.7875156182373939E-2</v>
      </c>
      <c r="F29" s="600">
        <v>2.042410213898507E-2</v>
      </c>
      <c r="G29" s="600">
        <v>2.3207042180071493E-2</v>
      </c>
    </row>
    <row r="30" spans="1:7" ht="15">
      <c r="A30" s="464">
        <v>19</v>
      </c>
      <c r="B30" s="465" t="s">
        <v>11</v>
      </c>
      <c r="C30" s="599">
        <v>0.12374646298410533</v>
      </c>
      <c r="D30" s="599">
        <v>0.14259755119714557</v>
      </c>
      <c r="E30" s="600">
        <v>0.14944306531804341</v>
      </c>
      <c r="F30" s="600">
        <v>0.17001370928338166</v>
      </c>
      <c r="G30" s="600">
        <v>0.2051091874195872</v>
      </c>
    </row>
    <row r="31" spans="1:7" ht="15">
      <c r="A31" s="456"/>
      <c r="B31" s="457" t="s">
        <v>12</v>
      </c>
      <c r="C31" s="314"/>
      <c r="D31" s="314"/>
      <c r="E31" s="314"/>
      <c r="F31" s="314"/>
      <c r="G31" s="315"/>
    </row>
    <row r="32" spans="1:7" ht="15">
      <c r="A32" s="464">
        <v>20</v>
      </c>
      <c r="B32" s="465" t="s">
        <v>13</v>
      </c>
      <c r="C32" s="599">
        <v>3.5506758855341561E-2</v>
      </c>
      <c r="D32" s="599">
        <v>4.1706818566806476E-2</v>
      </c>
      <c r="E32" s="600">
        <v>3.8736315714277547E-2</v>
      </c>
      <c r="F32" s="600">
        <v>2.3394146315303972E-2</v>
      </c>
      <c r="G32" s="600">
        <v>1.8721118429435246E-2</v>
      </c>
    </row>
    <row r="33" spans="1:7" ht="15" customHeight="1">
      <c r="A33" s="464">
        <v>21</v>
      </c>
      <c r="B33" s="465" t="s">
        <v>14</v>
      </c>
      <c r="C33" s="599">
        <v>4.0650632765261471E-2</v>
      </c>
      <c r="D33" s="599">
        <v>4.4768195042700271E-2</v>
      </c>
      <c r="E33" s="600">
        <v>4.2972414925792041E-2</v>
      </c>
      <c r="F33" s="600">
        <v>3.7030603577105303E-2</v>
      </c>
      <c r="G33" s="600">
        <v>3.5200000000000002E-2</v>
      </c>
    </row>
    <row r="34" spans="1:7" ht="15">
      <c r="A34" s="464">
        <v>22</v>
      </c>
      <c r="B34" s="465" t="s">
        <v>15</v>
      </c>
      <c r="C34" s="599">
        <v>9.8676280063083432E-2</v>
      </c>
      <c r="D34" s="599">
        <v>9.5245395168892397E-2</v>
      </c>
      <c r="E34" s="600">
        <v>9.1200000000000003E-2</v>
      </c>
      <c r="F34" s="600">
        <v>9.1551287193214675E-2</v>
      </c>
      <c r="G34" s="600">
        <v>9.149066023636318E-2</v>
      </c>
    </row>
    <row r="35" spans="1:7" ht="15" customHeight="1">
      <c r="A35" s="464">
        <v>23</v>
      </c>
      <c r="B35" s="465" t="s">
        <v>16</v>
      </c>
      <c r="C35" s="599">
        <v>0.11809891384951869</v>
      </c>
      <c r="D35" s="599">
        <v>0.11494656148985324</v>
      </c>
      <c r="E35" s="600">
        <v>0.12834595455243403</v>
      </c>
      <c r="F35" s="600">
        <v>0.13492248165465076</v>
      </c>
      <c r="G35" s="600">
        <v>0.14977465231554332</v>
      </c>
    </row>
    <row r="36" spans="1:7" ht="15">
      <c r="A36" s="464">
        <v>24</v>
      </c>
      <c r="B36" s="465" t="s">
        <v>17</v>
      </c>
      <c r="C36" s="599">
        <v>8.8302054385147599E-2</v>
      </c>
      <c r="D36" s="599">
        <v>1.61E-2</v>
      </c>
      <c r="E36" s="600">
        <v>0.40130466436092099</v>
      </c>
      <c r="F36" s="600">
        <v>0.13508389064670023</v>
      </c>
      <c r="G36" s="600">
        <v>8.6800000000000002E-2</v>
      </c>
    </row>
    <row r="37" spans="1:7" ht="15" customHeight="1">
      <c r="A37" s="456"/>
      <c r="B37" s="457" t="s">
        <v>18</v>
      </c>
      <c r="C37" s="314"/>
      <c r="D37" s="314"/>
      <c r="E37" s="314"/>
      <c r="F37" s="314"/>
      <c r="G37" s="315"/>
    </row>
    <row r="38" spans="1:7" ht="15" customHeight="1">
      <c r="A38" s="464">
        <v>25</v>
      </c>
      <c r="B38" s="465" t="s">
        <v>19</v>
      </c>
      <c r="C38" s="599">
        <v>0.14015702748192332</v>
      </c>
      <c r="D38" s="599">
        <v>0.10553155570945096</v>
      </c>
      <c r="E38" s="599">
        <v>0.12248576368474862</v>
      </c>
      <c r="F38" s="599">
        <v>0.14780529813254237</v>
      </c>
      <c r="G38" s="599">
        <v>0.16078716298516199</v>
      </c>
    </row>
    <row r="39" spans="1:7" ht="15" customHeight="1">
      <c r="A39" s="464">
        <v>26</v>
      </c>
      <c r="B39" s="465" t="s">
        <v>20</v>
      </c>
      <c r="C39" s="599">
        <v>0.20049307317463336</v>
      </c>
      <c r="D39" s="599">
        <v>0.14544167620875656</v>
      </c>
      <c r="E39" s="599">
        <v>0.1589559058625058</v>
      </c>
      <c r="F39" s="599">
        <v>0.17003998457359173</v>
      </c>
      <c r="G39" s="599">
        <v>0.18094049013450156</v>
      </c>
    </row>
    <row r="40" spans="1:7" ht="15" customHeight="1">
      <c r="A40" s="464">
        <v>27</v>
      </c>
      <c r="B40" s="466" t="s">
        <v>21</v>
      </c>
      <c r="C40" s="599">
        <v>7.2148819076422246E-2</v>
      </c>
      <c r="D40" s="599">
        <v>5.6661406683720661E-2</v>
      </c>
      <c r="E40" s="599">
        <v>7.0089317029742138E-2</v>
      </c>
      <c r="F40" s="599">
        <v>4.7189690439026731E-2</v>
      </c>
      <c r="G40" s="599">
        <v>5.14726153104791E-2</v>
      </c>
    </row>
    <row r="41" spans="1:7" ht="15" customHeight="1">
      <c r="A41" s="468"/>
      <c r="B41" s="457" t="s">
        <v>395</v>
      </c>
      <c r="C41" s="314"/>
      <c r="D41" s="314"/>
      <c r="E41" s="314"/>
      <c r="F41" s="314"/>
      <c r="G41" s="315"/>
    </row>
    <row r="42" spans="1:7" ht="15" customHeight="1">
      <c r="A42" s="464">
        <v>28</v>
      </c>
      <c r="B42" s="511" t="s">
        <v>388</v>
      </c>
      <c r="C42" s="704">
        <v>189194327.39918065</v>
      </c>
      <c r="D42" s="601">
        <v>169189184.3245492</v>
      </c>
      <c r="E42" s="466">
        <v>207165339.34011158</v>
      </c>
      <c r="F42" s="466">
        <v>199077912.89091116</v>
      </c>
      <c r="G42" s="466">
        <v>214376794.77349353</v>
      </c>
    </row>
    <row r="43" spans="1:7" ht="15">
      <c r="A43" s="464">
        <v>29</v>
      </c>
      <c r="B43" s="465" t="s">
        <v>389</v>
      </c>
      <c r="C43" s="704">
        <v>116937133.12561239</v>
      </c>
      <c r="D43" s="601">
        <v>90968988.875303537</v>
      </c>
      <c r="E43" s="467">
        <v>118717181.96934123</v>
      </c>
      <c r="F43" s="467">
        <v>83099386.974698663</v>
      </c>
      <c r="G43" s="467">
        <v>100930519.47576636</v>
      </c>
    </row>
    <row r="44" spans="1:7" ht="15">
      <c r="A44" s="507">
        <v>30</v>
      </c>
      <c r="B44" s="508" t="s">
        <v>387</v>
      </c>
      <c r="C44" s="705">
        <v>1.6179148773550869</v>
      </c>
      <c r="D44" s="602">
        <v>1.859855610316463</v>
      </c>
      <c r="E44" s="599">
        <v>1.7450324873244727</v>
      </c>
      <c r="F44" s="599">
        <v>2.3956604270922548</v>
      </c>
      <c r="G44" s="599">
        <v>2.1240036798281401</v>
      </c>
    </row>
    <row r="45" spans="1:7" ht="15">
      <c r="A45" s="507"/>
      <c r="B45" s="457" t="s">
        <v>494</v>
      </c>
      <c r="C45" s="314"/>
      <c r="D45" s="314"/>
      <c r="E45" s="314"/>
      <c r="F45" s="314"/>
      <c r="G45" s="315"/>
    </row>
    <row r="46" spans="1:7" ht="15">
      <c r="A46" s="507">
        <v>31</v>
      </c>
      <c r="B46" s="508" t="s">
        <v>501</v>
      </c>
      <c r="C46" s="655">
        <v>1550796936.0216255</v>
      </c>
      <c r="D46" s="509">
        <v>1383622416.4300005</v>
      </c>
      <c r="E46" s="510">
        <v>1362648324.3199999</v>
      </c>
      <c r="F46" s="510">
        <v>1236728028.7499995</v>
      </c>
      <c r="G46" s="510">
        <v>1117305337.848695</v>
      </c>
    </row>
    <row r="47" spans="1:7" ht="15">
      <c r="A47" s="507">
        <v>32</v>
      </c>
      <c r="B47" s="508" t="s">
        <v>514</v>
      </c>
      <c r="C47" s="655">
        <v>1176047953.6276989</v>
      </c>
      <c r="D47" s="509">
        <v>1135121484.5826097</v>
      </c>
      <c r="E47" s="510">
        <v>1073684098.3064198</v>
      </c>
      <c r="F47" s="510">
        <v>920660974.02293551</v>
      </c>
      <c r="G47" s="510">
        <v>851634981.07405925</v>
      </c>
    </row>
    <row r="48" spans="1:7" thickBot="1">
      <c r="A48" s="120">
        <v>33</v>
      </c>
      <c r="B48" s="228" t="s">
        <v>528</v>
      </c>
      <c r="C48" s="673">
        <v>1.3186511070725955</v>
      </c>
      <c r="D48" s="603">
        <v>1.2189201202008488</v>
      </c>
      <c r="E48" s="604">
        <v>1.269133375887171</v>
      </c>
      <c r="F48" s="604">
        <v>1.3433044993163685</v>
      </c>
      <c r="G48" s="604">
        <v>1.3119533164778876</v>
      </c>
    </row>
    <row r="49" spans="1:7">
      <c r="A49" s="20"/>
    </row>
    <row r="50" spans="1:7" ht="39.75">
      <c r="B50" s="23" t="s">
        <v>473</v>
      </c>
    </row>
    <row r="51" spans="1:7" ht="65.25">
      <c r="B51" s="362" t="s">
        <v>394</v>
      </c>
      <c r="D51" s="335"/>
      <c r="E51" s="335"/>
      <c r="F51" s="335"/>
      <c r="G51" s="33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4" zoomScale="75" zoomScaleNormal="75" workbookViewId="0">
      <selection activeCell="H21" sqref="H21"/>
    </sheetView>
  </sheetViews>
  <sheetFormatPr defaultColWidth="9.140625" defaultRowHeight="12.75"/>
  <cols>
    <col min="1" max="1" width="10.85546875" style="514" customWidth="1"/>
    <col min="2" max="2" width="93.5703125" style="514" customWidth="1"/>
    <col min="3" max="8" width="24.7109375" style="514" customWidth="1"/>
    <col min="9" max="16384" width="9.140625" style="514"/>
  </cols>
  <sheetData>
    <row r="1" spans="1:8" ht="13.5">
      <c r="A1" s="513" t="s">
        <v>188</v>
      </c>
      <c r="B1" s="431" t="str">
        <f>Info!C2</f>
        <v>სს "კრედო ბანკი"</v>
      </c>
    </row>
    <row r="2" spans="1:8">
      <c r="A2" s="515" t="s">
        <v>189</v>
      </c>
      <c r="B2" s="517">
        <f>'1. key ratios'!B2</f>
        <v>44742</v>
      </c>
    </row>
    <row r="3" spans="1:8">
      <c r="A3" s="516" t="s">
        <v>530</v>
      </c>
    </row>
    <row r="5" spans="1:8">
      <c r="A5" s="761" t="s">
        <v>531</v>
      </c>
      <c r="B5" s="762"/>
      <c r="C5" s="767" t="s">
        <v>532</v>
      </c>
      <c r="D5" s="768"/>
      <c r="E5" s="768"/>
      <c r="F5" s="768"/>
      <c r="G5" s="768"/>
      <c r="H5" s="769"/>
    </row>
    <row r="6" spans="1:8">
      <c r="A6" s="763"/>
      <c r="B6" s="764"/>
      <c r="C6" s="770"/>
      <c r="D6" s="771"/>
      <c r="E6" s="771"/>
      <c r="F6" s="771"/>
      <c r="G6" s="771"/>
      <c r="H6" s="772"/>
    </row>
    <row r="7" spans="1:8" ht="25.5">
      <c r="A7" s="765"/>
      <c r="B7" s="766"/>
      <c r="C7" s="518" t="s">
        <v>533</v>
      </c>
      <c r="D7" s="518" t="s">
        <v>534</v>
      </c>
      <c r="E7" s="518" t="s">
        <v>535</v>
      </c>
      <c r="F7" s="518" t="s">
        <v>536</v>
      </c>
      <c r="G7" s="585" t="s">
        <v>708</v>
      </c>
      <c r="H7" s="518" t="s">
        <v>68</v>
      </c>
    </row>
    <row r="8" spans="1:8" ht="15" customHeight="1">
      <c r="A8" s="519">
        <v>1</v>
      </c>
      <c r="B8" s="520" t="s">
        <v>216</v>
      </c>
      <c r="C8" s="626">
        <v>132235643.55999999</v>
      </c>
      <c r="D8" s="626"/>
      <c r="E8" s="626">
        <v>2968492.64</v>
      </c>
      <c r="F8" s="626">
        <v>19745284</v>
      </c>
      <c r="G8" s="626">
        <v>45633180.519999996</v>
      </c>
      <c r="H8" s="626">
        <f>SUM(C8:G8)</f>
        <v>200582600.71999997</v>
      </c>
    </row>
    <row r="9" spans="1:8" ht="23.25" customHeight="1">
      <c r="A9" s="519">
        <v>2</v>
      </c>
      <c r="B9" s="520" t="s">
        <v>217</v>
      </c>
      <c r="C9" s="626"/>
      <c r="D9" s="626"/>
      <c r="E9" s="626"/>
      <c r="F9" s="626"/>
      <c r="G9" s="626"/>
      <c r="H9" s="626">
        <f t="shared" ref="H9:H21" si="0">SUM(C9:G9)</f>
        <v>0</v>
      </c>
    </row>
    <row r="10" spans="1:8" ht="15" customHeight="1">
      <c r="A10" s="519">
        <v>3</v>
      </c>
      <c r="B10" s="520" t="s">
        <v>218</v>
      </c>
      <c r="C10" s="626"/>
      <c r="D10" s="626"/>
      <c r="E10" s="626">
        <v>26140428.5</v>
      </c>
      <c r="F10" s="626"/>
      <c r="G10" s="626"/>
      <c r="H10" s="626">
        <f t="shared" si="0"/>
        <v>26140428.5</v>
      </c>
    </row>
    <row r="11" spans="1:8" ht="15" customHeight="1">
      <c r="A11" s="519">
        <v>4</v>
      </c>
      <c r="B11" s="520" t="s">
        <v>219</v>
      </c>
      <c r="C11" s="626"/>
      <c r="D11" s="626"/>
      <c r="E11" s="626"/>
      <c r="F11" s="626"/>
      <c r="G11" s="626"/>
      <c r="H11" s="626">
        <f t="shared" si="0"/>
        <v>0</v>
      </c>
    </row>
    <row r="12" spans="1:8" ht="15" customHeight="1">
      <c r="A12" s="519">
        <v>5</v>
      </c>
      <c r="B12" s="520" t="s">
        <v>220</v>
      </c>
      <c r="C12" s="626"/>
      <c r="D12" s="626"/>
      <c r="E12" s="626"/>
      <c r="F12" s="626"/>
      <c r="G12" s="626"/>
      <c r="H12" s="626">
        <f t="shared" si="0"/>
        <v>0</v>
      </c>
    </row>
    <row r="13" spans="1:8" ht="15" customHeight="1">
      <c r="A13" s="519">
        <v>6</v>
      </c>
      <c r="B13" s="520" t="s">
        <v>221</v>
      </c>
      <c r="C13" s="626">
        <v>29959342.810000002</v>
      </c>
      <c r="D13" s="626"/>
      <c r="E13" s="626"/>
      <c r="F13" s="626"/>
      <c r="G13" s="626"/>
      <c r="H13" s="626">
        <f t="shared" si="0"/>
        <v>29959342.810000002</v>
      </c>
    </row>
    <row r="14" spans="1:8" ht="15" customHeight="1">
      <c r="A14" s="519">
        <v>7</v>
      </c>
      <c r="B14" s="520" t="s">
        <v>73</v>
      </c>
      <c r="C14" s="626"/>
      <c r="D14" s="626"/>
      <c r="E14" s="626">
        <v>131929.59195296565</v>
      </c>
      <c r="F14" s="626">
        <v>8661291.2958009541</v>
      </c>
      <c r="G14" s="626"/>
      <c r="H14" s="626">
        <f t="shared" si="0"/>
        <v>8793220.8877539206</v>
      </c>
    </row>
    <row r="15" spans="1:8" ht="15" customHeight="1">
      <c r="A15" s="519">
        <v>8</v>
      </c>
      <c r="B15" s="522" t="s">
        <v>74</v>
      </c>
      <c r="C15" s="626">
        <v>38463.182639934646</v>
      </c>
      <c r="D15" s="626">
        <v>278832316.5837881</v>
      </c>
      <c r="E15" s="626">
        <v>958165589.45188522</v>
      </c>
      <c r="F15" s="626">
        <v>219706993.2379885</v>
      </c>
      <c r="G15" s="626">
        <v>739685.10282858601</v>
      </c>
      <c r="H15" s="626">
        <f t="shared" si="0"/>
        <v>1457483047.5591302</v>
      </c>
    </row>
    <row r="16" spans="1:8" ht="15" customHeight="1">
      <c r="A16" s="519">
        <v>9</v>
      </c>
      <c r="B16" s="520" t="s">
        <v>75</v>
      </c>
      <c r="C16" s="626"/>
      <c r="D16" s="626"/>
      <c r="E16" s="626"/>
      <c r="F16" s="626"/>
      <c r="G16" s="626"/>
      <c r="H16" s="626">
        <f t="shared" si="0"/>
        <v>0</v>
      </c>
    </row>
    <row r="17" spans="1:8" ht="15" customHeight="1">
      <c r="A17" s="519">
        <v>10</v>
      </c>
      <c r="B17" s="588" t="s">
        <v>558</v>
      </c>
      <c r="C17" s="626">
        <v>122.22650725708809</v>
      </c>
      <c r="D17" s="626">
        <v>2639487.0497838133</v>
      </c>
      <c r="E17" s="626">
        <v>9001467.7936833519</v>
      </c>
      <c r="F17" s="626">
        <v>1732531.359491722</v>
      </c>
      <c r="G17" s="626">
        <v>475350.30620223336</v>
      </c>
      <c r="H17" s="626">
        <f t="shared" si="0"/>
        <v>13848958.735668378</v>
      </c>
    </row>
    <row r="18" spans="1:8" ht="15" customHeight="1">
      <c r="A18" s="519">
        <v>11</v>
      </c>
      <c r="B18" s="520" t="s">
        <v>70</v>
      </c>
      <c r="C18" s="626">
        <v>1547.1269563853821</v>
      </c>
      <c r="D18" s="626">
        <v>24363638.852248136</v>
      </c>
      <c r="E18" s="626">
        <v>117855973.48058568</v>
      </c>
      <c r="F18" s="626">
        <v>12982455.351766385</v>
      </c>
      <c r="G18" s="626">
        <v>10283.433887124136</v>
      </c>
      <c r="H18" s="626">
        <f t="shared" si="0"/>
        <v>155213898.2454437</v>
      </c>
    </row>
    <row r="19" spans="1:8" ht="15" customHeight="1">
      <c r="A19" s="519">
        <v>12</v>
      </c>
      <c r="B19" s="520" t="s">
        <v>71</v>
      </c>
      <c r="C19" s="626"/>
      <c r="D19" s="626"/>
      <c r="E19" s="626"/>
      <c r="F19" s="626"/>
      <c r="G19" s="626"/>
      <c r="H19" s="626">
        <f t="shared" si="0"/>
        <v>0</v>
      </c>
    </row>
    <row r="20" spans="1:8" ht="15" customHeight="1">
      <c r="A20" s="523">
        <v>13</v>
      </c>
      <c r="B20" s="522" t="s">
        <v>72</v>
      </c>
      <c r="C20" s="626"/>
      <c r="D20" s="626"/>
      <c r="E20" s="626"/>
      <c r="F20" s="626"/>
      <c r="G20" s="626"/>
      <c r="H20" s="626">
        <f t="shared" si="0"/>
        <v>0</v>
      </c>
    </row>
    <row r="21" spans="1:8" ht="15" customHeight="1">
      <c r="A21" s="519">
        <v>14</v>
      </c>
      <c r="B21" s="520" t="s">
        <v>537</v>
      </c>
      <c r="C21" s="626">
        <v>71625012.519999996</v>
      </c>
      <c r="D21" s="626">
        <v>46680731.439999975</v>
      </c>
      <c r="E21" s="626">
        <v>1337678</v>
      </c>
      <c r="F21" s="626"/>
      <c r="G21" s="626">
        <v>25893711.479999989</v>
      </c>
      <c r="H21" s="626">
        <f t="shared" si="0"/>
        <v>145537133.43999997</v>
      </c>
    </row>
    <row r="22" spans="1:8" ht="15" customHeight="1">
      <c r="A22" s="524">
        <v>15</v>
      </c>
      <c r="B22" s="521" t="s">
        <v>68</v>
      </c>
      <c r="C22" s="626">
        <f>SUM(C18:C21)+SUM(C8:C16)</f>
        <v>233860009.19959632</v>
      </c>
      <c r="D22" s="626">
        <f t="shared" ref="D22:G22" si="1">SUM(D18:D21)+SUM(D8:D16)</f>
        <v>349876686.87603623</v>
      </c>
      <c r="E22" s="626">
        <f t="shared" si="1"/>
        <v>1106600091.6644237</v>
      </c>
      <c r="F22" s="626">
        <f t="shared" si="1"/>
        <v>261096023.88555583</v>
      </c>
      <c r="G22" s="626">
        <f t="shared" si="1"/>
        <v>72276860.536715686</v>
      </c>
      <c r="H22" s="626">
        <f>SUM(H18:H21)+SUM(H8:H16)</f>
        <v>2023709672.1623278</v>
      </c>
    </row>
    <row r="25" spans="1:8">
      <c r="H25" s="629"/>
    </row>
    <row r="26" spans="1:8" ht="38.25">
      <c r="B26" s="587" t="s">
        <v>707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8"/>
  <sheetViews>
    <sheetView showGridLines="0" topLeftCell="A6" zoomScale="80" zoomScaleNormal="80" workbookViewId="0">
      <selection activeCell="E22" sqref="E22:F22"/>
    </sheetView>
  </sheetViews>
  <sheetFormatPr defaultColWidth="9.140625" defaultRowHeight="12.75"/>
  <cols>
    <col min="1" max="1" width="11.85546875" style="525" bestFit="1" customWidth="1"/>
    <col min="2" max="2" width="102.85546875" style="514" customWidth="1"/>
    <col min="3" max="3" width="22.42578125" style="514" customWidth="1"/>
    <col min="4" max="4" width="23.5703125" style="514" customWidth="1"/>
    <col min="5" max="7" width="22.140625" style="537" customWidth="1"/>
    <col min="8" max="8" width="22.140625" style="514" customWidth="1"/>
    <col min="9" max="9" width="41.42578125" style="514" customWidth="1"/>
    <col min="10" max="10" width="9.140625" style="514"/>
    <col min="11" max="11" width="18" style="514" bestFit="1" customWidth="1"/>
    <col min="12" max="16384" width="9.140625" style="514"/>
  </cols>
  <sheetData>
    <row r="1" spans="1:9" ht="13.5">
      <c r="A1" s="513" t="s">
        <v>188</v>
      </c>
      <c r="B1" s="431" t="str">
        <f>Info!C2</f>
        <v>სს "კრედო ბანკი"</v>
      </c>
      <c r="E1" s="514"/>
      <c r="F1" s="514"/>
      <c r="G1" s="514"/>
    </row>
    <row r="2" spans="1:9">
      <c r="A2" s="515" t="s">
        <v>189</v>
      </c>
      <c r="B2" s="517">
        <f>'1. key ratios'!B2</f>
        <v>44742</v>
      </c>
      <c r="E2" s="514"/>
      <c r="F2" s="514"/>
      <c r="G2" s="514"/>
    </row>
    <row r="3" spans="1:9">
      <c r="A3" s="516" t="s">
        <v>538</v>
      </c>
      <c r="E3" s="514"/>
      <c r="F3" s="514"/>
      <c r="G3" s="514"/>
    </row>
    <row r="4" spans="1:9">
      <c r="C4" s="526" t="s">
        <v>539</v>
      </c>
      <c r="D4" s="526" t="s">
        <v>540</v>
      </c>
      <c r="E4" s="526" t="s">
        <v>541</v>
      </c>
      <c r="F4" s="526" t="s">
        <v>542</v>
      </c>
      <c r="G4" s="526" t="s">
        <v>543</v>
      </c>
      <c r="H4" s="526" t="s">
        <v>544</v>
      </c>
      <c r="I4" s="526" t="s">
        <v>545</v>
      </c>
    </row>
    <row r="5" spans="1:9" ht="33.950000000000003" customHeight="1">
      <c r="A5" s="761" t="s">
        <v>548</v>
      </c>
      <c r="B5" s="762"/>
      <c r="C5" s="775" t="s">
        <v>549</v>
      </c>
      <c r="D5" s="775"/>
      <c r="E5" s="775" t="s">
        <v>550</v>
      </c>
      <c r="F5" s="775" t="s">
        <v>551</v>
      </c>
      <c r="G5" s="773" t="s">
        <v>552</v>
      </c>
      <c r="H5" s="773" t="s">
        <v>553</v>
      </c>
      <c r="I5" s="527" t="s">
        <v>554</v>
      </c>
    </row>
    <row r="6" spans="1:9" ht="38.25">
      <c r="A6" s="765"/>
      <c r="B6" s="766"/>
      <c r="C6" s="576" t="s">
        <v>555</v>
      </c>
      <c r="D6" s="576" t="s">
        <v>556</v>
      </c>
      <c r="E6" s="775"/>
      <c r="F6" s="775"/>
      <c r="G6" s="774"/>
      <c r="H6" s="774"/>
      <c r="I6" s="527" t="s">
        <v>557</v>
      </c>
    </row>
    <row r="7" spans="1:9">
      <c r="A7" s="528">
        <v>1</v>
      </c>
      <c r="B7" s="520" t="s">
        <v>216</v>
      </c>
      <c r="C7" s="627"/>
      <c r="D7" s="627">
        <v>200582600.71999997</v>
      </c>
      <c r="E7" s="628"/>
      <c r="F7" s="628"/>
      <c r="G7" s="628"/>
      <c r="H7" s="627"/>
      <c r="I7" s="531">
        <f t="shared" ref="I7:I23" si="0">C7+D7-E7-F7-G7</f>
        <v>200582600.71999997</v>
      </c>
    </row>
    <row r="8" spans="1:9">
      <c r="A8" s="528">
        <v>2</v>
      </c>
      <c r="B8" s="520" t="s">
        <v>217</v>
      </c>
      <c r="C8" s="627"/>
      <c r="D8" s="627">
        <v>0</v>
      </c>
      <c r="E8" s="628"/>
      <c r="F8" s="628"/>
      <c r="G8" s="628"/>
      <c r="H8" s="627"/>
      <c r="I8" s="531">
        <f t="shared" si="0"/>
        <v>0</v>
      </c>
    </row>
    <row r="9" spans="1:9">
      <c r="A9" s="528">
        <v>3</v>
      </c>
      <c r="B9" s="520" t="s">
        <v>218</v>
      </c>
      <c r="C9" s="627"/>
      <c r="D9" s="627">
        <v>26140428.5</v>
      </c>
      <c r="E9" s="628"/>
      <c r="F9" s="628"/>
      <c r="G9" s="628"/>
      <c r="H9" s="627"/>
      <c r="I9" s="531">
        <f t="shared" si="0"/>
        <v>26140428.5</v>
      </c>
    </row>
    <row r="10" spans="1:9">
      <c r="A10" s="528">
        <v>4</v>
      </c>
      <c r="B10" s="520" t="s">
        <v>219</v>
      </c>
      <c r="C10" s="627"/>
      <c r="D10" s="627">
        <v>0</v>
      </c>
      <c r="E10" s="628"/>
      <c r="F10" s="628"/>
      <c r="G10" s="628"/>
      <c r="H10" s="627"/>
      <c r="I10" s="531">
        <f t="shared" si="0"/>
        <v>0</v>
      </c>
    </row>
    <row r="11" spans="1:9">
      <c r="A11" s="528">
        <v>5</v>
      </c>
      <c r="B11" s="520" t="s">
        <v>220</v>
      </c>
      <c r="C11" s="627"/>
      <c r="D11" s="627">
        <v>0</v>
      </c>
      <c r="E11" s="628"/>
      <c r="F11" s="628"/>
      <c r="G11" s="628"/>
      <c r="H11" s="627"/>
      <c r="I11" s="531">
        <f t="shared" si="0"/>
        <v>0</v>
      </c>
    </row>
    <row r="12" spans="1:9">
      <c r="A12" s="528">
        <v>6</v>
      </c>
      <c r="B12" s="520" t="s">
        <v>221</v>
      </c>
      <c r="C12" s="627"/>
      <c r="D12" s="627">
        <v>29959342.810000002</v>
      </c>
      <c r="E12" s="628"/>
      <c r="F12" s="628"/>
      <c r="G12" s="628"/>
      <c r="H12" s="627"/>
      <c r="I12" s="531">
        <f t="shared" si="0"/>
        <v>29959342.810000002</v>
      </c>
    </row>
    <row r="13" spans="1:9">
      <c r="A13" s="528">
        <v>7</v>
      </c>
      <c r="B13" s="520" t="s">
        <v>73</v>
      </c>
      <c r="C13" s="627"/>
      <c r="D13" s="627">
        <v>8793220.8877539206</v>
      </c>
      <c r="E13" s="628"/>
      <c r="F13" s="628">
        <v>174309.86499999999</v>
      </c>
      <c r="G13" s="628"/>
      <c r="H13" s="627"/>
      <c r="I13" s="531">
        <f t="shared" si="0"/>
        <v>8618911.0227539204</v>
      </c>
    </row>
    <row r="14" spans="1:9">
      <c r="A14" s="528">
        <v>8</v>
      </c>
      <c r="B14" s="522" t="s">
        <v>74</v>
      </c>
      <c r="C14" s="627">
        <v>57650371.718989953</v>
      </c>
      <c r="D14" s="627">
        <v>1435968814.963011</v>
      </c>
      <c r="E14" s="628">
        <v>36136139.123003528</v>
      </c>
      <c r="F14" s="628">
        <v>26587776.459393006</v>
      </c>
      <c r="G14" s="628"/>
      <c r="H14" s="628">
        <v>13279675.73</v>
      </c>
      <c r="I14" s="531">
        <f t="shared" si="0"/>
        <v>1430895271.0996044</v>
      </c>
    </row>
    <row r="15" spans="1:9">
      <c r="A15" s="528">
        <v>9</v>
      </c>
      <c r="B15" s="520" t="s">
        <v>75</v>
      </c>
      <c r="C15" s="627"/>
      <c r="D15" s="627"/>
      <c r="E15" s="628"/>
      <c r="F15" s="628"/>
      <c r="G15" s="628"/>
      <c r="H15" s="628"/>
      <c r="I15" s="531">
        <f t="shared" si="0"/>
        <v>0</v>
      </c>
    </row>
    <row r="16" spans="1:9">
      <c r="A16" s="528">
        <v>10</v>
      </c>
      <c r="B16" s="588" t="s">
        <v>558</v>
      </c>
      <c r="C16" s="627">
        <v>18571519.484100815</v>
      </c>
      <c r="D16" s="628">
        <v>4779955.8645674037</v>
      </c>
      <c r="E16" s="628">
        <v>9502516.6129999273</v>
      </c>
      <c r="F16" s="628">
        <v>59408.404600000074</v>
      </c>
      <c r="G16" s="628"/>
      <c r="H16" s="628">
        <v>13279675.73</v>
      </c>
      <c r="I16" s="531">
        <f t="shared" si="0"/>
        <v>13789550.33106829</v>
      </c>
    </row>
    <row r="17" spans="1:11">
      <c r="A17" s="528">
        <v>11</v>
      </c>
      <c r="B17" s="520" t="s">
        <v>70</v>
      </c>
      <c r="C17" s="627">
        <v>268016.94151868258</v>
      </c>
      <c r="D17" s="627">
        <v>155033232.75692677</v>
      </c>
      <c r="E17" s="628">
        <v>87351.45299999998</v>
      </c>
      <c r="F17" s="628">
        <v>3055702.1317000203</v>
      </c>
      <c r="G17" s="628"/>
      <c r="H17" s="628"/>
      <c r="I17" s="531">
        <f t="shared" si="0"/>
        <v>152158196.11374545</v>
      </c>
    </row>
    <row r="18" spans="1:11">
      <c r="A18" s="528">
        <v>12</v>
      </c>
      <c r="B18" s="520" t="s">
        <v>71</v>
      </c>
      <c r="C18" s="627"/>
      <c r="D18" s="627"/>
      <c r="E18" s="628"/>
      <c r="F18" s="628"/>
      <c r="G18" s="628"/>
      <c r="H18" s="627"/>
      <c r="I18" s="531">
        <f t="shared" si="0"/>
        <v>0</v>
      </c>
    </row>
    <row r="19" spans="1:11">
      <c r="A19" s="532">
        <v>13</v>
      </c>
      <c r="B19" s="522" t="s">
        <v>72</v>
      </c>
      <c r="C19" s="627"/>
      <c r="D19" s="627"/>
      <c r="E19" s="628"/>
      <c r="F19" s="628"/>
      <c r="G19" s="628"/>
      <c r="H19" s="627"/>
      <c r="I19" s="531">
        <f t="shared" si="0"/>
        <v>0</v>
      </c>
      <c r="K19" s="679"/>
    </row>
    <row r="20" spans="1:11">
      <c r="A20" s="528">
        <v>14</v>
      </c>
      <c r="B20" s="520" t="s">
        <v>537</v>
      </c>
      <c r="C20" s="627">
        <v>7136873</v>
      </c>
      <c r="D20" s="627">
        <v>155415085.14999998</v>
      </c>
      <c r="E20" s="628">
        <v>3918815</v>
      </c>
      <c r="F20" s="628"/>
      <c r="G20" s="628"/>
      <c r="H20" s="628">
        <f>100200-69600</f>
        <v>30600</v>
      </c>
      <c r="I20" s="531">
        <f t="shared" si="0"/>
        <v>158633143.14999998</v>
      </c>
      <c r="K20" s="629"/>
    </row>
    <row r="21" spans="1:11" s="534" customFormat="1">
      <c r="A21" s="533">
        <v>15</v>
      </c>
      <c r="B21" s="521" t="s">
        <v>68</v>
      </c>
      <c r="C21" s="626">
        <f>SUM(C7:C15)+SUM(C17:C20)</f>
        <v>65055261.660508633</v>
      </c>
      <c r="D21" s="626">
        <f t="shared" ref="D21:H21" si="1">SUM(D7:D15)+SUM(D17:D20)</f>
        <v>2011892725.7876916</v>
      </c>
      <c r="E21" s="626">
        <f t="shared" si="1"/>
        <v>40142305.576003529</v>
      </c>
      <c r="F21" s="626">
        <f t="shared" si="1"/>
        <v>29817788.456093024</v>
      </c>
      <c r="G21" s="626">
        <f t="shared" si="1"/>
        <v>0</v>
      </c>
      <c r="H21" s="626">
        <f t="shared" si="1"/>
        <v>13310275.73</v>
      </c>
      <c r="I21" s="531">
        <f t="shared" si="0"/>
        <v>2006987893.4161036</v>
      </c>
      <c r="K21" s="680"/>
    </row>
    <row r="22" spans="1:11">
      <c r="A22" s="535">
        <v>16</v>
      </c>
      <c r="B22" s="536" t="s">
        <v>559</v>
      </c>
      <c r="C22" s="628">
        <f>C14+C17</f>
        <v>57918388.660508633</v>
      </c>
      <c r="D22" s="628">
        <f>D13+D14+D17</f>
        <v>1599795268.6076918</v>
      </c>
      <c r="E22" s="628">
        <f>E14+E17</f>
        <v>36223490.576003529</v>
      </c>
      <c r="F22" s="628">
        <f>F13+F14+F17</f>
        <v>29817788.456093024</v>
      </c>
      <c r="G22" s="628"/>
      <c r="H22" s="627">
        <v>13279675.73</v>
      </c>
      <c r="I22" s="531">
        <f t="shared" si="0"/>
        <v>1591672378.2361038</v>
      </c>
    </row>
    <row r="23" spans="1:11">
      <c r="A23" s="535">
        <v>17</v>
      </c>
      <c r="B23" s="536" t="s">
        <v>560</v>
      </c>
      <c r="C23" s="628"/>
      <c r="D23" s="628">
        <v>48854205.850000001</v>
      </c>
      <c r="E23" s="628"/>
      <c r="F23" s="628"/>
      <c r="G23" s="628"/>
      <c r="H23" s="627"/>
      <c r="I23" s="531">
        <f t="shared" si="0"/>
        <v>48854205.850000001</v>
      </c>
    </row>
    <row r="24" spans="1:11">
      <c r="H24" s="679"/>
      <c r="I24" s="677"/>
    </row>
    <row r="25" spans="1:11">
      <c r="C25" s="629"/>
      <c r="D25" s="629"/>
      <c r="F25" s="630"/>
      <c r="G25" s="630"/>
      <c r="I25" s="678"/>
    </row>
    <row r="26" spans="1:11" ht="42.6" customHeight="1">
      <c r="B26" s="587" t="s">
        <v>707</v>
      </c>
      <c r="E26" s="630"/>
      <c r="F26" s="630"/>
      <c r="K26" s="678"/>
    </row>
    <row r="28" spans="1:11">
      <c r="I28" s="678"/>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C11" zoomScale="90" zoomScaleNormal="90" workbookViewId="0">
      <selection activeCell="H33" sqref="H33"/>
    </sheetView>
  </sheetViews>
  <sheetFormatPr defaultColWidth="9.140625" defaultRowHeight="12.75"/>
  <cols>
    <col min="1" max="1" width="11" style="514" bestFit="1" customWidth="1"/>
    <col min="2" max="2" width="93.42578125" style="514" customWidth="1"/>
    <col min="3" max="8" width="22" style="514" customWidth="1"/>
    <col min="9" max="9" width="42.28515625" style="514" bestFit="1" customWidth="1"/>
    <col min="10" max="16384" width="9.140625" style="514"/>
  </cols>
  <sheetData>
    <row r="1" spans="1:9" ht="13.5">
      <c r="A1" s="513" t="s">
        <v>188</v>
      </c>
      <c r="B1" s="431" t="str">
        <f>Info!C2</f>
        <v>სს "კრედო ბანკი"</v>
      </c>
    </row>
    <row r="2" spans="1:9">
      <c r="A2" s="515" t="s">
        <v>189</v>
      </c>
      <c r="B2" s="517">
        <f>'1. key ratios'!B2</f>
        <v>44742</v>
      </c>
    </row>
    <row r="3" spans="1:9">
      <c r="A3" s="516" t="s">
        <v>561</v>
      </c>
    </row>
    <row r="4" spans="1:9">
      <c r="C4" s="526" t="s">
        <v>539</v>
      </c>
      <c r="D4" s="526" t="s">
        <v>540</v>
      </c>
      <c r="E4" s="526" t="s">
        <v>541</v>
      </c>
      <c r="F4" s="526" t="s">
        <v>542</v>
      </c>
      <c r="G4" s="526" t="s">
        <v>543</v>
      </c>
      <c r="H4" s="526" t="s">
        <v>544</v>
      </c>
      <c r="I4" s="526" t="s">
        <v>545</v>
      </c>
    </row>
    <row r="5" spans="1:9" ht="41.45" customHeight="1">
      <c r="A5" s="761" t="s">
        <v>711</v>
      </c>
      <c r="B5" s="762"/>
      <c r="C5" s="775" t="s">
        <v>549</v>
      </c>
      <c r="D5" s="775"/>
      <c r="E5" s="775" t="s">
        <v>550</v>
      </c>
      <c r="F5" s="775" t="s">
        <v>551</v>
      </c>
      <c r="G5" s="773" t="s">
        <v>552</v>
      </c>
      <c r="H5" s="773" t="s">
        <v>553</v>
      </c>
      <c r="I5" s="527" t="s">
        <v>554</v>
      </c>
    </row>
    <row r="6" spans="1:9" ht="41.45" customHeight="1">
      <c r="A6" s="765"/>
      <c r="B6" s="766"/>
      <c r="C6" s="576" t="s">
        <v>555</v>
      </c>
      <c r="D6" s="576" t="s">
        <v>556</v>
      </c>
      <c r="E6" s="775"/>
      <c r="F6" s="775"/>
      <c r="G6" s="774"/>
      <c r="H6" s="774"/>
      <c r="I6" s="527" t="s">
        <v>557</v>
      </c>
    </row>
    <row r="7" spans="1:9">
      <c r="A7" s="529">
        <v>1</v>
      </c>
      <c r="B7" s="538" t="s">
        <v>562</v>
      </c>
      <c r="C7" s="627">
        <v>490551.08495187253</v>
      </c>
      <c r="D7" s="688">
        <f>17278386.8941912+200582601</f>
        <v>217860987.89419121</v>
      </c>
      <c r="E7" s="627">
        <v>252444.20199999923</v>
      </c>
      <c r="F7" s="627">
        <v>328716.64810000069</v>
      </c>
      <c r="G7" s="627"/>
      <c r="H7" s="627">
        <v>104673.36000000003</v>
      </c>
      <c r="I7" s="682">
        <f t="shared" ref="I7:I34" si="0">C7+D7-E7-F7-G7</f>
        <v>217770378.1290431</v>
      </c>
    </row>
    <row r="8" spans="1:9">
      <c r="A8" s="529">
        <v>2</v>
      </c>
      <c r="B8" s="538" t="s">
        <v>563</v>
      </c>
      <c r="C8" s="627">
        <v>53985.18419006536</v>
      </c>
      <c r="D8" s="688">
        <f>26140429+7491814.63579806+29959343</f>
        <v>63591586.635798059</v>
      </c>
      <c r="E8" s="627">
        <v>37439.566000000283</v>
      </c>
      <c r="F8" s="627">
        <v>144892.34799999994</v>
      </c>
      <c r="G8" s="627"/>
      <c r="H8" s="627">
        <v>9987.7099999999991</v>
      </c>
      <c r="I8" s="682">
        <f t="shared" si="0"/>
        <v>63463239.905988127</v>
      </c>
    </row>
    <row r="9" spans="1:9">
      <c r="A9" s="529">
        <v>3</v>
      </c>
      <c r="B9" s="538" t="s">
        <v>564</v>
      </c>
      <c r="C9" s="627">
        <v>150906.2588955719</v>
      </c>
      <c r="D9" s="627">
        <v>5785944.2246991368</v>
      </c>
      <c r="E9" s="627">
        <v>84898.290000000241</v>
      </c>
      <c r="F9" s="627">
        <v>111382.96079999994</v>
      </c>
      <c r="G9" s="627"/>
      <c r="H9" s="627">
        <v>59343.479999999996</v>
      </c>
      <c r="I9" s="682">
        <f t="shared" si="0"/>
        <v>5740569.2327947095</v>
      </c>
    </row>
    <row r="10" spans="1:9">
      <c r="A10" s="529">
        <v>4</v>
      </c>
      <c r="B10" s="538" t="s">
        <v>565</v>
      </c>
      <c r="C10" s="627">
        <v>297987.7426287781</v>
      </c>
      <c r="D10" s="627">
        <v>3612997.134025204</v>
      </c>
      <c r="E10" s="627">
        <v>93771.035000000134</v>
      </c>
      <c r="F10" s="627">
        <v>71867.633599999986</v>
      </c>
      <c r="G10" s="627"/>
      <c r="H10" s="627">
        <v>1281.8800000000001</v>
      </c>
      <c r="I10" s="682">
        <f t="shared" si="0"/>
        <v>3745346.2080539824</v>
      </c>
    </row>
    <row r="11" spans="1:9">
      <c r="A11" s="529">
        <v>5</v>
      </c>
      <c r="B11" s="538" t="s">
        <v>566</v>
      </c>
      <c r="C11" s="627">
        <v>677914.11568748101</v>
      </c>
      <c r="D11" s="627">
        <v>18608242.699262626</v>
      </c>
      <c r="E11" s="627">
        <v>879454.20590000087</v>
      </c>
      <c r="F11" s="627">
        <v>300614.68010000017</v>
      </c>
      <c r="G11" s="627"/>
      <c r="H11" s="627">
        <v>34682.620000000003</v>
      </c>
      <c r="I11" s="682">
        <f t="shared" si="0"/>
        <v>18106087.928950105</v>
      </c>
    </row>
    <row r="12" spans="1:9">
      <c r="A12" s="529">
        <v>6</v>
      </c>
      <c r="B12" s="538" t="s">
        <v>567</v>
      </c>
      <c r="C12" s="627">
        <v>230538.71064795073</v>
      </c>
      <c r="D12" s="627">
        <v>7216995.2313922308</v>
      </c>
      <c r="E12" s="627">
        <v>142385.05199999988</v>
      </c>
      <c r="F12" s="627">
        <v>138183.85180000009</v>
      </c>
      <c r="G12" s="627"/>
      <c r="H12" s="627">
        <v>71539.92</v>
      </c>
      <c r="I12" s="682">
        <f t="shared" si="0"/>
        <v>7166965.0382401813</v>
      </c>
    </row>
    <row r="13" spans="1:9">
      <c r="A13" s="529">
        <v>7</v>
      </c>
      <c r="B13" s="538" t="s">
        <v>568</v>
      </c>
      <c r="C13" s="627">
        <v>115637.46884205508</v>
      </c>
      <c r="D13" s="627">
        <v>4556225.5618531639</v>
      </c>
      <c r="E13" s="627">
        <v>78211.460099999982</v>
      </c>
      <c r="F13" s="627">
        <v>85669.329999999973</v>
      </c>
      <c r="G13" s="627"/>
      <c r="H13" s="627">
        <v>20898.100000000002</v>
      </c>
      <c r="I13" s="682">
        <f t="shared" si="0"/>
        <v>4507982.2405952187</v>
      </c>
    </row>
    <row r="14" spans="1:9">
      <c r="A14" s="529">
        <v>8</v>
      </c>
      <c r="B14" s="538" t="s">
        <v>569</v>
      </c>
      <c r="C14" s="627">
        <v>5119129.4078082237</v>
      </c>
      <c r="D14" s="627">
        <v>119902987.16694948</v>
      </c>
      <c r="E14" s="627">
        <v>2765775.6208001571</v>
      </c>
      <c r="F14" s="627">
        <v>2282259.7177999457</v>
      </c>
      <c r="G14" s="627"/>
      <c r="H14" s="627">
        <v>1029436.3300000018</v>
      </c>
      <c r="I14" s="682">
        <f t="shared" si="0"/>
        <v>119974081.23615761</v>
      </c>
    </row>
    <row r="15" spans="1:9">
      <c r="A15" s="529">
        <v>9</v>
      </c>
      <c r="B15" s="538" t="s">
        <v>570</v>
      </c>
      <c r="C15" s="627">
        <v>794202.3567927269</v>
      </c>
      <c r="D15" s="627">
        <v>22270679.048140146</v>
      </c>
      <c r="E15" s="627">
        <v>556837.91499999806</v>
      </c>
      <c r="F15" s="627">
        <v>415145.67480000167</v>
      </c>
      <c r="G15" s="627"/>
      <c r="H15" s="627">
        <v>121035.10999999999</v>
      </c>
      <c r="I15" s="682">
        <f t="shared" si="0"/>
        <v>22092897.815132871</v>
      </c>
    </row>
    <row r="16" spans="1:9">
      <c r="A16" s="529">
        <v>10</v>
      </c>
      <c r="B16" s="538" t="s">
        <v>571</v>
      </c>
      <c r="C16" s="627">
        <v>339980.15757502528</v>
      </c>
      <c r="D16" s="627">
        <v>7587828.948697987</v>
      </c>
      <c r="E16" s="627">
        <v>227669.218900001</v>
      </c>
      <c r="F16" s="627">
        <v>137780.73939999987</v>
      </c>
      <c r="G16" s="627"/>
      <c r="H16" s="627">
        <v>57415.23000000001</v>
      </c>
      <c r="I16" s="682">
        <f t="shared" si="0"/>
        <v>7562359.1479730112</v>
      </c>
    </row>
    <row r="17" spans="1:10">
      <c r="A17" s="529">
        <v>11</v>
      </c>
      <c r="B17" s="538" t="s">
        <v>572</v>
      </c>
      <c r="C17" s="627">
        <v>298895.91621874337</v>
      </c>
      <c r="D17" s="627">
        <v>10067236.664472658</v>
      </c>
      <c r="E17" s="627">
        <v>163912.21999999959</v>
      </c>
      <c r="F17" s="627">
        <v>193915.34290000037</v>
      </c>
      <c r="G17" s="627"/>
      <c r="H17" s="627">
        <v>78266.494971000022</v>
      </c>
      <c r="I17" s="682">
        <f t="shared" si="0"/>
        <v>10008305.017791402</v>
      </c>
    </row>
    <row r="18" spans="1:10">
      <c r="A18" s="529">
        <v>12</v>
      </c>
      <c r="B18" s="538" t="s">
        <v>573</v>
      </c>
      <c r="C18" s="627">
        <v>2789316.5002654102</v>
      </c>
      <c r="D18" s="627">
        <v>87908681.019610032</v>
      </c>
      <c r="E18" s="627">
        <v>1559854.1418000266</v>
      </c>
      <c r="F18" s="627">
        <v>1660173.4258999696</v>
      </c>
      <c r="G18" s="627"/>
      <c r="H18" s="627">
        <v>622733.30000000016</v>
      </c>
      <c r="I18" s="682">
        <f t="shared" si="0"/>
        <v>87477969.952175438</v>
      </c>
    </row>
    <row r="19" spans="1:10">
      <c r="A19" s="529">
        <v>13</v>
      </c>
      <c r="B19" s="538" t="s">
        <v>574</v>
      </c>
      <c r="C19" s="627">
        <v>617922.19844543643</v>
      </c>
      <c r="D19" s="627">
        <v>16073437.744018616</v>
      </c>
      <c r="E19" s="627">
        <v>362446.97019999812</v>
      </c>
      <c r="F19" s="627">
        <v>306789.54010000045</v>
      </c>
      <c r="G19" s="627"/>
      <c r="H19" s="627">
        <v>109812.90000000004</v>
      </c>
      <c r="I19" s="682">
        <f t="shared" si="0"/>
        <v>16022123.432164053</v>
      </c>
    </row>
    <row r="20" spans="1:10">
      <c r="A20" s="529">
        <v>14</v>
      </c>
      <c r="B20" s="538" t="s">
        <v>575</v>
      </c>
      <c r="C20" s="627">
        <v>2625975.1717144158</v>
      </c>
      <c r="D20" s="627">
        <v>49271866.417232573</v>
      </c>
      <c r="E20" s="627">
        <v>3113325.2480000081</v>
      </c>
      <c r="F20" s="627">
        <v>668277.41729999788</v>
      </c>
      <c r="G20" s="627"/>
      <c r="H20" s="627">
        <v>110971.48000000001</v>
      </c>
      <c r="I20" s="682">
        <f t="shared" si="0"/>
        <v>48116238.923646979</v>
      </c>
    </row>
    <row r="21" spans="1:10">
      <c r="A21" s="529">
        <v>15</v>
      </c>
      <c r="B21" s="538" t="s">
        <v>576</v>
      </c>
      <c r="C21" s="627">
        <v>3261303.8987541068</v>
      </c>
      <c r="D21" s="627">
        <v>23632684.588675674</v>
      </c>
      <c r="E21" s="627">
        <v>2097011.8862000026</v>
      </c>
      <c r="F21" s="627">
        <v>430349.22920000157</v>
      </c>
      <c r="G21" s="627"/>
      <c r="H21" s="627">
        <v>460269.38999999996</v>
      </c>
      <c r="I21" s="682">
        <f t="shared" si="0"/>
        <v>24366627.372029778</v>
      </c>
    </row>
    <row r="22" spans="1:10">
      <c r="A22" s="529">
        <v>16</v>
      </c>
      <c r="B22" s="538" t="s">
        <v>577</v>
      </c>
      <c r="C22" s="627">
        <v>268930.86238638812</v>
      </c>
      <c r="D22" s="627">
        <v>6223683.3958117962</v>
      </c>
      <c r="E22" s="627">
        <v>135273.20390000092</v>
      </c>
      <c r="F22" s="627">
        <v>115900.8495999999</v>
      </c>
      <c r="G22" s="627"/>
      <c r="H22" s="627">
        <v>31112.01</v>
      </c>
      <c r="I22" s="682">
        <f t="shared" si="0"/>
        <v>6241440.2046981826</v>
      </c>
    </row>
    <row r="23" spans="1:10">
      <c r="A23" s="529">
        <v>17</v>
      </c>
      <c r="B23" s="538" t="s">
        <v>578</v>
      </c>
      <c r="C23" s="627">
        <v>20230.686140595462</v>
      </c>
      <c r="D23" s="627">
        <v>790325.81688339775</v>
      </c>
      <c r="E23" s="627">
        <v>9127.2120000000141</v>
      </c>
      <c r="F23" s="627">
        <v>15210.470499999992</v>
      </c>
      <c r="G23" s="627"/>
      <c r="H23" s="627">
        <v>6687.44</v>
      </c>
      <c r="I23" s="682">
        <f t="shared" si="0"/>
        <v>786218.82052399323</v>
      </c>
    </row>
    <row r="24" spans="1:10">
      <c r="A24" s="529">
        <v>18</v>
      </c>
      <c r="B24" s="538" t="s">
        <v>579</v>
      </c>
      <c r="C24" s="627">
        <v>63179.770524784049</v>
      </c>
      <c r="D24" s="627">
        <v>2781870.6155759958</v>
      </c>
      <c r="E24" s="627">
        <v>31152.850999999908</v>
      </c>
      <c r="F24" s="627">
        <v>53852.144000000073</v>
      </c>
      <c r="G24" s="627"/>
      <c r="H24" s="627">
        <v>14925.93</v>
      </c>
      <c r="I24" s="682">
        <f t="shared" si="0"/>
        <v>2760045.3911007801</v>
      </c>
    </row>
    <row r="25" spans="1:10">
      <c r="A25" s="529">
        <v>19</v>
      </c>
      <c r="B25" s="538" t="s">
        <v>580</v>
      </c>
      <c r="C25" s="627">
        <v>168841.27082828336</v>
      </c>
      <c r="D25" s="627">
        <v>6171397.5742916251</v>
      </c>
      <c r="E25" s="627">
        <v>108330.71200000068</v>
      </c>
      <c r="F25" s="627">
        <v>118880.58709999987</v>
      </c>
      <c r="G25" s="627"/>
      <c r="H25" s="627">
        <v>24616.41</v>
      </c>
      <c r="I25" s="682">
        <f t="shared" si="0"/>
        <v>6113027.546019908</v>
      </c>
    </row>
    <row r="26" spans="1:10">
      <c r="A26" s="529">
        <v>20</v>
      </c>
      <c r="B26" s="538" t="s">
        <v>581</v>
      </c>
      <c r="C26" s="627">
        <v>140085.36446909147</v>
      </c>
      <c r="D26" s="627">
        <v>12079746.597509528</v>
      </c>
      <c r="E26" s="627">
        <v>76755.48399999892</v>
      </c>
      <c r="F26" s="627">
        <v>236408.94600000043</v>
      </c>
      <c r="G26" s="627"/>
      <c r="H26" s="627">
        <v>41560.81</v>
      </c>
      <c r="I26" s="682">
        <f t="shared" si="0"/>
        <v>11906667.53197862</v>
      </c>
      <c r="J26" s="539"/>
    </row>
    <row r="27" spans="1:10">
      <c r="A27" s="529">
        <v>21</v>
      </c>
      <c r="B27" s="538" t="s">
        <v>582</v>
      </c>
      <c r="C27" s="627">
        <v>19747.345777745184</v>
      </c>
      <c r="D27" s="627">
        <v>2821398.7629298209</v>
      </c>
      <c r="E27" s="627">
        <v>17360.661000000022</v>
      </c>
      <c r="F27" s="627">
        <v>54087.906400000007</v>
      </c>
      <c r="G27" s="627"/>
      <c r="H27" s="627">
        <v>15442.91</v>
      </c>
      <c r="I27" s="682">
        <f t="shared" si="0"/>
        <v>2769697.5413075662</v>
      </c>
      <c r="J27" s="539"/>
    </row>
    <row r="28" spans="1:10">
      <c r="A28" s="529">
        <v>22</v>
      </c>
      <c r="B28" s="538" t="s">
        <v>583</v>
      </c>
      <c r="C28" s="627">
        <v>37931.594463802787</v>
      </c>
      <c r="D28" s="627">
        <v>625421.73620952782</v>
      </c>
      <c r="E28" s="627">
        <v>12856.270000000006</v>
      </c>
      <c r="F28" s="627">
        <v>12068.907400000002</v>
      </c>
      <c r="G28" s="627"/>
      <c r="H28" s="627">
        <v>18677.599999999999</v>
      </c>
      <c r="I28" s="682">
        <f t="shared" si="0"/>
        <v>638428.15327333054</v>
      </c>
      <c r="J28" s="539"/>
    </row>
    <row r="29" spans="1:10">
      <c r="A29" s="529">
        <v>23</v>
      </c>
      <c r="B29" s="538" t="s">
        <v>584</v>
      </c>
      <c r="C29" s="627">
        <v>13578317.850701937</v>
      </c>
      <c r="D29" s="627">
        <v>313816574.13134623</v>
      </c>
      <c r="E29" s="627">
        <v>7815094.1794000883</v>
      </c>
      <c r="F29" s="627">
        <v>5905783.7512001749</v>
      </c>
      <c r="G29" s="627"/>
      <c r="H29" s="627">
        <v>4095920.1999999988</v>
      </c>
      <c r="I29" s="682">
        <f t="shared" si="0"/>
        <v>313674014.05144787</v>
      </c>
      <c r="J29" s="539"/>
    </row>
    <row r="30" spans="1:10">
      <c r="A30" s="529">
        <v>24</v>
      </c>
      <c r="B30" s="538" t="s">
        <v>585</v>
      </c>
      <c r="C30" s="627">
        <v>18087686.066240381</v>
      </c>
      <c r="D30" s="627">
        <v>653407638.78356409</v>
      </c>
      <c r="E30" s="627">
        <v>11022460.512894565</v>
      </c>
      <c r="F30" s="627">
        <v>12279344.461701678</v>
      </c>
      <c r="G30" s="627"/>
      <c r="H30" s="627">
        <v>4222801.7799999993</v>
      </c>
      <c r="I30" s="682">
        <f t="shared" si="0"/>
        <v>648193519.87520838</v>
      </c>
      <c r="J30" s="539"/>
    </row>
    <row r="31" spans="1:10">
      <c r="A31" s="529">
        <v>25</v>
      </c>
      <c r="B31" s="538" t="s">
        <v>586</v>
      </c>
      <c r="C31" s="627">
        <v>4700786.9906033631</v>
      </c>
      <c r="D31" s="628">
        <v>126104148.25559281</v>
      </c>
      <c r="E31" s="627">
        <v>2743671.8272004263</v>
      </c>
      <c r="F31" s="627">
        <v>2362885.5120000276</v>
      </c>
      <c r="G31" s="627"/>
      <c r="H31" s="628">
        <v>1146279.5000000005</v>
      </c>
      <c r="I31" s="682">
        <f t="shared" si="0"/>
        <v>125698377.90699571</v>
      </c>
      <c r="J31" s="539"/>
    </row>
    <row r="32" spans="1:10">
      <c r="A32" s="529">
        <v>26</v>
      </c>
      <c r="B32" s="538" t="s">
        <v>587</v>
      </c>
      <c r="C32" s="627">
        <v>2968404.6849543983</v>
      </c>
      <c r="D32" s="628">
        <v>73707054.959095046</v>
      </c>
      <c r="E32" s="627">
        <v>1835970.6307000131</v>
      </c>
      <c r="F32" s="627">
        <v>1387346.3803999871</v>
      </c>
      <c r="G32" s="627"/>
      <c r="H32" s="628">
        <v>769303.9</v>
      </c>
      <c r="I32" s="682">
        <f t="shared" si="0"/>
        <v>73452142.632949457</v>
      </c>
      <c r="J32" s="539"/>
    </row>
    <row r="33" spans="1:10">
      <c r="A33" s="529">
        <v>27</v>
      </c>
      <c r="B33" s="530" t="s">
        <v>165</v>
      </c>
      <c r="C33" s="627">
        <v>7136873</v>
      </c>
      <c r="D33" s="628">
        <v>155415085.14999998</v>
      </c>
      <c r="E33" s="627">
        <v>3918815</v>
      </c>
      <c r="F33" s="627"/>
      <c r="G33" s="627"/>
      <c r="H33" s="627">
        <v>30600</v>
      </c>
      <c r="I33" s="682">
        <f t="shared" si="0"/>
        <v>158633143.14999998</v>
      </c>
      <c r="J33" s="539"/>
    </row>
    <row r="34" spans="1:10">
      <c r="A34" s="529">
        <v>28</v>
      </c>
      <c r="B34" s="540" t="s">
        <v>68</v>
      </c>
      <c r="C34" s="631">
        <f>SUM(C7:C33)</f>
        <v>65055261.660508633</v>
      </c>
      <c r="D34" s="631">
        <f t="shared" ref="D34:H34" si="1">SUM(D7:D33)</f>
        <v>2011892726.7578287</v>
      </c>
      <c r="E34" s="631">
        <f t="shared" si="1"/>
        <v>40142305.575995289</v>
      </c>
      <c r="F34" s="631">
        <f t="shared" si="1"/>
        <v>29817788.456101786</v>
      </c>
      <c r="G34" s="521">
        <f t="shared" si="1"/>
        <v>0</v>
      </c>
      <c r="H34" s="631">
        <f t="shared" si="1"/>
        <v>13310275.794971</v>
      </c>
      <c r="I34" s="687">
        <f t="shared" si="0"/>
        <v>2006987894.3862402</v>
      </c>
      <c r="J34" s="539"/>
    </row>
    <row r="35" spans="1:10">
      <c r="A35" s="539"/>
      <c r="B35" s="539"/>
      <c r="C35" s="539"/>
      <c r="D35" s="539"/>
      <c r="E35" s="539"/>
      <c r="F35" s="539"/>
      <c r="G35" s="539"/>
      <c r="H35" s="683"/>
      <c r="I35" s="539"/>
      <c r="J35" s="539"/>
    </row>
    <row r="36" spans="1:10">
      <c r="A36" s="539"/>
      <c r="B36" s="541"/>
      <c r="C36" s="539"/>
      <c r="D36" s="539"/>
      <c r="E36" s="539"/>
      <c r="F36" s="539"/>
      <c r="G36" s="539"/>
      <c r="H36" s="539"/>
      <c r="I36" s="539"/>
      <c r="J36" s="539"/>
    </row>
    <row r="37" spans="1:10">
      <c r="A37" s="539"/>
      <c r="B37" s="539"/>
      <c r="C37" s="539"/>
      <c r="D37" s="539"/>
      <c r="E37" s="539"/>
      <c r="F37" s="539"/>
      <c r="G37" s="539"/>
      <c r="H37" s="539"/>
      <c r="I37" s="539"/>
      <c r="J37" s="539"/>
    </row>
    <row r="38" spans="1:10">
      <c r="A38" s="539"/>
      <c r="B38" s="539"/>
      <c r="C38" s="539"/>
      <c r="D38" s="539"/>
      <c r="E38" s="539"/>
      <c r="F38" s="539"/>
      <c r="G38" s="539"/>
      <c r="H38" s="539"/>
      <c r="I38" s="539"/>
      <c r="J38" s="539"/>
    </row>
    <row r="39" spans="1:10">
      <c r="A39" s="539"/>
      <c r="B39" s="539"/>
      <c r="C39" s="539"/>
      <c r="D39" s="539"/>
      <c r="E39" s="539"/>
      <c r="F39" s="539"/>
      <c r="G39" s="539"/>
      <c r="H39" s="539"/>
      <c r="I39" s="539"/>
      <c r="J39" s="539"/>
    </row>
    <row r="40" spans="1:10">
      <c r="A40" s="539"/>
      <c r="B40" s="539"/>
      <c r="C40" s="539"/>
      <c r="D40" s="539"/>
      <c r="E40" s="539"/>
      <c r="F40" s="539"/>
      <c r="G40" s="539"/>
      <c r="H40" s="539"/>
      <c r="I40" s="539"/>
      <c r="J40" s="539"/>
    </row>
    <row r="41" spans="1:10">
      <c r="A41" s="539"/>
      <c r="B41" s="539"/>
      <c r="C41" s="539"/>
      <c r="D41" s="539"/>
      <c r="E41" s="539"/>
      <c r="F41" s="539"/>
      <c r="G41" s="539"/>
      <c r="H41" s="539"/>
      <c r="I41" s="539"/>
      <c r="J41" s="539"/>
    </row>
    <row r="42" spans="1:10">
      <c r="A42" s="542"/>
      <c r="B42" s="542"/>
      <c r="C42" s="539"/>
      <c r="D42" s="539"/>
      <c r="E42" s="539"/>
      <c r="F42" s="539"/>
      <c r="G42" s="539"/>
      <c r="H42" s="539"/>
      <c r="I42" s="539"/>
      <c r="J42" s="539"/>
    </row>
    <row r="43" spans="1:10">
      <c r="A43" s="542"/>
      <c r="B43" s="542"/>
      <c r="C43" s="539"/>
      <c r="D43" s="539"/>
      <c r="E43" s="539"/>
      <c r="F43" s="539"/>
      <c r="G43" s="539"/>
      <c r="H43" s="539"/>
      <c r="I43" s="539"/>
      <c r="J43" s="539"/>
    </row>
    <row r="44" spans="1:10">
      <c r="A44" s="539"/>
      <c r="B44" s="543"/>
      <c r="C44" s="539"/>
      <c r="D44" s="539"/>
      <c r="E44" s="539"/>
      <c r="F44" s="539"/>
      <c r="G44" s="539"/>
      <c r="H44" s="539"/>
      <c r="I44" s="539"/>
      <c r="J44" s="539"/>
    </row>
    <row r="45" spans="1:10">
      <c r="A45" s="539"/>
      <c r="B45" s="543"/>
      <c r="C45" s="539"/>
      <c r="D45" s="539"/>
      <c r="E45" s="539"/>
      <c r="F45" s="539"/>
      <c r="G45" s="539"/>
      <c r="H45" s="539"/>
      <c r="I45" s="539"/>
      <c r="J45" s="539"/>
    </row>
    <row r="46" spans="1:10">
      <c r="A46" s="539"/>
      <c r="B46" s="543"/>
      <c r="C46" s="539"/>
      <c r="D46" s="539"/>
      <c r="E46" s="539"/>
      <c r="F46" s="539"/>
      <c r="G46" s="539"/>
      <c r="H46" s="539"/>
      <c r="I46" s="539"/>
      <c r="J46" s="539"/>
    </row>
    <row r="47" spans="1:10">
      <c r="A47" s="539"/>
      <c r="B47" s="539"/>
      <c r="C47" s="539"/>
      <c r="D47" s="539"/>
      <c r="E47" s="539"/>
      <c r="F47" s="539"/>
      <c r="G47" s="539"/>
      <c r="H47" s="539"/>
      <c r="I47" s="539"/>
      <c r="J47" s="53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90" zoomScaleNormal="90" workbookViewId="0">
      <selection activeCell="C13" sqref="C13:C18"/>
    </sheetView>
  </sheetViews>
  <sheetFormatPr defaultColWidth="9.140625" defaultRowHeight="12.75"/>
  <cols>
    <col min="1" max="1" width="11.85546875" style="514" bestFit="1" customWidth="1"/>
    <col min="2" max="2" width="108" style="514" bestFit="1" customWidth="1"/>
    <col min="3" max="3" width="35.5703125" style="514" customWidth="1"/>
    <col min="4" max="4" width="38.42578125" style="537" customWidth="1"/>
    <col min="5" max="16384" width="9.140625" style="514"/>
  </cols>
  <sheetData>
    <row r="1" spans="1:4" ht="13.5">
      <c r="A1" s="513" t="s">
        <v>188</v>
      </c>
      <c r="B1" s="431" t="str">
        <f>Info!C2</f>
        <v>სს "კრედო ბანკი"</v>
      </c>
      <c r="D1" s="514"/>
    </row>
    <row r="2" spans="1:4">
      <c r="A2" s="515" t="s">
        <v>189</v>
      </c>
      <c r="B2" s="517">
        <f>'1. key ratios'!B2</f>
        <v>44742</v>
      </c>
      <c r="D2" s="514"/>
    </row>
    <row r="3" spans="1:4">
      <c r="A3" s="516" t="s">
        <v>588</v>
      </c>
      <c r="D3" s="514"/>
    </row>
    <row r="5" spans="1:4" ht="51">
      <c r="A5" s="776" t="s">
        <v>589</v>
      </c>
      <c r="B5" s="776"/>
      <c r="C5" s="544" t="s">
        <v>590</v>
      </c>
      <c r="D5" s="585" t="s">
        <v>591</v>
      </c>
    </row>
    <row r="6" spans="1:4">
      <c r="A6" s="545">
        <v>1</v>
      </c>
      <c r="B6" s="546" t="s">
        <v>592</v>
      </c>
      <c r="C6" s="627">
        <v>67904788.828670293</v>
      </c>
      <c r="D6" s="529"/>
    </row>
    <row r="7" spans="1:4">
      <c r="A7" s="547">
        <v>2</v>
      </c>
      <c r="B7" s="546" t="s">
        <v>593</v>
      </c>
      <c r="C7" s="626">
        <f>SUM(C8:C11)</f>
        <v>30005624.957687482</v>
      </c>
      <c r="D7" s="529">
        <f>SUM(D8:D11)</f>
        <v>0</v>
      </c>
    </row>
    <row r="8" spans="1:4">
      <c r="A8" s="548">
        <v>2.1</v>
      </c>
      <c r="B8" s="549" t="s">
        <v>594</v>
      </c>
      <c r="C8" s="627">
        <v>8977191.7591996603</v>
      </c>
      <c r="D8" s="529"/>
    </row>
    <row r="9" spans="1:4">
      <c r="A9" s="548">
        <v>2.2000000000000002</v>
      </c>
      <c r="B9" s="549" t="s">
        <v>595</v>
      </c>
      <c r="C9" s="627">
        <v>19939276.479022168</v>
      </c>
      <c r="D9" s="529"/>
    </row>
    <row r="10" spans="1:4">
      <c r="A10" s="548">
        <v>2.2999999999999998</v>
      </c>
      <c r="B10" s="549" t="s">
        <v>596</v>
      </c>
      <c r="C10" s="628">
        <v>1089156.7194656553</v>
      </c>
      <c r="D10" s="529"/>
    </row>
    <row r="11" spans="1:4">
      <c r="A11" s="548">
        <v>2.4</v>
      </c>
      <c r="B11" s="549" t="s">
        <v>597</v>
      </c>
      <c r="C11" s="627"/>
      <c r="D11" s="529"/>
    </row>
    <row r="12" spans="1:4">
      <c r="A12" s="545">
        <v>3</v>
      </c>
      <c r="B12" s="546" t="s">
        <v>598</v>
      </c>
      <c r="C12" s="626">
        <f>SUM(C13:C18)</f>
        <v>31869135.448187411</v>
      </c>
      <c r="D12" s="529">
        <f>SUM(D13:D18)</f>
        <v>0</v>
      </c>
    </row>
    <row r="13" spans="1:4">
      <c r="A13" s="548">
        <v>3.1</v>
      </c>
      <c r="B13" s="549" t="s">
        <v>599</v>
      </c>
      <c r="C13" s="627">
        <v>13279676.390000001</v>
      </c>
      <c r="D13" s="529"/>
    </row>
    <row r="14" spans="1:4">
      <c r="A14" s="548">
        <v>3.2</v>
      </c>
      <c r="B14" s="549" t="s">
        <v>600</v>
      </c>
      <c r="C14" s="627">
        <v>5815203.1068957839</v>
      </c>
      <c r="D14" s="529"/>
    </row>
    <row r="15" spans="1:4">
      <c r="A15" s="548">
        <v>3.3</v>
      </c>
      <c r="B15" s="549" t="s">
        <v>601</v>
      </c>
      <c r="C15" s="627">
        <v>5768531.1410597721</v>
      </c>
      <c r="D15" s="529"/>
    </row>
    <row r="16" spans="1:4">
      <c r="A16" s="548">
        <v>3.4</v>
      </c>
      <c r="B16" s="549" t="s">
        <v>602</v>
      </c>
      <c r="C16" s="627">
        <v>4992012.0534460675</v>
      </c>
      <c r="D16" s="529"/>
    </row>
    <row r="17" spans="1:4">
      <c r="A17" s="547">
        <v>3.5</v>
      </c>
      <c r="B17" s="549" t="s">
        <v>603</v>
      </c>
      <c r="C17" s="628">
        <v>2013712.7567857879</v>
      </c>
      <c r="D17" s="529"/>
    </row>
    <row r="18" spans="1:4">
      <c r="A18" s="548">
        <v>3.6</v>
      </c>
      <c r="B18" s="549" t="s">
        <v>604</v>
      </c>
      <c r="C18" s="627">
        <v>0</v>
      </c>
      <c r="D18" s="529"/>
    </row>
    <row r="19" spans="1:4">
      <c r="A19" s="550">
        <v>4</v>
      </c>
      <c r="B19" s="546" t="s">
        <v>605</v>
      </c>
      <c r="C19" s="626">
        <f>C6+C7-C12</f>
        <v>66041278.338170364</v>
      </c>
      <c r="D19" s="521">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C19" sqref="C19"/>
    </sheetView>
  </sheetViews>
  <sheetFormatPr defaultColWidth="9.140625" defaultRowHeight="12.75"/>
  <cols>
    <col min="1" max="1" width="11.85546875" style="514" bestFit="1" customWidth="1"/>
    <col min="2" max="2" width="124.7109375" style="514" customWidth="1"/>
    <col min="3" max="3" width="21.5703125" style="514" customWidth="1"/>
    <col min="4" max="4" width="49.140625" style="537" customWidth="1"/>
    <col min="5" max="16384" width="9.140625" style="514"/>
  </cols>
  <sheetData>
    <row r="1" spans="1:4" ht="13.5">
      <c r="A1" s="513" t="s">
        <v>188</v>
      </c>
      <c r="B1" s="431" t="str">
        <f>Info!C2</f>
        <v>სს "კრედო ბანკი"</v>
      </c>
      <c r="D1" s="514"/>
    </row>
    <row r="2" spans="1:4">
      <c r="A2" s="515" t="s">
        <v>189</v>
      </c>
      <c r="B2" s="517">
        <f>'1. key ratios'!B2</f>
        <v>44742</v>
      </c>
      <c r="D2" s="514"/>
    </row>
    <row r="3" spans="1:4">
      <c r="A3" s="516" t="s">
        <v>606</v>
      </c>
      <c r="D3" s="514"/>
    </row>
    <row r="4" spans="1:4">
      <c r="A4" s="516"/>
      <c r="D4" s="514"/>
    </row>
    <row r="5" spans="1:4" ht="15" customHeight="1">
      <c r="A5" s="777" t="s">
        <v>607</v>
      </c>
      <c r="B5" s="778"/>
      <c r="C5" s="767" t="s">
        <v>608</v>
      </c>
      <c r="D5" s="781" t="s">
        <v>609</v>
      </c>
    </row>
    <row r="6" spans="1:4" ht="27" customHeight="1">
      <c r="A6" s="779"/>
      <c r="B6" s="780"/>
      <c r="C6" s="770"/>
      <c r="D6" s="781"/>
    </row>
    <row r="7" spans="1:4">
      <c r="A7" s="540">
        <v>1</v>
      </c>
      <c r="B7" s="521" t="s">
        <v>610</v>
      </c>
      <c r="C7" s="626">
        <v>63261266.370748416</v>
      </c>
      <c r="D7" s="551"/>
    </row>
    <row r="8" spans="1:4">
      <c r="A8" s="530">
        <v>2</v>
      </c>
      <c r="B8" s="530" t="s">
        <v>611</v>
      </c>
      <c r="C8" s="627">
        <v>18486759.994577818</v>
      </c>
      <c r="D8" s="551"/>
    </row>
    <row r="9" spans="1:4">
      <c r="A9" s="530">
        <v>3</v>
      </c>
      <c r="B9" s="552" t="s">
        <v>612</v>
      </c>
      <c r="C9" s="627"/>
      <c r="D9" s="551"/>
    </row>
    <row r="10" spans="1:4">
      <c r="A10" s="530">
        <v>4</v>
      </c>
      <c r="B10" s="530" t="s">
        <v>613</v>
      </c>
      <c r="C10" s="626">
        <f>SUM(C11:C18)</f>
        <v>24063518.416809615</v>
      </c>
      <c r="D10" s="551"/>
    </row>
    <row r="11" spans="1:4">
      <c r="A11" s="530">
        <v>5</v>
      </c>
      <c r="B11" s="553" t="s">
        <v>614</v>
      </c>
      <c r="C11" s="627"/>
      <c r="D11" s="551"/>
    </row>
    <row r="12" spans="1:4">
      <c r="A12" s="530">
        <v>6</v>
      </c>
      <c r="B12" s="553" t="s">
        <v>615</v>
      </c>
      <c r="C12" s="627"/>
      <c r="D12" s="551"/>
    </row>
    <row r="13" spans="1:4">
      <c r="A13" s="530">
        <v>7</v>
      </c>
      <c r="B13" s="553" t="s">
        <v>616</v>
      </c>
      <c r="C13" s="627">
        <v>9974853.1399999987</v>
      </c>
      <c r="D13" s="551"/>
    </row>
    <row r="14" spans="1:4">
      <c r="A14" s="530">
        <v>8</v>
      </c>
      <c r="B14" s="553" t="s">
        <v>617</v>
      </c>
      <c r="C14" s="627"/>
      <c r="D14" s="530"/>
    </row>
    <row r="15" spans="1:4">
      <c r="A15" s="530">
        <v>9</v>
      </c>
      <c r="B15" s="553" t="s">
        <v>618</v>
      </c>
      <c r="C15" s="627"/>
      <c r="D15" s="530"/>
    </row>
    <row r="16" spans="1:4">
      <c r="A16" s="530">
        <v>10</v>
      </c>
      <c r="B16" s="553" t="s">
        <v>619</v>
      </c>
      <c r="C16" s="627">
        <v>13279675.73</v>
      </c>
      <c r="D16" s="551"/>
    </row>
    <row r="17" spans="1:4">
      <c r="A17" s="530">
        <v>11</v>
      </c>
      <c r="B17" s="553" t="s">
        <v>620</v>
      </c>
      <c r="C17" s="627"/>
      <c r="D17" s="530"/>
    </row>
    <row r="18" spans="1:4" ht="25.5">
      <c r="A18" s="530">
        <v>12</v>
      </c>
      <c r="B18" s="553" t="s">
        <v>621</v>
      </c>
      <c r="C18" s="627">
        <v>808989.54680961696</v>
      </c>
      <c r="D18" s="551"/>
    </row>
    <row r="19" spans="1:4">
      <c r="A19" s="540">
        <v>13</v>
      </c>
      <c r="B19" s="554" t="s">
        <v>622</v>
      </c>
      <c r="C19" s="626">
        <f>C7+C8+C9-C10</f>
        <v>57684507.948516607</v>
      </c>
      <c r="D19" s="555"/>
    </row>
    <row r="22" spans="1:4">
      <c r="B22" s="513"/>
    </row>
    <row r="23" spans="1:4">
      <c r="B23" s="515"/>
    </row>
    <row r="24" spans="1:4">
      <c r="B24" s="51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opLeftCell="H2" zoomScale="75" zoomScaleNormal="75" workbookViewId="0">
      <selection activeCell="G21" sqref="G21"/>
    </sheetView>
  </sheetViews>
  <sheetFormatPr defaultColWidth="9.140625" defaultRowHeight="12.75"/>
  <cols>
    <col min="1" max="1" width="11.85546875" style="514" bestFit="1" customWidth="1"/>
    <col min="2" max="2" width="80.7109375" style="514" customWidth="1"/>
    <col min="3" max="3" width="15.5703125" style="514" customWidth="1"/>
    <col min="4" max="5" width="22.28515625" style="514" customWidth="1"/>
    <col min="6" max="6" width="23.42578125" style="514" customWidth="1"/>
    <col min="7" max="14" width="22.28515625" style="514" customWidth="1"/>
    <col min="15" max="15" width="23.28515625" style="514" bestFit="1" customWidth="1"/>
    <col min="16" max="16" width="21.7109375" style="514" bestFit="1" customWidth="1"/>
    <col min="17" max="19" width="19" style="514" bestFit="1" customWidth="1"/>
    <col min="20" max="20" width="16.140625" style="514" customWidth="1"/>
    <col min="21" max="21" width="13.140625" style="514" bestFit="1" customWidth="1"/>
    <col min="22" max="22" width="20" style="514" customWidth="1"/>
    <col min="23" max="16384" width="9.140625" style="514"/>
  </cols>
  <sheetData>
    <row r="1" spans="1:22" ht="13.5">
      <c r="A1" s="513" t="s">
        <v>188</v>
      </c>
      <c r="B1" s="431" t="str">
        <f>Info!C2</f>
        <v>სს "კრედო ბანკი"</v>
      </c>
    </row>
    <row r="2" spans="1:22">
      <c r="A2" s="515" t="s">
        <v>189</v>
      </c>
      <c r="B2" s="517">
        <f>'1. key ratios'!B2</f>
        <v>44742</v>
      </c>
      <c r="C2" s="525"/>
    </row>
    <row r="3" spans="1:22">
      <c r="A3" s="516" t="s">
        <v>623</v>
      </c>
    </row>
    <row r="5" spans="1:22" ht="15" customHeight="1">
      <c r="A5" s="767" t="s">
        <v>624</v>
      </c>
      <c r="B5" s="769"/>
      <c r="C5" s="784" t="s">
        <v>625</v>
      </c>
      <c r="D5" s="785"/>
      <c r="E5" s="785"/>
      <c r="F5" s="785"/>
      <c r="G5" s="785"/>
      <c r="H5" s="785"/>
      <c r="I5" s="785"/>
      <c r="J5" s="785"/>
      <c r="K5" s="785"/>
      <c r="L5" s="785"/>
      <c r="M5" s="785"/>
      <c r="N5" s="785"/>
      <c r="O5" s="785"/>
      <c r="P5" s="785"/>
      <c r="Q5" s="785"/>
      <c r="R5" s="785"/>
      <c r="S5" s="785"/>
      <c r="T5" s="785"/>
      <c r="U5" s="786"/>
      <c r="V5" s="556"/>
    </row>
    <row r="6" spans="1:22">
      <c r="A6" s="782"/>
      <c r="B6" s="783"/>
      <c r="C6" s="787" t="s">
        <v>68</v>
      </c>
      <c r="D6" s="789" t="s">
        <v>626</v>
      </c>
      <c r="E6" s="789"/>
      <c r="F6" s="790"/>
      <c r="G6" s="791" t="s">
        <v>627</v>
      </c>
      <c r="H6" s="792"/>
      <c r="I6" s="792"/>
      <c r="J6" s="792"/>
      <c r="K6" s="793"/>
      <c r="L6" s="557"/>
      <c r="M6" s="794" t="s">
        <v>628</v>
      </c>
      <c r="N6" s="794"/>
      <c r="O6" s="774"/>
      <c r="P6" s="774"/>
      <c r="Q6" s="774"/>
      <c r="R6" s="774"/>
      <c r="S6" s="774"/>
      <c r="T6" s="774"/>
      <c r="U6" s="774"/>
      <c r="V6" s="558"/>
    </row>
    <row r="7" spans="1:22" ht="25.5">
      <c r="A7" s="770"/>
      <c r="B7" s="772"/>
      <c r="C7" s="788"/>
      <c r="D7" s="559"/>
      <c r="E7" s="527" t="s">
        <v>629</v>
      </c>
      <c r="F7" s="589" t="s">
        <v>630</v>
      </c>
      <c r="G7" s="525"/>
      <c r="H7" s="589" t="s">
        <v>629</v>
      </c>
      <c r="I7" s="527" t="s">
        <v>656</v>
      </c>
      <c r="J7" s="527" t="s">
        <v>631</v>
      </c>
      <c r="K7" s="589" t="s">
        <v>632</v>
      </c>
      <c r="L7" s="560"/>
      <c r="M7" s="576" t="s">
        <v>633</v>
      </c>
      <c r="N7" s="527" t="s">
        <v>631</v>
      </c>
      <c r="O7" s="527" t="s">
        <v>634</v>
      </c>
      <c r="P7" s="527" t="s">
        <v>635</v>
      </c>
      <c r="Q7" s="527" t="s">
        <v>636</v>
      </c>
      <c r="R7" s="527" t="s">
        <v>637</v>
      </c>
      <c r="S7" s="527" t="s">
        <v>638</v>
      </c>
      <c r="T7" s="561" t="s">
        <v>639</v>
      </c>
      <c r="U7" s="527" t="s">
        <v>640</v>
      </c>
      <c r="V7" s="556"/>
    </row>
    <row r="8" spans="1:22">
      <c r="A8" s="562">
        <v>1</v>
      </c>
      <c r="B8" s="521" t="s">
        <v>641</v>
      </c>
      <c r="C8" s="626">
        <f>D8+G8+L8</f>
        <v>1624606421.5890265</v>
      </c>
      <c r="D8" s="626">
        <v>1490889422.7613266</v>
      </c>
      <c r="E8" s="626">
        <v>5828516.3561999956</v>
      </c>
      <c r="F8" s="626">
        <v>719071.35</v>
      </c>
      <c r="G8" s="626">
        <v>76032490.381500036</v>
      </c>
      <c r="H8" s="626">
        <v>3164109.1328999992</v>
      </c>
      <c r="I8" s="626">
        <v>3265332.4222000036</v>
      </c>
      <c r="J8" s="626">
        <v>119638.79099999997</v>
      </c>
      <c r="K8" s="626">
        <v>271709.75</v>
      </c>
      <c r="L8" s="626">
        <v>57684508.446200013</v>
      </c>
      <c r="M8" s="626">
        <v>3031885.191099999</v>
      </c>
      <c r="N8" s="626">
        <v>5312341.9246999947</v>
      </c>
      <c r="O8" s="626">
        <v>13064787.080200005</v>
      </c>
      <c r="P8" s="626">
        <v>22285</v>
      </c>
      <c r="Q8" s="626">
        <v>0</v>
      </c>
      <c r="R8" s="626">
        <v>0</v>
      </c>
      <c r="S8" s="626">
        <v>0</v>
      </c>
      <c r="T8" s="626">
        <v>0</v>
      </c>
      <c r="U8" s="626">
        <v>11463326.200099999</v>
      </c>
      <c r="V8" s="539"/>
    </row>
    <row r="9" spans="1:22">
      <c r="A9" s="529">
        <v>1.1000000000000001</v>
      </c>
      <c r="B9" s="563" t="s">
        <v>642</v>
      </c>
      <c r="C9" s="626">
        <f t="shared" ref="C9:C27" si="0">D9+G9+L9</f>
        <v>0</v>
      </c>
      <c r="D9" s="627"/>
      <c r="E9" s="627"/>
      <c r="F9" s="627"/>
      <c r="G9" s="627"/>
      <c r="H9" s="627"/>
      <c r="I9" s="627"/>
      <c r="J9" s="627"/>
      <c r="K9" s="627"/>
      <c r="L9" s="627"/>
      <c r="M9" s="627"/>
      <c r="N9" s="627"/>
      <c r="O9" s="627"/>
      <c r="P9" s="627"/>
      <c r="Q9" s="627"/>
      <c r="R9" s="627"/>
      <c r="S9" s="627"/>
      <c r="T9" s="627"/>
      <c r="U9" s="627"/>
      <c r="V9" s="539"/>
    </row>
    <row r="10" spans="1:22">
      <c r="A10" s="529">
        <v>1.2</v>
      </c>
      <c r="B10" s="563" t="s">
        <v>643</v>
      </c>
      <c r="C10" s="626">
        <f t="shared" si="0"/>
        <v>0</v>
      </c>
      <c r="D10" s="627"/>
      <c r="E10" s="627"/>
      <c r="F10" s="627"/>
      <c r="G10" s="627"/>
      <c r="H10" s="627"/>
      <c r="I10" s="627"/>
      <c r="J10" s="627"/>
      <c r="K10" s="627"/>
      <c r="L10" s="627"/>
      <c r="M10" s="627"/>
      <c r="N10" s="627"/>
      <c r="O10" s="627"/>
      <c r="P10" s="627"/>
      <c r="Q10" s="627"/>
      <c r="R10" s="627"/>
      <c r="S10" s="627"/>
      <c r="T10" s="627"/>
      <c r="U10" s="627"/>
      <c r="V10" s="539"/>
    </row>
    <row r="11" spans="1:22">
      <c r="A11" s="529">
        <v>1.3</v>
      </c>
      <c r="B11" s="563" t="s">
        <v>644</v>
      </c>
      <c r="C11" s="626">
        <f t="shared" si="0"/>
        <v>0</v>
      </c>
      <c r="D11" s="627"/>
      <c r="E11" s="627"/>
      <c r="F11" s="627"/>
      <c r="G11" s="627"/>
      <c r="H11" s="627"/>
      <c r="I11" s="627"/>
      <c r="J11" s="627"/>
      <c r="K11" s="627"/>
      <c r="L11" s="627"/>
      <c r="M11" s="627"/>
      <c r="N11" s="627"/>
      <c r="O11" s="627"/>
      <c r="P11" s="627"/>
      <c r="Q11" s="627"/>
      <c r="R11" s="627"/>
      <c r="S11" s="627"/>
      <c r="T11" s="627"/>
      <c r="U11" s="627"/>
      <c r="V11" s="539"/>
    </row>
    <row r="12" spans="1:22">
      <c r="A12" s="529">
        <v>1.4</v>
      </c>
      <c r="B12" s="563" t="s">
        <v>645</v>
      </c>
      <c r="C12" s="626">
        <f t="shared" si="0"/>
        <v>0</v>
      </c>
      <c r="D12" s="627"/>
      <c r="E12" s="627"/>
      <c r="F12" s="627"/>
      <c r="G12" s="627"/>
      <c r="H12" s="627"/>
      <c r="I12" s="627"/>
      <c r="J12" s="627"/>
      <c r="K12" s="627"/>
      <c r="L12" s="627"/>
      <c r="M12" s="627"/>
      <c r="N12" s="627"/>
      <c r="O12" s="627"/>
      <c r="P12" s="627"/>
      <c r="Q12" s="627"/>
      <c r="R12" s="627"/>
      <c r="S12" s="627"/>
      <c r="T12" s="627"/>
      <c r="U12" s="627"/>
      <c r="V12" s="539"/>
    </row>
    <row r="13" spans="1:22">
      <c r="A13" s="529">
        <v>1.5</v>
      </c>
      <c r="B13" s="563" t="s">
        <v>646</v>
      </c>
      <c r="C13" s="626">
        <f t="shared" si="0"/>
        <v>70979910</v>
      </c>
      <c r="D13" s="627">
        <v>66459474.649499997</v>
      </c>
      <c r="E13" s="627">
        <v>5164.37</v>
      </c>
      <c r="F13" s="627"/>
      <c r="G13" s="627">
        <v>2843017.8713000002</v>
      </c>
      <c r="H13" s="627"/>
      <c r="I13" s="627"/>
      <c r="J13" s="627"/>
      <c r="K13" s="627"/>
      <c r="L13" s="627">
        <v>1677417.4792000002</v>
      </c>
      <c r="M13" s="627">
        <v>10257</v>
      </c>
      <c r="N13" s="627"/>
      <c r="O13" s="627">
        <v>96227.71</v>
      </c>
      <c r="P13" s="627"/>
      <c r="Q13" s="627"/>
      <c r="R13" s="627"/>
      <c r="S13" s="627"/>
      <c r="T13" s="627"/>
      <c r="U13" s="628">
        <v>84399.324999999997</v>
      </c>
      <c r="V13" s="539"/>
    </row>
    <row r="14" spans="1:22">
      <c r="A14" s="529">
        <v>1.6</v>
      </c>
      <c r="B14" s="563" t="s">
        <v>647</v>
      </c>
      <c r="C14" s="626">
        <f t="shared" si="0"/>
        <v>1553626511.5890267</v>
      </c>
      <c r="D14" s="627">
        <v>1424429948.1118267</v>
      </c>
      <c r="E14" s="627">
        <v>5823351.9861999955</v>
      </c>
      <c r="F14" s="628">
        <v>719071.35</v>
      </c>
      <c r="G14" s="627">
        <v>73189472.510200039</v>
      </c>
      <c r="H14" s="627">
        <v>3164109.1328999992</v>
      </c>
      <c r="I14" s="627">
        <v>3265332.4222000036</v>
      </c>
      <c r="J14" s="627">
        <v>119638.79099999997</v>
      </c>
      <c r="K14" s="628">
        <v>271709.75</v>
      </c>
      <c r="L14" s="627">
        <v>56007090.967000015</v>
      </c>
      <c r="M14" s="627">
        <v>3021628.191099999</v>
      </c>
      <c r="N14" s="627">
        <v>5312341.9246999947</v>
      </c>
      <c r="O14" s="627">
        <v>12968559.370200004</v>
      </c>
      <c r="P14" s="627">
        <v>22285</v>
      </c>
      <c r="Q14" s="627"/>
      <c r="R14" s="627"/>
      <c r="S14" s="627"/>
      <c r="T14" s="627"/>
      <c r="U14" s="628">
        <v>11378926.8751</v>
      </c>
      <c r="V14" s="539"/>
    </row>
    <row r="15" spans="1:22">
      <c r="A15" s="562">
        <v>2</v>
      </c>
      <c r="B15" s="540" t="s">
        <v>648</v>
      </c>
      <c r="C15" s="626">
        <f t="shared" si="0"/>
        <v>47896657.43</v>
      </c>
      <c r="D15" s="626">
        <v>47896657.43</v>
      </c>
      <c r="E15" s="627"/>
      <c r="F15" s="627"/>
      <c r="G15" s="627"/>
      <c r="H15" s="627"/>
      <c r="I15" s="627"/>
      <c r="J15" s="627"/>
      <c r="K15" s="627"/>
      <c r="L15" s="627"/>
      <c r="M15" s="627"/>
      <c r="N15" s="627"/>
      <c r="O15" s="627"/>
      <c r="P15" s="627"/>
      <c r="Q15" s="627"/>
      <c r="R15" s="627"/>
      <c r="S15" s="627"/>
      <c r="T15" s="627"/>
      <c r="U15" s="627"/>
      <c r="V15" s="539"/>
    </row>
    <row r="16" spans="1:22">
      <c r="A16" s="529">
        <v>2.1</v>
      </c>
      <c r="B16" s="563" t="s">
        <v>642</v>
      </c>
      <c r="C16" s="626">
        <f t="shared" si="0"/>
        <v>0</v>
      </c>
      <c r="D16" s="627"/>
      <c r="E16" s="627"/>
      <c r="F16" s="627"/>
      <c r="G16" s="627"/>
      <c r="H16" s="627"/>
      <c r="I16" s="627"/>
      <c r="J16" s="627"/>
      <c r="K16" s="627"/>
      <c r="L16" s="627"/>
      <c r="M16" s="627"/>
      <c r="N16" s="627"/>
      <c r="O16" s="627"/>
      <c r="P16" s="627"/>
      <c r="Q16" s="627"/>
      <c r="R16" s="627"/>
      <c r="S16" s="627"/>
      <c r="T16" s="627"/>
      <c r="U16" s="627"/>
      <c r="V16" s="539"/>
    </row>
    <row r="17" spans="1:22">
      <c r="A17" s="529">
        <v>2.2000000000000002</v>
      </c>
      <c r="B17" s="563" t="s">
        <v>643</v>
      </c>
      <c r="C17" s="626">
        <f t="shared" si="0"/>
        <v>21896657.43</v>
      </c>
      <c r="D17" s="627">
        <v>21896657.43</v>
      </c>
      <c r="E17" s="627"/>
      <c r="F17" s="627"/>
      <c r="G17" s="627"/>
      <c r="H17" s="627"/>
      <c r="I17" s="627"/>
      <c r="J17" s="627"/>
      <c r="K17" s="627"/>
      <c r="L17" s="627"/>
      <c r="M17" s="627"/>
      <c r="N17" s="627"/>
      <c r="O17" s="627"/>
      <c r="P17" s="627"/>
      <c r="Q17" s="627"/>
      <c r="R17" s="627"/>
      <c r="S17" s="627"/>
      <c r="T17" s="627"/>
      <c r="U17" s="627"/>
      <c r="V17" s="539"/>
    </row>
    <row r="18" spans="1:22">
      <c r="A18" s="529">
        <v>2.2999999999999998</v>
      </c>
      <c r="B18" s="563" t="s">
        <v>644</v>
      </c>
      <c r="C18" s="626">
        <f t="shared" si="0"/>
        <v>26000000</v>
      </c>
      <c r="D18" s="627">
        <v>26000000</v>
      </c>
      <c r="E18" s="627"/>
      <c r="F18" s="627"/>
      <c r="G18" s="627"/>
      <c r="H18" s="627"/>
      <c r="I18" s="627"/>
      <c r="J18" s="627"/>
      <c r="K18" s="627"/>
      <c r="L18" s="627"/>
      <c r="M18" s="627"/>
      <c r="N18" s="627"/>
      <c r="O18" s="627"/>
      <c r="P18" s="627"/>
      <c r="Q18" s="627"/>
      <c r="R18" s="627"/>
      <c r="S18" s="627"/>
      <c r="T18" s="627"/>
      <c r="U18" s="627"/>
      <c r="V18" s="539"/>
    </row>
    <row r="19" spans="1:22">
      <c r="A19" s="529">
        <v>2.4</v>
      </c>
      <c r="B19" s="563" t="s">
        <v>645</v>
      </c>
      <c r="C19" s="626">
        <f t="shared" si="0"/>
        <v>0</v>
      </c>
      <c r="D19" s="627"/>
      <c r="E19" s="627"/>
      <c r="F19" s="627"/>
      <c r="G19" s="627"/>
      <c r="H19" s="627"/>
      <c r="I19" s="627"/>
      <c r="J19" s="627"/>
      <c r="K19" s="627"/>
      <c r="L19" s="627"/>
      <c r="M19" s="627"/>
      <c r="N19" s="627"/>
      <c r="O19" s="627"/>
      <c r="P19" s="627"/>
      <c r="Q19" s="627"/>
      <c r="R19" s="627"/>
      <c r="S19" s="627"/>
      <c r="T19" s="627"/>
      <c r="U19" s="627"/>
      <c r="V19" s="539"/>
    </row>
    <row r="20" spans="1:22">
      <c r="A20" s="529">
        <v>2.5</v>
      </c>
      <c r="B20" s="563" t="s">
        <v>646</v>
      </c>
      <c r="C20" s="626">
        <f t="shared" si="0"/>
        <v>0</v>
      </c>
      <c r="D20" s="627"/>
      <c r="E20" s="627"/>
      <c r="F20" s="627"/>
      <c r="G20" s="627"/>
      <c r="H20" s="627"/>
      <c r="I20" s="627"/>
      <c r="J20" s="627"/>
      <c r="K20" s="627"/>
      <c r="L20" s="627"/>
      <c r="M20" s="627"/>
      <c r="N20" s="627"/>
      <c r="O20" s="627"/>
      <c r="P20" s="627"/>
      <c r="Q20" s="627"/>
      <c r="R20" s="627"/>
      <c r="S20" s="627"/>
      <c r="T20" s="627"/>
      <c r="U20" s="627"/>
      <c r="V20" s="539"/>
    </row>
    <row r="21" spans="1:22">
      <c r="A21" s="529">
        <v>2.6</v>
      </c>
      <c r="B21" s="563" t="s">
        <v>647</v>
      </c>
      <c r="C21" s="626">
        <f t="shared" si="0"/>
        <v>0</v>
      </c>
      <c r="D21" s="627"/>
      <c r="E21" s="627"/>
      <c r="F21" s="627"/>
      <c r="G21" s="627"/>
      <c r="H21" s="627"/>
      <c r="I21" s="627"/>
      <c r="J21" s="627"/>
      <c r="K21" s="627"/>
      <c r="L21" s="627"/>
      <c r="M21" s="627"/>
      <c r="N21" s="627"/>
      <c r="O21" s="627"/>
      <c r="P21" s="627"/>
      <c r="Q21" s="627"/>
      <c r="R21" s="627"/>
      <c r="S21" s="627"/>
      <c r="T21" s="627"/>
      <c r="U21" s="627"/>
      <c r="V21" s="539"/>
    </row>
    <row r="22" spans="1:22">
      <c r="A22" s="562">
        <v>3</v>
      </c>
      <c r="B22" s="521" t="s">
        <v>649</v>
      </c>
      <c r="C22" s="626">
        <f>SUM(C23:C28)</f>
        <v>35681618.990000002</v>
      </c>
      <c r="D22" s="627"/>
      <c r="E22" s="564"/>
      <c r="F22" s="564"/>
      <c r="G22" s="627"/>
      <c r="H22" s="564"/>
      <c r="I22" s="564"/>
      <c r="J22" s="564"/>
      <c r="K22" s="564"/>
      <c r="L22" s="529"/>
      <c r="M22" s="564"/>
      <c r="N22" s="564"/>
      <c r="O22" s="564"/>
      <c r="P22" s="564"/>
      <c r="Q22" s="564"/>
      <c r="R22" s="564"/>
      <c r="S22" s="564"/>
      <c r="T22" s="564"/>
      <c r="U22" s="529"/>
      <c r="V22" s="539"/>
    </row>
    <row r="23" spans="1:22">
      <c r="A23" s="529">
        <v>3.1</v>
      </c>
      <c r="B23" s="563" t="s">
        <v>642</v>
      </c>
      <c r="C23" s="626">
        <f t="shared" si="0"/>
        <v>0</v>
      </c>
      <c r="D23" s="627"/>
      <c r="E23" s="564"/>
      <c r="F23" s="564"/>
      <c r="G23" s="627"/>
      <c r="H23" s="564"/>
      <c r="I23" s="564"/>
      <c r="J23" s="564"/>
      <c r="K23" s="564"/>
      <c r="L23" s="529"/>
      <c r="M23" s="564"/>
      <c r="N23" s="564"/>
      <c r="O23" s="564"/>
      <c r="P23" s="564"/>
      <c r="Q23" s="564"/>
      <c r="R23" s="564"/>
      <c r="S23" s="564"/>
      <c r="T23" s="564"/>
      <c r="U23" s="529"/>
      <c r="V23" s="539"/>
    </row>
    <row r="24" spans="1:22">
      <c r="A24" s="529">
        <v>3.2</v>
      </c>
      <c r="B24" s="563" t="s">
        <v>643</v>
      </c>
      <c r="C24" s="626">
        <f t="shared" si="0"/>
        <v>0</v>
      </c>
      <c r="D24" s="627"/>
      <c r="E24" s="564"/>
      <c r="F24" s="564"/>
      <c r="G24" s="627"/>
      <c r="H24" s="564"/>
      <c r="I24" s="564"/>
      <c r="J24" s="564"/>
      <c r="K24" s="564"/>
      <c r="L24" s="529"/>
      <c r="M24" s="564"/>
      <c r="N24" s="564"/>
      <c r="O24" s="564"/>
      <c r="P24" s="564"/>
      <c r="Q24" s="564"/>
      <c r="R24" s="564"/>
      <c r="S24" s="564"/>
      <c r="T24" s="564"/>
      <c r="U24" s="529"/>
      <c r="V24" s="539"/>
    </row>
    <row r="25" spans="1:22">
      <c r="A25" s="529">
        <v>3.3</v>
      </c>
      <c r="B25" s="563" t="s">
        <v>644</v>
      </c>
      <c r="C25" s="626">
        <f t="shared" si="0"/>
        <v>0</v>
      </c>
      <c r="D25" s="627"/>
      <c r="E25" s="564"/>
      <c r="F25" s="564"/>
      <c r="G25" s="627"/>
      <c r="H25" s="564"/>
      <c r="I25" s="564"/>
      <c r="J25" s="564"/>
      <c r="K25" s="564"/>
      <c r="L25" s="529"/>
      <c r="M25" s="564"/>
      <c r="N25" s="564"/>
      <c r="O25" s="564"/>
      <c r="P25" s="564"/>
      <c r="Q25" s="564"/>
      <c r="R25" s="564"/>
      <c r="S25" s="564"/>
      <c r="T25" s="564"/>
      <c r="U25" s="529"/>
      <c r="V25" s="539"/>
    </row>
    <row r="26" spans="1:22">
      <c r="A26" s="529">
        <v>3.4</v>
      </c>
      <c r="B26" s="563" t="s">
        <v>645</v>
      </c>
      <c r="C26" s="626">
        <f t="shared" si="0"/>
        <v>0</v>
      </c>
      <c r="D26" s="627"/>
      <c r="E26" s="564"/>
      <c r="F26" s="564"/>
      <c r="G26" s="627"/>
      <c r="H26" s="564"/>
      <c r="I26" s="564"/>
      <c r="J26" s="564"/>
      <c r="K26" s="564"/>
      <c r="L26" s="529"/>
      <c r="M26" s="564"/>
      <c r="N26" s="564"/>
      <c r="O26" s="564"/>
      <c r="P26" s="564"/>
      <c r="Q26" s="564"/>
      <c r="R26" s="564"/>
      <c r="S26" s="564"/>
      <c r="T26" s="564"/>
      <c r="U26" s="529"/>
      <c r="V26" s="539"/>
    </row>
    <row r="27" spans="1:22">
      <c r="A27" s="529">
        <v>3.5</v>
      </c>
      <c r="B27" s="563" t="s">
        <v>646</v>
      </c>
      <c r="C27" s="626">
        <f t="shared" si="0"/>
        <v>188756</v>
      </c>
      <c r="D27" s="627">
        <v>188756</v>
      </c>
      <c r="E27" s="564"/>
      <c r="F27" s="564"/>
      <c r="G27" s="627"/>
      <c r="H27" s="564"/>
      <c r="I27" s="564"/>
      <c r="J27" s="564"/>
      <c r="K27" s="564"/>
      <c r="L27" s="529"/>
      <c r="M27" s="564"/>
      <c r="N27" s="564"/>
      <c r="O27" s="564"/>
      <c r="P27" s="564"/>
      <c r="Q27" s="564"/>
      <c r="R27" s="564"/>
      <c r="S27" s="564"/>
      <c r="T27" s="564"/>
      <c r="U27" s="529"/>
      <c r="V27" s="539"/>
    </row>
    <row r="28" spans="1:22">
      <c r="A28" s="529">
        <v>3.6</v>
      </c>
      <c r="B28" s="563" t="s">
        <v>647</v>
      </c>
      <c r="C28" s="626">
        <v>35492862.990000002</v>
      </c>
      <c r="D28" s="627"/>
      <c r="E28" s="564"/>
      <c r="F28" s="564"/>
      <c r="G28" s="627"/>
      <c r="H28" s="564"/>
      <c r="I28" s="564"/>
      <c r="J28" s="564"/>
      <c r="K28" s="564"/>
      <c r="L28" s="529"/>
      <c r="M28" s="564"/>
      <c r="N28" s="564"/>
      <c r="O28" s="564"/>
      <c r="P28" s="564"/>
      <c r="Q28" s="564"/>
      <c r="R28" s="564"/>
      <c r="S28" s="564"/>
      <c r="T28" s="564"/>
      <c r="U28" s="529"/>
      <c r="V28" s="53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zoomScale="80" zoomScaleNormal="80" workbookViewId="0">
      <selection activeCell="B24" sqref="B24"/>
    </sheetView>
  </sheetViews>
  <sheetFormatPr defaultColWidth="9.140625" defaultRowHeight="12.75"/>
  <cols>
    <col min="1" max="1" width="11.85546875" style="514" bestFit="1" customWidth="1"/>
    <col min="2" max="2" width="90.28515625" style="514" bestFit="1" customWidth="1"/>
    <col min="3" max="3" width="20.140625" style="514" customWidth="1"/>
    <col min="4" max="4" width="22.28515625" style="514" customWidth="1"/>
    <col min="5" max="5" width="17.140625" style="514" customWidth="1"/>
    <col min="6" max="7" width="22.28515625" style="514" customWidth="1"/>
    <col min="8" max="8" width="17.140625" style="514" customWidth="1"/>
    <col min="9" max="14" width="22.28515625" style="514" customWidth="1"/>
    <col min="15" max="15" width="23.28515625" style="514" bestFit="1" customWidth="1"/>
    <col min="16" max="16" width="21.7109375" style="514" bestFit="1" customWidth="1"/>
    <col min="17" max="19" width="19" style="514" bestFit="1" customWidth="1"/>
    <col min="20" max="20" width="15.42578125" style="514" customWidth="1"/>
    <col min="21" max="21" width="20" style="514" customWidth="1"/>
    <col min="22" max="16384" width="9.140625" style="514"/>
  </cols>
  <sheetData>
    <row r="1" spans="1:21" ht="13.5">
      <c r="A1" s="513" t="s">
        <v>188</v>
      </c>
      <c r="B1" s="431" t="str">
        <f>Info!C2</f>
        <v>სს "კრედო ბანკი"</v>
      </c>
    </row>
    <row r="2" spans="1:21">
      <c r="A2" s="515" t="s">
        <v>189</v>
      </c>
      <c r="B2" s="517">
        <f>'1. key ratios'!B2</f>
        <v>44742</v>
      </c>
    </row>
    <row r="3" spans="1:21">
      <c r="A3" s="516" t="s">
        <v>650</v>
      </c>
      <c r="C3" s="517"/>
    </row>
    <row r="4" spans="1:21">
      <c r="A4" s="516"/>
      <c r="B4" s="517"/>
      <c r="C4" s="517"/>
    </row>
    <row r="5" spans="1:21" s="537" customFormat="1" ht="13.5" customHeight="1">
      <c r="A5" s="795" t="s">
        <v>651</v>
      </c>
      <c r="B5" s="796"/>
      <c r="C5" s="801" t="s">
        <v>652</v>
      </c>
      <c r="D5" s="802"/>
      <c r="E5" s="802"/>
      <c r="F5" s="802"/>
      <c r="G5" s="802"/>
      <c r="H5" s="802"/>
      <c r="I5" s="802"/>
      <c r="J5" s="802"/>
      <c r="K5" s="802"/>
      <c r="L5" s="802"/>
      <c r="M5" s="802"/>
      <c r="N5" s="802"/>
      <c r="O5" s="802"/>
      <c r="P5" s="802"/>
      <c r="Q5" s="802"/>
      <c r="R5" s="802"/>
      <c r="S5" s="802"/>
      <c r="T5" s="803"/>
      <c r="U5" s="590"/>
    </row>
    <row r="6" spans="1:21" s="537" customFormat="1">
      <c r="A6" s="797"/>
      <c r="B6" s="798"/>
      <c r="C6" s="781" t="s">
        <v>68</v>
      </c>
      <c r="D6" s="801" t="s">
        <v>653</v>
      </c>
      <c r="E6" s="802"/>
      <c r="F6" s="803"/>
      <c r="G6" s="801" t="s">
        <v>654</v>
      </c>
      <c r="H6" s="802"/>
      <c r="I6" s="802"/>
      <c r="J6" s="802"/>
      <c r="K6" s="803"/>
      <c r="L6" s="804" t="s">
        <v>655</v>
      </c>
      <c r="M6" s="805"/>
      <c r="N6" s="805"/>
      <c r="O6" s="805"/>
      <c r="P6" s="805"/>
      <c r="Q6" s="805"/>
      <c r="R6" s="805"/>
      <c r="S6" s="805"/>
      <c r="T6" s="806"/>
      <c r="U6" s="586"/>
    </row>
    <row r="7" spans="1:21" s="537" customFormat="1" ht="25.5">
      <c r="A7" s="799"/>
      <c r="B7" s="800"/>
      <c r="C7" s="781"/>
      <c r="E7" s="576" t="s">
        <v>629</v>
      </c>
      <c r="F7" s="589" t="s">
        <v>630</v>
      </c>
      <c r="H7" s="576" t="s">
        <v>629</v>
      </c>
      <c r="I7" s="589" t="s">
        <v>656</v>
      </c>
      <c r="J7" s="589" t="s">
        <v>631</v>
      </c>
      <c r="K7" s="589" t="s">
        <v>632</v>
      </c>
      <c r="L7" s="591"/>
      <c r="M7" s="576" t="s">
        <v>633</v>
      </c>
      <c r="N7" s="589" t="s">
        <v>631</v>
      </c>
      <c r="O7" s="589" t="s">
        <v>634</v>
      </c>
      <c r="P7" s="589" t="s">
        <v>635</v>
      </c>
      <c r="Q7" s="589" t="s">
        <v>636</v>
      </c>
      <c r="R7" s="589" t="s">
        <v>637</v>
      </c>
      <c r="S7" s="589" t="s">
        <v>638</v>
      </c>
      <c r="T7" s="592" t="s">
        <v>639</v>
      </c>
      <c r="U7" s="590"/>
    </row>
    <row r="8" spans="1:21">
      <c r="A8" s="565">
        <v>1</v>
      </c>
      <c r="B8" s="554" t="s">
        <v>641</v>
      </c>
      <c r="C8" s="637">
        <f>D8+G8+L8</f>
        <v>1624606421.5890265</v>
      </c>
      <c r="D8" s="627">
        <v>1490889422.7613266</v>
      </c>
      <c r="E8" s="627">
        <v>5828516.3561999956</v>
      </c>
      <c r="F8" s="628">
        <v>719071.35</v>
      </c>
      <c r="G8" s="627">
        <v>76032490.381500036</v>
      </c>
      <c r="H8" s="627">
        <v>3164109.1328999992</v>
      </c>
      <c r="I8" s="627">
        <v>3265332.4222000036</v>
      </c>
      <c r="J8" s="627">
        <v>119638.79099999997</v>
      </c>
      <c r="K8" s="627">
        <v>271709.75</v>
      </c>
      <c r="L8" s="627">
        <v>57684508.446200013</v>
      </c>
      <c r="M8" s="627">
        <v>3031885.191099999</v>
      </c>
      <c r="N8" s="627">
        <v>5312341.9246999947</v>
      </c>
      <c r="O8" s="627">
        <v>13064787.080200005</v>
      </c>
      <c r="P8" s="627">
        <v>22285</v>
      </c>
      <c r="Q8" s="627">
        <v>0</v>
      </c>
      <c r="R8" s="627">
        <v>0</v>
      </c>
      <c r="S8" s="627">
        <v>0</v>
      </c>
      <c r="T8" s="627">
        <v>0</v>
      </c>
      <c r="U8" s="539"/>
    </row>
    <row r="9" spans="1:21">
      <c r="A9" s="563">
        <v>1.1000000000000001</v>
      </c>
      <c r="B9" s="582" t="s">
        <v>657</v>
      </c>
      <c r="C9" s="637">
        <f>D9+G9+L9</f>
        <v>373600665.65040034</v>
      </c>
      <c r="D9" s="627">
        <v>333338165.97630036</v>
      </c>
      <c r="E9" s="627">
        <v>276946.31410000002</v>
      </c>
      <c r="F9" s="627">
        <v>1208.6400000000001</v>
      </c>
      <c r="G9" s="627">
        <v>29506720.6098</v>
      </c>
      <c r="H9" s="627">
        <v>114403.77</v>
      </c>
      <c r="I9" s="627">
        <v>27620.47</v>
      </c>
      <c r="J9" s="627">
        <v>35587.771000000001</v>
      </c>
      <c r="K9" s="627">
        <v>3228.43</v>
      </c>
      <c r="L9" s="627">
        <v>10755779.064300003</v>
      </c>
      <c r="M9" s="627">
        <v>157116.63629999998</v>
      </c>
      <c r="N9" s="627">
        <v>189256.87019999998</v>
      </c>
      <c r="O9" s="627">
        <v>423023.66999999993</v>
      </c>
      <c r="P9" s="627"/>
      <c r="Q9" s="627"/>
      <c r="R9" s="627"/>
      <c r="S9" s="627"/>
      <c r="T9" s="627"/>
      <c r="U9" s="539"/>
    </row>
    <row r="10" spans="1:21">
      <c r="A10" s="566" t="s">
        <v>251</v>
      </c>
      <c r="B10" s="566" t="s">
        <v>658</v>
      </c>
      <c r="C10" s="637">
        <f>SUM(C11:C14)</f>
        <v>354705868.11530048</v>
      </c>
      <c r="D10" s="626">
        <v>315610057.65650046</v>
      </c>
      <c r="E10" s="626">
        <v>185139.5741</v>
      </c>
      <c r="F10" s="626">
        <v>1208.6400000000001</v>
      </c>
      <c r="G10" s="626">
        <v>28796662.284500018</v>
      </c>
      <c r="H10" s="626">
        <v>60869.4</v>
      </c>
      <c r="I10" s="626">
        <v>12623.14</v>
      </c>
      <c r="J10" s="626">
        <v>2301.741</v>
      </c>
      <c r="K10" s="626">
        <v>3228.43</v>
      </c>
      <c r="L10" s="626">
        <v>10299148.174299998</v>
      </c>
      <c r="M10" s="626">
        <v>139314.3063</v>
      </c>
      <c r="N10" s="626">
        <v>156200.0502</v>
      </c>
      <c r="O10" s="626">
        <v>233099.93000000002</v>
      </c>
      <c r="P10" s="626">
        <v>0</v>
      </c>
      <c r="Q10" s="626"/>
      <c r="R10" s="626"/>
      <c r="S10" s="626"/>
      <c r="T10" s="626"/>
      <c r="U10" s="539"/>
    </row>
    <row r="11" spans="1:21">
      <c r="A11" s="567" t="s">
        <v>659</v>
      </c>
      <c r="B11" s="568" t="s">
        <v>660</v>
      </c>
      <c r="C11" s="637">
        <f>D11+G11+L11</f>
        <v>260378543.10430047</v>
      </c>
      <c r="D11" s="627">
        <v>230309965.05550045</v>
      </c>
      <c r="E11" s="627">
        <v>89505.9041</v>
      </c>
      <c r="F11" s="627">
        <v>1208.6400000000001</v>
      </c>
      <c r="G11" s="627">
        <v>22415798.446900021</v>
      </c>
      <c r="H11" s="627">
        <v>60869.4</v>
      </c>
      <c r="I11" s="627">
        <v>12623.14</v>
      </c>
      <c r="J11" s="627">
        <v>2301.741</v>
      </c>
      <c r="K11" s="627">
        <v>3228.43</v>
      </c>
      <c r="L11" s="627">
        <v>7652779.6018999992</v>
      </c>
      <c r="M11" s="627">
        <v>55220.996299999999</v>
      </c>
      <c r="N11" s="627">
        <v>103600.48020000001</v>
      </c>
      <c r="O11" s="627">
        <v>164925.68000000002</v>
      </c>
      <c r="P11" s="627"/>
      <c r="Q11" s="627"/>
      <c r="R11" s="627"/>
      <c r="S11" s="627"/>
      <c r="T11" s="627"/>
      <c r="U11" s="539"/>
    </row>
    <row r="12" spans="1:21">
      <c r="A12" s="567" t="s">
        <v>661</v>
      </c>
      <c r="B12" s="568" t="s">
        <v>662</v>
      </c>
      <c r="C12" s="637">
        <f t="shared" ref="C12:C15" si="0">D12+G12+L12</f>
        <v>56987054.187900022</v>
      </c>
      <c r="D12" s="627">
        <v>51619068.928300023</v>
      </c>
      <c r="E12" s="627">
        <v>95633.67</v>
      </c>
      <c r="F12" s="627"/>
      <c r="G12" s="627">
        <v>4062565.8256999999</v>
      </c>
      <c r="H12" s="627"/>
      <c r="I12" s="627"/>
      <c r="J12" s="627"/>
      <c r="K12" s="627"/>
      <c r="L12" s="627">
        <v>1305419.4338999998</v>
      </c>
      <c r="M12" s="627">
        <v>41962.42</v>
      </c>
      <c r="N12" s="627">
        <v>26318.78</v>
      </c>
      <c r="O12" s="627">
        <v>48904.51</v>
      </c>
      <c r="P12" s="627"/>
      <c r="Q12" s="627"/>
      <c r="R12" s="627"/>
      <c r="S12" s="627"/>
      <c r="T12" s="627"/>
      <c r="U12" s="539"/>
    </row>
    <row r="13" spans="1:21">
      <c r="A13" s="567" t="s">
        <v>663</v>
      </c>
      <c r="B13" s="568" t="s">
        <v>664</v>
      </c>
      <c r="C13" s="637">
        <f t="shared" si="0"/>
        <v>19592535.164799992</v>
      </c>
      <c r="D13" s="627">
        <v>17997522.202999994</v>
      </c>
      <c r="E13" s="627"/>
      <c r="F13" s="627"/>
      <c r="G13" s="627">
        <v>1162695.6018000001</v>
      </c>
      <c r="H13" s="627"/>
      <c r="I13" s="627"/>
      <c r="J13" s="627"/>
      <c r="K13" s="627"/>
      <c r="L13" s="627">
        <v>432317.36</v>
      </c>
      <c r="M13" s="627"/>
      <c r="N13" s="627">
        <v>26280.79</v>
      </c>
      <c r="O13" s="627"/>
      <c r="P13" s="627"/>
      <c r="Q13" s="627"/>
      <c r="R13" s="627"/>
      <c r="S13" s="627"/>
      <c r="T13" s="627"/>
      <c r="U13" s="539"/>
    </row>
    <row r="14" spans="1:21">
      <c r="A14" s="567" t="s">
        <v>665</v>
      </c>
      <c r="B14" s="568" t="s">
        <v>666</v>
      </c>
      <c r="C14" s="637">
        <f t="shared" si="0"/>
        <v>17747735.658300001</v>
      </c>
      <c r="D14" s="627">
        <v>15683501.469699997</v>
      </c>
      <c r="E14" s="627"/>
      <c r="F14" s="627"/>
      <c r="G14" s="627">
        <v>1155602.4101</v>
      </c>
      <c r="H14" s="627"/>
      <c r="I14" s="627"/>
      <c r="J14" s="627"/>
      <c r="K14" s="627"/>
      <c r="L14" s="627">
        <v>908631.77850000013</v>
      </c>
      <c r="M14" s="627">
        <v>42130.89</v>
      </c>
      <c r="N14" s="627"/>
      <c r="O14" s="627">
        <v>19269.740000000002</v>
      </c>
      <c r="P14" s="627"/>
      <c r="Q14" s="627"/>
      <c r="R14" s="627"/>
      <c r="S14" s="627"/>
      <c r="T14" s="627"/>
      <c r="U14" s="539"/>
    </row>
    <row r="15" spans="1:21">
      <c r="A15" s="569">
        <v>1.2</v>
      </c>
      <c r="B15" s="570" t="s">
        <v>667</v>
      </c>
      <c r="C15" s="637">
        <f t="shared" si="0"/>
        <v>15127101.677459989</v>
      </c>
      <c r="D15" s="627">
        <v>6312201.1531299911</v>
      </c>
      <c r="E15" s="627">
        <v>3702.7914820000001</v>
      </c>
      <c r="F15" s="627">
        <v>24.172800000000002</v>
      </c>
      <c r="G15" s="627">
        <v>2879666.2284500003</v>
      </c>
      <c r="H15" s="627">
        <v>6086.9400000000014</v>
      </c>
      <c r="I15" s="627">
        <v>1262.3139999999999</v>
      </c>
      <c r="J15" s="627">
        <v>230.17410000000001</v>
      </c>
      <c r="K15" s="627">
        <v>322.84300000000002</v>
      </c>
      <c r="L15" s="627">
        <v>5935234.2958799964</v>
      </c>
      <c r="M15" s="627">
        <v>66524.813890000005</v>
      </c>
      <c r="N15" s="627">
        <v>55154.261510000004</v>
      </c>
      <c r="O15" s="627">
        <v>133192.64800000002</v>
      </c>
      <c r="P15" s="627"/>
      <c r="Q15" s="627"/>
      <c r="R15" s="627"/>
      <c r="S15" s="627"/>
      <c r="T15" s="627"/>
      <c r="U15" s="539"/>
    </row>
    <row r="16" spans="1:21">
      <c r="A16" s="571">
        <v>1.3</v>
      </c>
      <c r="B16" s="570" t="s">
        <v>668</v>
      </c>
      <c r="C16" s="638"/>
      <c r="D16" s="638"/>
      <c r="E16" s="638"/>
      <c r="F16" s="638"/>
      <c r="G16" s="638"/>
      <c r="H16" s="638"/>
      <c r="I16" s="638"/>
      <c r="J16" s="638"/>
      <c r="K16" s="638"/>
      <c r="L16" s="638"/>
      <c r="M16" s="638"/>
      <c r="N16" s="638"/>
      <c r="O16" s="638"/>
      <c r="P16" s="638"/>
      <c r="Q16" s="638"/>
      <c r="R16" s="638"/>
      <c r="S16" s="638"/>
      <c r="T16" s="638"/>
      <c r="U16" s="539"/>
    </row>
    <row r="17" spans="1:21" s="537" customFormat="1" ht="25.5">
      <c r="A17" s="572" t="s">
        <v>669</v>
      </c>
      <c r="B17" s="707" t="s">
        <v>670</v>
      </c>
      <c r="C17" s="637">
        <f t="shared" ref="C17:C19" si="1">D17+G17+L17</f>
        <v>370350440.04810011</v>
      </c>
      <c r="D17" s="628">
        <v>330545718.16880012</v>
      </c>
      <c r="E17" s="628">
        <v>275394.91409999999</v>
      </c>
      <c r="F17" s="628">
        <v>1208.6400000000001</v>
      </c>
      <c r="G17" s="628">
        <v>29152239.463500001</v>
      </c>
      <c r="H17" s="628">
        <v>114403.77</v>
      </c>
      <c r="I17" s="628">
        <v>27620.47</v>
      </c>
      <c r="J17" s="628">
        <v>35587.771000000001</v>
      </c>
      <c r="K17" s="628">
        <v>3228.43</v>
      </c>
      <c r="L17" s="628">
        <v>10652482.4158</v>
      </c>
      <c r="M17" s="628">
        <v>150132.54629999999</v>
      </c>
      <c r="N17" s="628">
        <v>189256.87019999998</v>
      </c>
      <c r="O17" s="628">
        <v>416623.92999999993</v>
      </c>
      <c r="P17" s="628"/>
      <c r="Q17" s="628"/>
      <c r="R17" s="628"/>
      <c r="S17" s="628"/>
      <c r="T17" s="628"/>
      <c r="U17" s="543"/>
    </row>
    <row r="18" spans="1:21" s="537" customFormat="1" ht="25.5">
      <c r="A18" s="573" t="s">
        <v>671</v>
      </c>
      <c r="B18" s="573" t="s">
        <v>672</v>
      </c>
      <c r="C18" s="637">
        <f t="shared" si="1"/>
        <v>349826667.02390051</v>
      </c>
      <c r="D18" s="628">
        <v>311206087.06990051</v>
      </c>
      <c r="E18" s="628">
        <v>185139.5741</v>
      </c>
      <c r="F18" s="628">
        <v>1208.6400000000001</v>
      </c>
      <c r="G18" s="628">
        <v>28403214.048200019</v>
      </c>
      <c r="H18" s="628">
        <v>60869.4</v>
      </c>
      <c r="I18" s="628">
        <v>12623.14</v>
      </c>
      <c r="J18" s="628">
        <v>2301.741</v>
      </c>
      <c r="K18" s="628">
        <v>3228.43</v>
      </c>
      <c r="L18" s="628">
        <v>10217365.905799998</v>
      </c>
      <c r="M18" s="628">
        <v>132330.2163</v>
      </c>
      <c r="N18" s="628">
        <v>156200.0502</v>
      </c>
      <c r="O18" s="628">
        <v>226700.19000000003</v>
      </c>
      <c r="P18" s="628"/>
      <c r="Q18" s="628"/>
      <c r="R18" s="628"/>
      <c r="S18" s="628"/>
      <c r="T18" s="628"/>
      <c r="U18" s="543"/>
    </row>
    <row r="19" spans="1:21" s="537" customFormat="1">
      <c r="A19" s="572" t="s">
        <v>673</v>
      </c>
      <c r="B19" s="708" t="s">
        <v>674</v>
      </c>
      <c r="C19" s="637">
        <f t="shared" si="1"/>
        <v>822464395.28519416</v>
      </c>
      <c r="D19" s="628">
        <v>693015205.34209418</v>
      </c>
      <c r="E19" s="628">
        <v>503442.03090000007</v>
      </c>
      <c r="F19" s="628">
        <v>80800.56</v>
      </c>
      <c r="G19" s="628">
        <v>81458985.471200034</v>
      </c>
      <c r="H19" s="628">
        <v>545303.58000000007</v>
      </c>
      <c r="I19" s="628">
        <v>114273.13</v>
      </c>
      <c r="J19" s="628">
        <v>270193.02900000004</v>
      </c>
      <c r="K19" s="628">
        <v>23131.67</v>
      </c>
      <c r="L19" s="628">
        <v>47990204.471900009</v>
      </c>
      <c r="M19" s="628">
        <v>934450.5111</v>
      </c>
      <c r="N19" s="628">
        <v>769432.18420000002</v>
      </c>
      <c r="O19" s="628">
        <v>688097.38000000012</v>
      </c>
      <c r="P19" s="628"/>
      <c r="Q19" s="628"/>
      <c r="R19" s="628"/>
      <c r="S19" s="628"/>
      <c r="T19" s="628"/>
      <c r="U19" s="543"/>
    </row>
    <row r="20" spans="1:21" s="537" customFormat="1">
      <c r="A20" s="573" t="s">
        <v>675</v>
      </c>
      <c r="B20" s="573" t="s">
        <v>676</v>
      </c>
      <c r="C20" s="637">
        <f t="shared" ref="C20:C21" si="2">D20+G20+L20</f>
        <v>773451629.90449941</v>
      </c>
      <c r="D20" s="628">
        <v>647835010.20609939</v>
      </c>
      <c r="E20" s="628">
        <v>254195.4259</v>
      </c>
      <c r="F20" s="628">
        <v>80800.56</v>
      </c>
      <c r="G20" s="628">
        <v>78514125.9965</v>
      </c>
      <c r="H20" s="628">
        <v>392736.05000000005</v>
      </c>
      <c r="I20" s="628">
        <v>93670.46</v>
      </c>
      <c r="J20" s="628">
        <v>208579.05900000001</v>
      </c>
      <c r="K20" s="628">
        <v>23131.67</v>
      </c>
      <c r="L20" s="628">
        <v>47102493.701899983</v>
      </c>
      <c r="M20" s="628">
        <v>753794.08110000007</v>
      </c>
      <c r="N20" s="628">
        <v>720408.00419999985</v>
      </c>
      <c r="O20" s="628">
        <v>473884.62</v>
      </c>
      <c r="P20" s="628"/>
      <c r="Q20" s="628"/>
      <c r="R20" s="628"/>
      <c r="S20" s="628"/>
      <c r="T20" s="628"/>
      <c r="U20" s="543"/>
    </row>
    <row r="21" spans="1:21" s="537" customFormat="1">
      <c r="A21" s="574">
        <v>1.4</v>
      </c>
      <c r="B21" s="584" t="s">
        <v>709</v>
      </c>
      <c r="C21" s="637">
        <f t="shared" si="2"/>
        <v>15493321.612000003</v>
      </c>
      <c r="D21" s="628">
        <v>15288672.632000005</v>
      </c>
      <c r="E21" s="628"/>
      <c r="F21" s="628"/>
      <c r="G21" s="628">
        <v>159009.75599999999</v>
      </c>
      <c r="H21" s="628">
        <v>501.25600000000003</v>
      </c>
      <c r="I21" s="628">
        <v>8190.2179999999989</v>
      </c>
      <c r="J21" s="628"/>
      <c r="K21" s="628"/>
      <c r="L21" s="628">
        <v>45639.224000000002</v>
      </c>
      <c r="M21" s="628"/>
      <c r="N21" s="628">
        <v>1065.674</v>
      </c>
      <c r="O21" s="628">
        <v>9621.9719999999998</v>
      </c>
      <c r="P21" s="628"/>
      <c r="Q21" s="628"/>
      <c r="R21" s="628"/>
      <c r="S21" s="628"/>
      <c r="T21" s="628"/>
      <c r="U21" s="543"/>
    </row>
    <row r="22" spans="1:21" s="537" customFormat="1">
      <c r="A22" s="574">
        <v>1.5</v>
      </c>
      <c r="B22" s="584" t="s">
        <v>710</v>
      </c>
      <c r="C22" s="639"/>
      <c r="D22" s="628"/>
      <c r="E22" s="628"/>
      <c r="F22" s="628"/>
      <c r="G22" s="628"/>
      <c r="H22" s="628"/>
      <c r="I22" s="628"/>
      <c r="J22" s="628"/>
      <c r="K22" s="628"/>
      <c r="L22" s="628"/>
      <c r="M22" s="628"/>
      <c r="N22" s="628"/>
      <c r="O22" s="628"/>
      <c r="P22" s="628"/>
      <c r="Q22" s="628"/>
      <c r="R22" s="628"/>
      <c r="S22" s="628"/>
      <c r="T22" s="628"/>
      <c r="U22" s="543"/>
    </row>
    <row r="23" spans="1:21">
      <c r="C23" s="629"/>
    </row>
    <row r="24" spans="1:21">
      <c r="C24" s="640"/>
      <c r="D24" s="640"/>
      <c r="E24" s="681"/>
      <c r="F24" s="640"/>
      <c r="G24" s="640"/>
      <c r="H24" s="640"/>
      <c r="I24" s="640"/>
      <c r="J24" s="640"/>
      <c r="K24" s="640"/>
      <c r="L24" s="640"/>
      <c r="M24" s="640"/>
      <c r="N24" s="640"/>
      <c r="O24" s="640"/>
    </row>
    <row r="25" spans="1:21">
      <c r="C25" s="62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topLeftCell="A6" zoomScale="75" zoomScaleNormal="75" workbookViewId="0">
      <selection activeCell="J31" sqref="J31"/>
    </sheetView>
  </sheetViews>
  <sheetFormatPr defaultColWidth="9.140625" defaultRowHeight="12.75"/>
  <cols>
    <col min="1" max="1" width="11.85546875" style="514" bestFit="1" customWidth="1"/>
    <col min="2" max="2" width="67.42578125" style="514" customWidth="1"/>
    <col min="3" max="3" width="15.7109375" style="514" customWidth="1"/>
    <col min="4" max="4" width="16.140625" style="514" bestFit="1" customWidth="1"/>
    <col min="5" max="5" width="13.7109375" style="514" bestFit="1" customWidth="1"/>
    <col min="6" max="6" width="17.85546875" style="579" bestFit="1" customWidth="1"/>
    <col min="7" max="7" width="12.5703125" style="579" customWidth="1"/>
    <col min="8" max="8" width="13.140625" style="514" bestFit="1" customWidth="1"/>
    <col min="9" max="9" width="14.140625" style="514" customWidth="1"/>
    <col min="10" max="10" width="14.7109375" style="579" bestFit="1" customWidth="1"/>
    <col min="11" max="11" width="13.7109375" style="579" bestFit="1" customWidth="1"/>
    <col min="12" max="12" width="17.85546875" style="579" bestFit="1" customWidth="1"/>
    <col min="13" max="13" width="13.42578125" style="579" customWidth="1"/>
    <col min="14" max="14" width="13.85546875" style="579" customWidth="1"/>
    <col min="15" max="15" width="18.85546875" style="514" bestFit="1" customWidth="1"/>
    <col min="16" max="16384" width="9.140625" style="514"/>
  </cols>
  <sheetData>
    <row r="1" spans="1:15" ht="13.5">
      <c r="A1" s="513" t="s">
        <v>188</v>
      </c>
      <c r="B1" s="431" t="str">
        <f>Info!C2</f>
        <v>სს "კრედო ბანკი"</v>
      </c>
      <c r="F1" s="514"/>
      <c r="G1" s="514"/>
      <c r="J1" s="514"/>
      <c r="K1" s="514"/>
      <c r="L1" s="514"/>
      <c r="M1" s="514"/>
      <c r="N1" s="514"/>
    </row>
    <row r="2" spans="1:15">
      <c r="A2" s="515" t="s">
        <v>189</v>
      </c>
      <c r="B2" s="517">
        <f>'1. key ratios'!B2</f>
        <v>44742</v>
      </c>
      <c r="F2" s="514"/>
      <c r="G2" s="514"/>
      <c r="J2" s="514"/>
      <c r="K2" s="514"/>
      <c r="L2" s="514"/>
      <c r="M2" s="514"/>
      <c r="N2" s="514"/>
    </row>
    <row r="3" spans="1:15">
      <c r="A3" s="516" t="s">
        <v>679</v>
      </c>
      <c r="F3" s="514"/>
      <c r="G3" s="514"/>
      <c r="J3" s="514"/>
      <c r="K3" s="514"/>
      <c r="L3" s="514"/>
      <c r="M3" s="514"/>
      <c r="N3" s="514"/>
    </row>
    <row r="4" spans="1:15">
      <c r="F4" s="514"/>
      <c r="G4" s="514"/>
      <c r="J4" s="514"/>
      <c r="K4" s="514"/>
      <c r="L4" s="514"/>
      <c r="M4" s="514"/>
      <c r="N4" s="514"/>
    </row>
    <row r="5" spans="1:15" ht="37.5" customHeight="1">
      <c r="A5" s="761" t="s">
        <v>680</v>
      </c>
      <c r="B5" s="762"/>
      <c r="C5" s="807" t="s">
        <v>681</v>
      </c>
      <c r="D5" s="808"/>
      <c r="E5" s="808"/>
      <c r="F5" s="808"/>
      <c r="G5" s="808"/>
      <c r="H5" s="809"/>
      <c r="I5" s="810" t="s">
        <v>682</v>
      </c>
      <c r="J5" s="811"/>
      <c r="K5" s="811"/>
      <c r="L5" s="811"/>
      <c r="M5" s="811"/>
      <c r="N5" s="812"/>
      <c r="O5" s="813" t="s">
        <v>552</v>
      </c>
    </row>
    <row r="6" spans="1:15" ht="39.6" customHeight="1">
      <c r="A6" s="765"/>
      <c r="B6" s="766"/>
      <c r="C6" s="575"/>
      <c r="D6" s="576" t="s">
        <v>683</v>
      </c>
      <c r="E6" s="576" t="s">
        <v>684</v>
      </c>
      <c r="F6" s="576" t="s">
        <v>685</v>
      </c>
      <c r="G6" s="576" t="s">
        <v>686</v>
      </c>
      <c r="H6" s="576" t="s">
        <v>687</v>
      </c>
      <c r="I6" s="577"/>
      <c r="J6" s="576" t="s">
        <v>683</v>
      </c>
      <c r="K6" s="576" t="s">
        <v>684</v>
      </c>
      <c r="L6" s="576" t="s">
        <v>685</v>
      </c>
      <c r="M6" s="576" t="s">
        <v>686</v>
      </c>
      <c r="N6" s="576" t="s">
        <v>687</v>
      </c>
      <c r="O6" s="814"/>
    </row>
    <row r="7" spans="1:15">
      <c r="A7" s="529">
        <v>1</v>
      </c>
      <c r="B7" s="538" t="s">
        <v>562</v>
      </c>
      <c r="C7" s="634">
        <f>SUM(D7:H7)</f>
        <v>17543779.553399995</v>
      </c>
      <c r="D7" s="627">
        <v>16435832.403399993</v>
      </c>
      <c r="E7" s="627">
        <v>620095.5</v>
      </c>
      <c r="F7" s="627">
        <v>340068.08999999997</v>
      </c>
      <c r="G7" s="627">
        <v>118738.67</v>
      </c>
      <c r="H7" s="627">
        <v>29044.890000000003</v>
      </c>
      <c r="I7" s="635">
        <f>SUM(J7:N7)</f>
        <v>581160.85010000074</v>
      </c>
      <c r="J7" s="627">
        <v>328716.64810000069</v>
      </c>
      <c r="K7" s="627">
        <v>62009.549999999996</v>
      </c>
      <c r="L7" s="627">
        <v>102020.42700000001</v>
      </c>
      <c r="M7" s="627">
        <v>59369.334999999999</v>
      </c>
      <c r="N7" s="627">
        <v>29044.890000000003</v>
      </c>
      <c r="O7" s="529"/>
    </row>
    <row r="8" spans="1:15">
      <c r="A8" s="529">
        <v>2</v>
      </c>
      <c r="B8" s="538" t="s">
        <v>563</v>
      </c>
      <c r="C8" s="634">
        <f t="shared" ref="C8:C32" si="0">SUM(D8:H8)</f>
        <v>7449750.5821000058</v>
      </c>
      <c r="D8" s="627">
        <v>7244617.4021000061</v>
      </c>
      <c r="E8" s="627">
        <v>151193.82999999999</v>
      </c>
      <c r="F8" s="632">
        <v>23247.460000000003</v>
      </c>
      <c r="G8" s="632">
        <v>30691.89</v>
      </c>
      <c r="H8" s="627"/>
      <c r="I8" s="635">
        <f t="shared" ref="I8:I32" si="1">SUM(J8:N8)</f>
        <v>182331.91399999996</v>
      </c>
      <c r="J8" s="632">
        <v>144892.34799999994</v>
      </c>
      <c r="K8" s="632">
        <v>15119.383000000002</v>
      </c>
      <c r="L8" s="632">
        <v>6974.2380000000012</v>
      </c>
      <c r="M8" s="632">
        <v>15345.945</v>
      </c>
      <c r="N8" s="632"/>
      <c r="O8" s="529"/>
    </row>
    <row r="9" spans="1:15">
      <c r="A9" s="529">
        <v>3</v>
      </c>
      <c r="B9" s="538" t="s">
        <v>564</v>
      </c>
      <c r="C9" s="634">
        <f t="shared" si="0"/>
        <v>5871288.8400000082</v>
      </c>
      <c r="D9" s="627">
        <v>5569148.0400000084</v>
      </c>
      <c r="E9" s="627">
        <v>151518.79000000004</v>
      </c>
      <c r="F9" s="633">
        <v>69150.069999999992</v>
      </c>
      <c r="G9" s="633">
        <v>64941.1</v>
      </c>
      <c r="H9" s="627">
        <v>16530.84</v>
      </c>
      <c r="I9" s="635">
        <f t="shared" si="1"/>
        <v>196281.25079999992</v>
      </c>
      <c r="J9" s="633">
        <v>111382.96079999994</v>
      </c>
      <c r="K9" s="633">
        <v>15151.878999999999</v>
      </c>
      <c r="L9" s="633">
        <v>20745.020999999997</v>
      </c>
      <c r="M9" s="633">
        <v>32470.55</v>
      </c>
      <c r="N9" s="633">
        <v>16530.84</v>
      </c>
      <c r="O9" s="529"/>
    </row>
    <row r="10" spans="1:15">
      <c r="A10" s="529">
        <v>4</v>
      </c>
      <c r="B10" s="538" t="s">
        <v>565</v>
      </c>
      <c r="C10" s="634">
        <f t="shared" si="0"/>
        <v>3893924.3573000007</v>
      </c>
      <c r="D10" s="627">
        <v>3593381.6773000006</v>
      </c>
      <c r="E10" s="627">
        <v>2870.55</v>
      </c>
      <c r="F10" s="633">
        <v>278212.45000000007</v>
      </c>
      <c r="G10" s="633">
        <v>18878.870000000003</v>
      </c>
      <c r="H10" s="627">
        <v>580.80999999999995</v>
      </c>
      <c r="I10" s="635">
        <f t="shared" si="1"/>
        <v>165638.66859999998</v>
      </c>
      <c r="J10" s="633">
        <v>71867.633599999986</v>
      </c>
      <c r="K10" s="633">
        <v>287.05500000000001</v>
      </c>
      <c r="L10" s="633">
        <v>83463.735000000015</v>
      </c>
      <c r="M10" s="633">
        <v>9439.4350000000013</v>
      </c>
      <c r="N10" s="633">
        <v>580.80999999999995</v>
      </c>
      <c r="O10" s="529"/>
    </row>
    <row r="11" spans="1:15">
      <c r="A11" s="529">
        <v>5</v>
      </c>
      <c r="B11" s="538" t="s">
        <v>566</v>
      </c>
      <c r="C11" s="634">
        <f t="shared" si="0"/>
        <v>18799773.841900002</v>
      </c>
      <c r="D11" s="627">
        <v>15030734.015900001</v>
      </c>
      <c r="E11" s="627">
        <v>3092667.1868999996</v>
      </c>
      <c r="F11" s="633">
        <v>142570.90999999997</v>
      </c>
      <c r="G11" s="633">
        <v>12771.03</v>
      </c>
      <c r="H11" s="627">
        <v>521030.69910000003</v>
      </c>
      <c r="I11" s="635">
        <f t="shared" si="1"/>
        <v>1180068.8860000002</v>
      </c>
      <c r="J11" s="633">
        <v>300614.68010000017</v>
      </c>
      <c r="K11" s="633">
        <v>309266.71880000003</v>
      </c>
      <c r="L11" s="633">
        <v>42771.273000000001</v>
      </c>
      <c r="M11" s="633">
        <v>6385.5150000000003</v>
      </c>
      <c r="N11" s="633">
        <v>521030.69910000003</v>
      </c>
      <c r="O11" s="529"/>
    </row>
    <row r="12" spans="1:15">
      <c r="A12" s="529">
        <v>6</v>
      </c>
      <c r="B12" s="538" t="s">
        <v>567</v>
      </c>
      <c r="C12" s="634">
        <f t="shared" si="0"/>
        <v>7371158.5103999982</v>
      </c>
      <c r="D12" s="627">
        <v>6909192.5903999982</v>
      </c>
      <c r="E12" s="627">
        <v>231622.94</v>
      </c>
      <c r="F12" s="633">
        <v>78670.760000000009</v>
      </c>
      <c r="G12" s="633">
        <v>112101.38000000003</v>
      </c>
      <c r="H12" s="627">
        <v>39570.839999999997</v>
      </c>
      <c r="I12" s="635">
        <f t="shared" si="1"/>
        <v>280568.90380000009</v>
      </c>
      <c r="J12" s="633">
        <v>138183.85180000009</v>
      </c>
      <c r="K12" s="633">
        <v>23162.293999999994</v>
      </c>
      <c r="L12" s="633">
        <v>23601.227999999996</v>
      </c>
      <c r="M12" s="633">
        <v>56050.690000000017</v>
      </c>
      <c r="N12" s="633">
        <v>39570.839999999997</v>
      </c>
      <c r="O12" s="529"/>
    </row>
    <row r="13" spans="1:15">
      <c r="A13" s="529">
        <v>7</v>
      </c>
      <c r="B13" s="538" t="s">
        <v>568</v>
      </c>
      <c r="C13" s="634">
        <f t="shared" si="0"/>
        <v>4623680.1069</v>
      </c>
      <c r="D13" s="627">
        <v>4283466.5038000001</v>
      </c>
      <c r="E13" s="627">
        <v>224673.52420000004</v>
      </c>
      <c r="F13" s="633">
        <v>52030.708899999998</v>
      </c>
      <c r="G13" s="633">
        <v>46748.95</v>
      </c>
      <c r="H13" s="627">
        <v>16760.419999999998</v>
      </c>
      <c r="I13" s="635">
        <f t="shared" si="1"/>
        <v>163880.79009999998</v>
      </c>
      <c r="J13" s="633">
        <v>85669.329999999973</v>
      </c>
      <c r="K13" s="633">
        <v>22467.3524</v>
      </c>
      <c r="L13" s="633">
        <v>15609.212700000002</v>
      </c>
      <c r="M13" s="633">
        <v>23374.474999999999</v>
      </c>
      <c r="N13" s="633">
        <v>16760.419999999998</v>
      </c>
      <c r="O13" s="529"/>
    </row>
    <row r="14" spans="1:15">
      <c r="A14" s="529">
        <v>8</v>
      </c>
      <c r="B14" s="538" t="s">
        <v>569</v>
      </c>
      <c r="C14" s="634">
        <f t="shared" si="0"/>
        <v>123359119.95240003</v>
      </c>
      <c r="D14" s="627">
        <v>114112985.88270003</v>
      </c>
      <c r="E14" s="627">
        <v>4139043.1166000008</v>
      </c>
      <c r="F14" s="633">
        <v>2801517.3661999987</v>
      </c>
      <c r="G14" s="633">
        <v>1588314.9753000007</v>
      </c>
      <c r="H14" s="627">
        <v>717258.61160000006</v>
      </c>
      <c r="I14" s="635">
        <f t="shared" si="1"/>
        <v>5048035.3385999473</v>
      </c>
      <c r="J14" s="633">
        <v>2282259.7177999457</v>
      </c>
      <c r="K14" s="633">
        <v>413904.31160000002</v>
      </c>
      <c r="L14" s="633">
        <v>840455.20990000048</v>
      </c>
      <c r="M14" s="633">
        <v>794157.48770000041</v>
      </c>
      <c r="N14" s="633">
        <v>717258.61160000006</v>
      </c>
      <c r="O14" s="529"/>
    </row>
    <row r="15" spans="1:15">
      <c r="A15" s="529">
        <v>9</v>
      </c>
      <c r="B15" s="538" t="s">
        <v>570</v>
      </c>
      <c r="C15" s="634">
        <f t="shared" si="0"/>
        <v>22768170.897999994</v>
      </c>
      <c r="D15" s="627">
        <v>20757283.739199996</v>
      </c>
      <c r="E15" s="627">
        <v>1219480.0439999998</v>
      </c>
      <c r="F15" s="633">
        <v>364767.34820000001</v>
      </c>
      <c r="G15" s="633">
        <v>202360.12120000002</v>
      </c>
      <c r="H15" s="627">
        <v>224279.64539999995</v>
      </c>
      <c r="I15" s="635">
        <f t="shared" si="1"/>
        <v>971983.58980000147</v>
      </c>
      <c r="J15" s="633">
        <v>415145.67480000167</v>
      </c>
      <c r="K15" s="633">
        <v>121948.00449999988</v>
      </c>
      <c r="L15" s="633">
        <v>109430.20450000004</v>
      </c>
      <c r="M15" s="633">
        <v>101180.06060000001</v>
      </c>
      <c r="N15" s="633">
        <v>224279.64539999995</v>
      </c>
      <c r="O15" s="529"/>
    </row>
    <row r="16" spans="1:15">
      <c r="A16" s="529">
        <v>10</v>
      </c>
      <c r="B16" s="538" t="s">
        <v>571</v>
      </c>
      <c r="C16" s="634">
        <f t="shared" si="0"/>
        <v>7828970.4437999912</v>
      </c>
      <c r="D16" s="627">
        <v>6889036.9648999916</v>
      </c>
      <c r="E16" s="627">
        <v>600489.59889999998</v>
      </c>
      <c r="F16" s="633">
        <v>168302.63</v>
      </c>
      <c r="G16" s="633">
        <v>108023.56</v>
      </c>
      <c r="H16" s="627">
        <v>63117.69</v>
      </c>
      <c r="I16" s="635">
        <f t="shared" si="1"/>
        <v>365449.95829999988</v>
      </c>
      <c r="J16" s="633">
        <v>137780.73939999987</v>
      </c>
      <c r="K16" s="633">
        <v>60048.959900000002</v>
      </c>
      <c r="L16" s="633">
        <v>50490.789000000004</v>
      </c>
      <c r="M16" s="633">
        <v>54011.78</v>
      </c>
      <c r="N16" s="633">
        <v>63117.69</v>
      </c>
      <c r="O16" s="529"/>
    </row>
    <row r="17" spans="1:15">
      <c r="A17" s="529">
        <v>11</v>
      </c>
      <c r="B17" s="538" t="s">
        <v>572</v>
      </c>
      <c r="C17" s="634">
        <f t="shared" si="0"/>
        <v>10280435.314000003</v>
      </c>
      <c r="D17" s="627">
        <v>9695767.1440000031</v>
      </c>
      <c r="E17" s="627">
        <v>286309.24999999988</v>
      </c>
      <c r="F17" s="633">
        <v>121599.95000000001</v>
      </c>
      <c r="G17" s="633">
        <v>155915.32</v>
      </c>
      <c r="H17" s="627">
        <v>20843.649999999998</v>
      </c>
      <c r="I17" s="635">
        <f t="shared" si="1"/>
        <v>357827.56290000037</v>
      </c>
      <c r="J17" s="633">
        <v>193915.34290000037</v>
      </c>
      <c r="K17" s="633">
        <v>28630.924999999999</v>
      </c>
      <c r="L17" s="633">
        <v>36479.984999999993</v>
      </c>
      <c r="M17" s="633">
        <v>77957.66</v>
      </c>
      <c r="N17" s="633">
        <v>20843.649999999998</v>
      </c>
      <c r="O17" s="529"/>
    </row>
    <row r="18" spans="1:15">
      <c r="A18" s="529">
        <v>12</v>
      </c>
      <c r="B18" s="538" t="s">
        <v>573</v>
      </c>
      <c r="C18" s="634">
        <f t="shared" si="0"/>
        <v>89475589.713899672</v>
      </c>
      <c r="D18" s="627">
        <v>83008671.261099666</v>
      </c>
      <c r="E18" s="627">
        <v>3689399.0366999959</v>
      </c>
      <c r="F18" s="633">
        <v>1820120.704300002</v>
      </c>
      <c r="G18" s="633">
        <v>625041.37</v>
      </c>
      <c r="H18" s="627">
        <v>332357.34179999994</v>
      </c>
      <c r="I18" s="635">
        <f t="shared" si="1"/>
        <v>3220027.5676999688</v>
      </c>
      <c r="J18" s="633">
        <v>1660173.4258999696</v>
      </c>
      <c r="K18" s="633">
        <v>368939.90369999997</v>
      </c>
      <c r="L18" s="633">
        <v>546036.21129999938</v>
      </c>
      <c r="M18" s="633">
        <v>312520.685</v>
      </c>
      <c r="N18" s="633">
        <v>332357.34179999994</v>
      </c>
      <c r="O18" s="529"/>
    </row>
    <row r="19" spans="1:15">
      <c r="A19" s="529">
        <v>13</v>
      </c>
      <c r="B19" s="538" t="s">
        <v>574</v>
      </c>
      <c r="C19" s="634">
        <f t="shared" si="0"/>
        <v>16475360.649199985</v>
      </c>
      <c r="D19" s="627">
        <v>15339477.007499985</v>
      </c>
      <c r="E19" s="627">
        <v>519667.77279999974</v>
      </c>
      <c r="F19" s="633">
        <v>323723.03000000009</v>
      </c>
      <c r="G19" s="633">
        <v>158259.10999999999</v>
      </c>
      <c r="H19" s="627">
        <v>134233.72889999999</v>
      </c>
      <c r="I19" s="635">
        <f t="shared" si="1"/>
        <v>669236.51030000043</v>
      </c>
      <c r="J19" s="633">
        <v>306789.54010000045</v>
      </c>
      <c r="K19" s="633">
        <v>51966.77729999998</v>
      </c>
      <c r="L19" s="633">
        <v>97116.908999999985</v>
      </c>
      <c r="M19" s="633">
        <v>79129.554999999993</v>
      </c>
      <c r="N19" s="633">
        <v>134233.72889999999</v>
      </c>
      <c r="O19" s="529"/>
    </row>
    <row r="20" spans="1:15">
      <c r="A20" s="529">
        <v>14</v>
      </c>
      <c r="B20" s="538" t="s">
        <v>575</v>
      </c>
      <c r="C20" s="634">
        <f t="shared" si="0"/>
        <v>49922649.155500025</v>
      </c>
      <c r="D20" s="627">
        <v>33413870.868100028</v>
      </c>
      <c r="E20" s="627">
        <v>13891485.262699997</v>
      </c>
      <c r="F20" s="633">
        <v>1166977.2905999995</v>
      </c>
      <c r="G20" s="633">
        <v>152464.4</v>
      </c>
      <c r="H20" s="627">
        <v>1297851.3340999999</v>
      </c>
      <c r="I20" s="635">
        <f t="shared" si="1"/>
        <v>3781602.6652999986</v>
      </c>
      <c r="J20" s="633">
        <v>668277.41729999788</v>
      </c>
      <c r="K20" s="633">
        <v>1389148.5267000005</v>
      </c>
      <c r="L20" s="633">
        <v>350093.18719999999</v>
      </c>
      <c r="M20" s="633">
        <v>76232.2</v>
      </c>
      <c r="N20" s="633">
        <v>1297851.3340999999</v>
      </c>
      <c r="O20" s="529"/>
    </row>
    <row r="21" spans="1:15">
      <c r="A21" s="529">
        <v>15</v>
      </c>
      <c r="B21" s="538" t="s">
        <v>576</v>
      </c>
      <c r="C21" s="634">
        <f t="shared" si="0"/>
        <v>26518791.135599967</v>
      </c>
      <c r="D21" s="627">
        <v>21517461.455199964</v>
      </c>
      <c r="E21" s="627">
        <v>1771156.5230999992</v>
      </c>
      <c r="F21" s="633">
        <v>1711404.347800001</v>
      </c>
      <c r="G21" s="633">
        <v>224587.7600000001</v>
      </c>
      <c r="H21" s="627">
        <v>1294181.0495</v>
      </c>
      <c r="I21" s="635">
        <f t="shared" si="1"/>
        <v>2527361.1154000019</v>
      </c>
      <c r="J21" s="633">
        <v>430349.22920000157</v>
      </c>
      <c r="K21" s="633">
        <v>177115.65229999999</v>
      </c>
      <c r="L21" s="633">
        <v>513421.3044000002</v>
      </c>
      <c r="M21" s="633">
        <v>112293.88000000005</v>
      </c>
      <c r="N21" s="633">
        <v>1294181.0495</v>
      </c>
      <c r="O21" s="529"/>
    </row>
    <row r="22" spans="1:15">
      <c r="A22" s="529">
        <v>16</v>
      </c>
      <c r="B22" s="538" t="s">
        <v>577</v>
      </c>
      <c r="C22" s="634">
        <f t="shared" si="0"/>
        <v>6419628.7584999967</v>
      </c>
      <c r="D22" s="627">
        <v>5795042.4799999977</v>
      </c>
      <c r="E22" s="627">
        <v>356111.74849999987</v>
      </c>
      <c r="F22" s="633">
        <v>223389.63000000006</v>
      </c>
      <c r="G22" s="633">
        <v>24879.520000000004</v>
      </c>
      <c r="H22" s="627">
        <v>20205.379999999997</v>
      </c>
      <c r="I22" s="635">
        <f t="shared" si="1"/>
        <v>251174.05349999986</v>
      </c>
      <c r="J22" s="633">
        <v>115900.8495999999</v>
      </c>
      <c r="K22" s="633">
        <v>35611.174899999991</v>
      </c>
      <c r="L22" s="633">
        <v>67016.888999999981</v>
      </c>
      <c r="M22" s="633">
        <v>12439.760000000002</v>
      </c>
      <c r="N22" s="633">
        <v>20205.379999999997</v>
      </c>
      <c r="O22" s="529"/>
    </row>
    <row r="23" spans="1:15">
      <c r="A23" s="529">
        <v>17</v>
      </c>
      <c r="B23" s="538" t="s">
        <v>578</v>
      </c>
      <c r="C23" s="634">
        <f t="shared" si="0"/>
        <v>801919.92269999976</v>
      </c>
      <c r="D23" s="627">
        <v>760523.52269999974</v>
      </c>
      <c r="E23" s="627">
        <v>21182.89</v>
      </c>
      <c r="F23" s="633">
        <v>18343.810000000001</v>
      </c>
      <c r="G23" s="633">
        <v>727.84</v>
      </c>
      <c r="H23" s="627">
        <v>1141.8599999999999</v>
      </c>
      <c r="I23" s="635">
        <f t="shared" si="1"/>
        <v>24337.682499999992</v>
      </c>
      <c r="J23" s="633">
        <v>15210.470499999992</v>
      </c>
      <c r="K23" s="633">
        <v>2118.2889999999998</v>
      </c>
      <c r="L23" s="633">
        <v>5503.143</v>
      </c>
      <c r="M23" s="633">
        <v>363.92</v>
      </c>
      <c r="N23" s="633">
        <v>1141.8599999999999</v>
      </c>
      <c r="O23" s="529"/>
    </row>
    <row r="24" spans="1:15">
      <c r="A24" s="529">
        <v>18</v>
      </c>
      <c r="B24" s="538" t="s">
        <v>579</v>
      </c>
      <c r="C24" s="634">
        <f t="shared" si="0"/>
        <v>2813211.41</v>
      </c>
      <c r="D24" s="627">
        <v>2692607.2</v>
      </c>
      <c r="E24" s="627">
        <v>57478.080000000002</v>
      </c>
      <c r="F24" s="633">
        <v>30790.109999999997</v>
      </c>
      <c r="G24" s="633">
        <v>32336.02</v>
      </c>
      <c r="H24" s="627"/>
      <c r="I24" s="635">
        <f t="shared" si="1"/>
        <v>85004.995000000068</v>
      </c>
      <c r="J24" s="633">
        <v>53852.144000000073</v>
      </c>
      <c r="K24" s="633">
        <v>5747.808</v>
      </c>
      <c r="L24" s="633">
        <v>9237.0330000000013</v>
      </c>
      <c r="M24" s="633">
        <v>16168.01</v>
      </c>
      <c r="N24" s="633"/>
      <c r="O24" s="529"/>
    </row>
    <row r="25" spans="1:15">
      <c r="A25" s="529">
        <v>19</v>
      </c>
      <c r="B25" s="538" t="s">
        <v>580</v>
      </c>
      <c r="C25" s="634">
        <f t="shared" si="0"/>
        <v>6268634.2361000031</v>
      </c>
      <c r="D25" s="627">
        <v>5944029.3511000024</v>
      </c>
      <c r="E25" s="627">
        <v>156942.79000000004</v>
      </c>
      <c r="F25" s="633">
        <v>68626.909999999989</v>
      </c>
      <c r="G25" s="633">
        <v>53973.650000000009</v>
      </c>
      <c r="H25" s="627">
        <v>45061.534999999996</v>
      </c>
      <c r="I25" s="635">
        <f t="shared" si="1"/>
        <v>227211.29909999989</v>
      </c>
      <c r="J25" s="633">
        <v>118880.58709999987</v>
      </c>
      <c r="K25" s="633">
        <v>15694.279000000002</v>
      </c>
      <c r="L25" s="633">
        <v>20588.072999999997</v>
      </c>
      <c r="M25" s="633">
        <v>26986.825000000004</v>
      </c>
      <c r="N25" s="633">
        <v>45061.534999999996</v>
      </c>
      <c r="O25" s="529"/>
    </row>
    <row r="26" spans="1:15">
      <c r="A26" s="529">
        <v>20</v>
      </c>
      <c r="B26" s="538" t="s">
        <v>581</v>
      </c>
      <c r="C26" s="634">
        <f t="shared" si="0"/>
        <v>12066195.551299987</v>
      </c>
      <c r="D26" s="627">
        <v>11820447.301299987</v>
      </c>
      <c r="E26" s="627">
        <v>105781.82</v>
      </c>
      <c r="F26" s="633">
        <v>82050.64</v>
      </c>
      <c r="G26" s="633">
        <v>32707.360000000001</v>
      </c>
      <c r="H26" s="627">
        <v>25208.43</v>
      </c>
      <c r="I26" s="635">
        <f t="shared" si="1"/>
        <v>313164.4300000004</v>
      </c>
      <c r="J26" s="633">
        <v>236408.94600000043</v>
      </c>
      <c r="K26" s="633">
        <v>10578.181999999999</v>
      </c>
      <c r="L26" s="633">
        <v>24615.192000000006</v>
      </c>
      <c r="M26" s="633">
        <v>16353.68</v>
      </c>
      <c r="N26" s="633">
        <v>25208.43</v>
      </c>
      <c r="O26" s="529"/>
    </row>
    <row r="27" spans="1:15">
      <c r="A27" s="529">
        <v>21</v>
      </c>
      <c r="B27" s="538" t="s">
        <v>582</v>
      </c>
      <c r="C27" s="634">
        <f t="shared" si="0"/>
        <v>2803793.2485000012</v>
      </c>
      <c r="D27" s="627">
        <v>2704395.3185000014</v>
      </c>
      <c r="E27" s="627">
        <v>79667.35000000002</v>
      </c>
      <c r="F27" s="633">
        <v>2356.8200000000002</v>
      </c>
      <c r="G27" s="633">
        <v>17373.759999999998</v>
      </c>
      <c r="H27" s="627"/>
      <c r="I27" s="635">
        <f t="shared" si="1"/>
        <v>71448.567400000014</v>
      </c>
      <c r="J27" s="633">
        <v>54087.906400000007</v>
      </c>
      <c r="K27" s="633">
        <v>7966.7349999999988</v>
      </c>
      <c r="L27" s="633">
        <v>707.04600000000005</v>
      </c>
      <c r="M27" s="633">
        <v>8686.8799999999992</v>
      </c>
      <c r="N27" s="633"/>
      <c r="O27" s="529"/>
    </row>
    <row r="28" spans="1:15">
      <c r="A28" s="529">
        <v>22</v>
      </c>
      <c r="B28" s="538" t="s">
        <v>583</v>
      </c>
      <c r="C28" s="634">
        <f t="shared" si="0"/>
        <v>654486.66999999993</v>
      </c>
      <c r="D28" s="627">
        <v>603445.36999999988</v>
      </c>
      <c r="E28" s="627">
        <v>13141.91</v>
      </c>
      <c r="F28" s="633">
        <v>37038.080000000002</v>
      </c>
      <c r="G28" s="633">
        <v>861.31</v>
      </c>
      <c r="H28" s="627"/>
      <c r="I28" s="635">
        <f t="shared" si="1"/>
        <v>24925.1774</v>
      </c>
      <c r="J28" s="633">
        <v>12068.907400000002</v>
      </c>
      <c r="K28" s="633">
        <v>1314.1910000000003</v>
      </c>
      <c r="L28" s="633">
        <v>11111.424000000001</v>
      </c>
      <c r="M28" s="633">
        <v>430.65499999999997</v>
      </c>
      <c r="N28" s="633"/>
      <c r="O28" s="529"/>
    </row>
    <row r="29" spans="1:15">
      <c r="A29" s="529">
        <v>23</v>
      </c>
      <c r="B29" s="538" t="s">
        <v>584</v>
      </c>
      <c r="C29" s="634">
        <f t="shared" si="0"/>
        <v>323076916.63169599</v>
      </c>
      <c r="D29" s="627">
        <v>295289187.55479598</v>
      </c>
      <c r="E29" s="627">
        <v>14244517.479299994</v>
      </c>
      <c r="F29" s="633">
        <v>7093478.6296000034</v>
      </c>
      <c r="G29" s="633">
        <v>4374268.2510999972</v>
      </c>
      <c r="H29" s="627">
        <v>2075464.7169000006</v>
      </c>
      <c r="I29" s="635">
        <f t="shared" si="1"/>
        <v>13720877.930600168</v>
      </c>
      <c r="J29" s="633">
        <v>5905783.7512001749</v>
      </c>
      <c r="K29" s="633">
        <v>1424451.7479999957</v>
      </c>
      <c r="L29" s="633">
        <v>2128043.588899998</v>
      </c>
      <c r="M29" s="633">
        <v>2187134.1255999985</v>
      </c>
      <c r="N29" s="633">
        <v>2075464.7169000006</v>
      </c>
      <c r="O29" s="529"/>
    </row>
    <row r="30" spans="1:15">
      <c r="A30" s="529">
        <v>24</v>
      </c>
      <c r="B30" s="538" t="s">
        <v>585</v>
      </c>
      <c r="C30" s="634">
        <f t="shared" si="0"/>
        <v>653204839.37365925</v>
      </c>
      <c r="D30" s="627">
        <v>613967223.0996592</v>
      </c>
      <c r="E30" s="627">
        <v>21215816.381100044</v>
      </c>
      <c r="F30" s="633">
        <v>8802478.3301999792</v>
      </c>
      <c r="G30" s="633">
        <v>5918372.3748999964</v>
      </c>
      <c r="H30" s="627">
        <v>3300949.1877999981</v>
      </c>
      <c r="I30" s="635">
        <f t="shared" si="1"/>
        <v>23301804.974601686</v>
      </c>
      <c r="J30" s="633">
        <v>12279344.461701678</v>
      </c>
      <c r="K30" s="633">
        <v>2121581.6384000061</v>
      </c>
      <c r="L30" s="633">
        <v>2640743.4992000083</v>
      </c>
      <c r="M30" s="633">
        <v>2959186.1874999981</v>
      </c>
      <c r="N30" s="633">
        <v>3300949.1877999981</v>
      </c>
      <c r="O30" s="529"/>
    </row>
    <row r="31" spans="1:15">
      <c r="A31" s="529">
        <v>25</v>
      </c>
      <c r="B31" s="538" t="s">
        <v>586</v>
      </c>
      <c r="C31" s="634">
        <f t="shared" si="0"/>
        <v>128694879.01140092</v>
      </c>
      <c r="D31" s="627">
        <v>118144275.60280092</v>
      </c>
      <c r="E31" s="627">
        <v>5882708.5308000082</v>
      </c>
      <c r="F31" s="633">
        <v>2486820.6994999936</v>
      </c>
      <c r="G31" s="633">
        <v>1543438.8283000006</v>
      </c>
      <c r="H31" s="627">
        <v>637635.34999999963</v>
      </c>
      <c r="I31" s="635">
        <f t="shared" si="1"/>
        <v>5106557.3392000273</v>
      </c>
      <c r="J31" s="633">
        <v>2362885.5120000276</v>
      </c>
      <c r="K31" s="633">
        <v>588270.85310000041</v>
      </c>
      <c r="L31" s="633">
        <v>746046.20989999897</v>
      </c>
      <c r="M31" s="633">
        <v>771719.41420000023</v>
      </c>
      <c r="N31" s="633">
        <v>637635.34999999963</v>
      </c>
      <c r="O31" s="529"/>
    </row>
    <row r="32" spans="1:15">
      <c r="A32" s="529">
        <v>26</v>
      </c>
      <c r="B32" s="538" t="s">
        <v>688</v>
      </c>
      <c r="C32" s="634">
        <f t="shared" si="0"/>
        <v>75619473.720799819</v>
      </c>
      <c r="D32" s="627">
        <v>69367319.004899815</v>
      </c>
      <c r="E32" s="627">
        <v>3307468.4759000028</v>
      </c>
      <c r="F32" s="633">
        <v>1460642.1600000025</v>
      </c>
      <c r="G32" s="633">
        <v>834025.88999999955</v>
      </c>
      <c r="H32" s="627">
        <v>650018.19000000018</v>
      </c>
      <c r="I32" s="635">
        <f t="shared" si="1"/>
        <v>3223317.0110999877</v>
      </c>
      <c r="J32" s="633">
        <v>1387346.3803999871</v>
      </c>
      <c r="K32" s="633">
        <v>330746.84770000022</v>
      </c>
      <c r="L32" s="633">
        <v>438192.64799999999</v>
      </c>
      <c r="M32" s="633">
        <v>417012.94499999977</v>
      </c>
      <c r="N32" s="633">
        <v>650018.19000000018</v>
      </c>
      <c r="O32" s="529"/>
    </row>
    <row r="33" spans="1:15">
      <c r="A33" s="529">
        <v>27</v>
      </c>
      <c r="B33" s="578" t="s">
        <v>68</v>
      </c>
      <c r="C33" s="634">
        <f>SUM(C7:C32)</f>
        <v>1624606421.5890558</v>
      </c>
      <c r="D33" s="635">
        <f>SUM(D7:D32)</f>
        <v>1490889422.7613554</v>
      </c>
      <c r="E33" s="635">
        <f t="shared" ref="E33:H33" si="2">SUM(E7:E32)</f>
        <v>76032490.38150005</v>
      </c>
      <c r="F33" s="635">
        <f t="shared" si="2"/>
        <v>29768378.935299985</v>
      </c>
      <c r="G33" s="635">
        <f t="shared" si="2"/>
        <v>16452803.310799994</v>
      </c>
      <c r="H33" s="635">
        <f t="shared" si="2"/>
        <v>11463326.200099997</v>
      </c>
      <c r="I33" s="636">
        <f>SUM(I7:I32)</f>
        <v>66041279.032101795</v>
      </c>
      <c r="J33" s="636">
        <f t="shared" ref="J33:N33" si="3">SUM(J7:J32)</f>
        <v>29817788.456101786</v>
      </c>
      <c r="K33" s="636">
        <f t="shared" si="3"/>
        <v>7603249.0393000022</v>
      </c>
      <c r="L33" s="636">
        <f t="shared" si="3"/>
        <v>8930513.6810000055</v>
      </c>
      <c r="M33" s="636">
        <f t="shared" si="3"/>
        <v>8226401.6555999964</v>
      </c>
      <c r="N33" s="636">
        <f t="shared" si="3"/>
        <v>11463326.200099997</v>
      </c>
      <c r="O33" s="529"/>
    </row>
    <row r="34" spans="1:15">
      <c r="A34" s="539"/>
      <c r="B34" s="539"/>
      <c r="C34" s="539"/>
      <c r="D34" s="539"/>
      <c r="E34" s="539"/>
      <c r="H34" s="539"/>
      <c r="I34" s="539"/>
      <c r="O34" s="539"/>
    </row>
    <row r="35" spans="1:15">
      <c r="A35" s="539"/>
      <c r="B35" s="541"/>
      <c r="C35" s="541"/>
      <c r="D35" s="539"/>
      <c r="E35" s="539"/>
      <c r="H35" s="539"/>
      <c r="I35" s="539"/>
      <c r="O35" s="539"/>
    </row>
    <row r="36" spans="1:15">
      <c r="A36" s="539"/>
      <c r="B36" s="539"/>
      <c r="C36" s="539"/>
      <c r="D36" s="539"/>
      <c r="E36" s="539"/>
      <c r="H36" s="539"/>
      <c r="I36" s="539"/>
      <c r="O36" s="539"/>
    </row>
    <row r="37" spans="1:15">
      <c r="A37" s="539"/>
      <c r="B37" s="539"/>
      <c r="C37" s="539"/>
      <c r="D37" s="539"/>
      <c r="E37" s="539"/>
      <c r="H37" s="539"/>
      <c r="I37" s="539"/>
      <c r="O37" s="539"/>
    </row>
    <row r="38" spans="1:15">
      <c r="A38" s="539"/>
      <c r="B38" s="539"/>
      <c r="C38" s="539"/>
      <c r="D38" s="539"/>
      <c r="E38" s="539"/>
      <c r="H38" s="539"/>
      <c r="I38" s="539"/>
      <c r="O38" s="539"/>
    </row>
    <row r="39" spans="1:15">
      <c r="A39" s="539"/>
      <c r="B39" s="539"/>
      <c r="C39" s="539"/>
      <c r="D39" s="539"/>
      <c r="E39" s="539"/>
      <c r="H39" s="539"/>
      <c r="I39" s="539"/>
      <c r="O39" s="539"/>
    </row>
    <row r="40" spans="1:15">
      <c r="A40" s="539"/>
      <c r="B40" s="539"/>
      <c r="C40" s="539"/>
      <c r="D40" s="539"/>
      <c r="E40" s="539"/>
      <c r="H40" s="539"/>
      <c r="I40" s="539"/>
      <c r="O40" s="539"/>
    </row>
    <row r="41" spans="1:15">
      <c r="A41" s="542"/>
      <c r="B41" s="542"/>
      <c r="C41" s="542"/>
      <c r="D41" s="539"/>
      <c r="E41" s="539"/>
      <c r="H41" s="539"/>
      <c r="I41" s="539"/>
      <c r="O41" s="539"/>
    </row>
    <row r="42" spans="1:15">
      <c r="A42" s="542"/>
      <c r="B42" s="542"/>
      <c r="C42" s="542"/>
      <c r="D42" s="539"/>
      <c r="E42" s="539"/>
      <c r="H42" s="539"/>
      <c r="I42" s="539"/>
      <c r="O42" s="539"/>
    </row>
    <row r="43" spans="1:15">
      <c r="A43" s="539"/>
      <c r="B43" s="543"/>
      <c r="C43" s="543"/>
      <c r="D43" s="539"/>
      <c r="E43" s="539"/>
      <c r="H43" s="539"/>
      <c r="I43" s="539"/>
      <c r="O43" s="539"/>
    </row>
    <row r="44" spans="1:15">
      <c r="A44" s="539"/>
      <c r="B44" s="543"/>
      <c r="C44" s="543"/>
      <c r="D44" s="539"/>
      <c r="E44" s="539"/>
      <c r="H44" s="539"/>
      <c r="I44" s="539"/>
      <c r="O44" s="539"/>
    </row>
    <row r="45" spans="1:15">
      <c r="A45" s="539"/>
      <c r="B45" s="543"/>
      <c r="C45" s="543"/>
      <c r="D45" s="539"/>
      <c r="E45" s="539"/>
      <c r="H45" s="539"/>
      <c r="I45" s="539"/>
      <c r="O45" s="539"/>
    </row>
    <row r="46" spans="1:15">
      <c r="A46" s="539"/>
      <c r="B46" s="539"/>
      <c r="C46" s="539"/>
      <c r="D46" s="539"/>
      <c r="E46" s="539"/>
      <c r="H46" s="539"/>
      <c r="I46" s="539"/>
      <c r="O46" s="53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70" zoomScaleNormal="70" workbookViewId="0">
      <selection activeCell="G23" sqref="G23"/>
    </sheetView>
  </sheetViews>
  <sheetFormatPr defaultColWidth="8.7109375" defaultRowHeight="12"/>
  <cols>
    <col min="1" max="1" width="11.85546875" style="580" bestFit="1" customWidth="1"/>
    <col min="2" max="2" width="56.5703125" style="580" customWidth="1"/>
    <col min="3" max="3" width="23" style="580" customWidth="1"/>
    <col min="4" max="4" width="23.140625" style="580" customWidth="1"/>
    <col min="5" max="5" width="23.28515625" style="580" customWidth="1"/>
    <col min="6" max="6" width="22.140625" style="580" customWidth="1"/>
    <col min="7" max="7" width="20.7109375" style="580" customWidth="1"/>
    <col min="8" max="8" width="21.28515625" style="580" customWidth="1"/>
    <col min="9" max="9" width="22.28515625" style="580" customWidth="1"/>
    <col min="10" max="10" width="21.85546875" style="580" customWidth="1"/>
    <col min="11" max="11" width="24.28515625" style="580" customWidth="1"/>
    <col min="12" max="16384" width="8.7109375" style="580"/>
  </cols>
  <sheetData>
    <row r="1" spans="1:11" s="514" customFormat="1" ht="13.5">
      <c r="A1" s="513" t="s">
        <v>188</v>
      </c>
      <c r="B1" s="431" t="str">
        <f>Info!C2</f>
        <v>სს "კრედო ბანკი"</v>
      </c>
    </row>
    <row r="2" spans="1:11" s="514" customFormat="1" ht="12.75">
      <c r="A2" s="515" t="s">
        <v>189</v>
      </c>
      <c r="B2" s="517">
        <f>'1. key ratios'!B2</f>
        <v>44742</v>
      </c>
    </row>
    <row r="3" spans="1:11" s="514" customFormat="1" ht="12.75">
      <c r="A3" s="516" t="s">
        <v>689</v>
      </c>
    </row>
    <row r="4" spans="1:11">
      <c r="C4" s="581" t="s">
        <v>539</v>
      </c>
      <c r="D4" s="581" t="s">
        <v>540</v>
      </c>
      <c r="E4" s="581" t="s">
        <v>541</v>
      </c>
      <c r="F4" s="581" t="s">
        <v>542</v>
      </c>
      <c r="G4" s="581" t="s">
        <v>543</v>
      </c>
      <c r="H4" s="581" t="s">
        <v>544</v>
      </c>
      <c r="I4" s="581" t="s">
        <v>545</v>
      </c>
      <c r="J4" s="581" t="s">
        <v>546</v>
      </c>
      <c r="K4" s="581" t="s">
        <v>547</v>
      </c>
    </row>
    <row r="5" spans="1:11" ht="129.75" customHeight="1">
      <c r="A5" s="815" t="s">
        <v>690</v>
      </c>
      <c r="B5" s="816"/>
      <c r="C5" s="518" t="s">
        <v>691</v>
      </c>
      <c r="D5" s="518" t="s">
        <v>677</v>
      </c>
      <c r="E5" s="518" t="s">
        <v>678</v>
      </c>
      <c r="F5" s="518" t="s">
        <v>692</v>
      </c>
      <c r="G5" s="518" t="s">
        <v>693</v>
      </c>
      <c r="H5" s="518" t="s">
        <v>694</v>
      </c>
      <c r="I5" s="518" t="s">
        <v>695</v>
      </c>
      <c r="J5" s="518" t="s">
        <v>696</v>
      </c>
      <c r="K5" s="518" t="s">
        <v>697</v>
      </c>
    </row>
    <row r="6" spans="1:11" ht="12.75">
      <c r="A6" s="529">
        <v>1</v>
      </c>
      <c r="B6" s="529" t="s">
        <v>698</v>
      </c>
      <c r="C6" s="627">
        <v>5083881.4359000009</v>
      </c>
      <c r="D6" s="627">
        <v>15493321.6</v>
      </c>
      <c r="E6" s="627"/>
      <c r="F6" s="627">
        <v>64157.83</v>
      </c>
      <c r="G6" s="627">
        <v>337728707.09329993</v>
      </c>
      <c r="H6" s="627"/>
      <c r="I6" s="627">
        <v>27437973.732500002</v>
      </c>
      <c r="J6" s="627">
        <v>35719.956400000003</v>
      </c>
      <c r="K6" s="627">
        <v>1238762659.9409003</v>
      </c>
    </row>
    <row r="7" spans="1:11" ht="12.75">
      <c r="A7" s="529">
        <v>2</v>
      </c>
      <c r="B7" s="530" t="s">
        <v>699</v>
      </c>
      <c r="C7" s="627"/>
      <c r="D7" s="627"/>
      <c r="E7" s="627"/>
      <c r="F7" s="627"/>
      <c r="G7" s="627"/>
      <c r="H7" s="627"/>
      <c r="I7" s="627"/>
      <c r="J7" s="627"/>
      <c r="K7" s="627"/>
    </row>
    <row r="8" spans="1:11" ht="12.75">
      <c r="A8" s="529">
        <v>3</v>
      </c>
      <c r="B8" s="530" t="s">
        <v>649</v>
      </c>
      <c r="C8" s="627"/>
      <c r="D8" s="627"/>
      <c r="E8" s="627"/>
      <c r="F8" s="627"/>
      <c r="G8" s="627">
        <v>188756</v>
      </c>
      <c r="H8" s="627"/>
      <c r="I8" s="627"/>
      <c r="J8" s="627"/>
      <c r="K8" s="627">
        <v>35492862.990000002</v>
      </c>
    </row>
    <row r="9" spans="1:11" ht="12.75">
      <c r="A9" s="529">
        <v>4</v>
      </c>
      <c r="B9" s="563" t="s">
        <v>700</v>
      </c>
      <c r="C9" s="627"/>
      <c r="D9" s="627"/>
      <c r="E9" s="627"/>
      <c r="F9" s="627"/>
      <c r="G9" s="627">
        <v>10140778</v>
      </c>
      <c r="H9" s="627"/>
      <c r="I9" s="627">
        <v>511705</v>
      </c>
      <c r="J9" s="627"/>
      <c r="K9" s="627">
        <v>46873654.774216607</v>
      </c>
    </row>
    <row r="10" spans="1:11" ht="12.75">
      <c r="A10" s="529">
        <v>5</v>
      </c>
      <c r="B10" s="582" t="s">
        <v>701</v>
      </c>
      <c r="C10" s="627"/>
      <c r="D10" s="627"/>
      <c r="E10" s="627"/>
      <c r="F10" s="627"/>
      <c r="G10" s="627"/>
      <c r="H10" s="627"/>
      <c r="I10" s="627"/>
      <c r="J10" s="627"/>
      <c r="K10" s="627"/>
    </row>
    <row r="11" spans="1:11" ht="12.75">
      <c r="A11" s="529">
        <v>6</v>
      </c>
      <c r="B11" s="582" t="s">
        <v>702</v>
      </c>
      <c r="C11" s="627"/>
      <c r="D11" s="627"/>
      <c r="E11" s="627"/>
      <c r="F11" s="627"/>
      <c r="G11" s="627"/>
      <c r="H11" s="627"/>
      <c r="I11" s="627"/>
      <c r="J11" s="627"/>
      <c r="K11" s="62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032C-D92E-4BE7-BFBE-144C8CD7F223}">
  <dimension ref="A1:S20"/>
  <sheetViews>
    <sheetView showGridLines="0" zoomScale="80" zoomScaleNormal="80" workbookViewId="0">
      <pane xSplit="1" topLeftCell="B1" activePane="topRight" state="frozen"/>
      <selection pane="topRight" activeCell="B4" sqref="B4"/>
    </sheetView>
  </sheetViews>
  <sheetFormatPr defaultRowHeight="15"/>
  <cols>
    <col min="1" max="1" width="10" bestFit="1" customWidth="1"/>
    <col min="2" max="2" width="48.85546875" customWidth="1"/>
    <col min="3" max="3" width="17.140625" bestFit="1" customWidth="1"/>
    <col min="4" max="4" width="15.28515625" bestFit="1" customWidth="1"/>
    <col min="5" max="5" width="14.28515625" bestFit="1" customWidth="1"/>
    <col min="6" max="6" width="16.140625" bestFit="1" customWidth="1"/>
    <col min="7" max="7" width="13.7109375" bestFit="1" customWidth="1"/>
    <col min="8" max="8" width="13.140625" bestFit="1" customWidth="1"/>
    <col min="9" max="9" width="14.28515625" bestFit="1" customWidth="1"/>
    <col min="10" max="10" width="14.140625" bestFit="1" customWidth="1"/>
    <col min="11" max="11" width="13.140625" bestFit="1" customWidth="1"/>
    <col min="12" max="12" width="16.140625" bestFit="1" customWidth="1"/>
    <col min="13" max="14" width="13.140625" bestFit="1" customWidth="1"/>
    <col min="15" max="15" width="18" bestFit="1" customWidth="1"/>
    <col min="16" max="17" width="26.5703125" customWidth="1"/>
    <col min="18" max="19" width="26.42578125" customWidth="1"/>
  </cols>
  <sheetData>
    <row r="1" spans="1:19">
      <c r="A1" s="656" t="s">
        <v>188</v>
      </c>
      <c r="B1" s="431" t="str">
        <f>'25. Collateral'!B1</f>
        <v>სს "კრედო ბანკი"</v>
      </c>
    </row>
    <row r="2" spans="1:19">
      <c r="A2" s="656" t="s">
        <v>189</v>
      </c>
      <c r="B2" s="517">
        <f>'25. Collateral'!B2</f>
        <v>44742</v>
      </c>
    </row>
    <row r="3" spans="1:19">
      <c r="A3" s="657" t="s">
        <v>716</v>
      </c>
      <c r="B3" s="514"/>
    </row>
    <row r="4" spans="1:19">
      <c r="A4" s="657"/>
      <c r="B4" s="514"/>
    </row>
    <row r="5" spans="1:19" ht="24" customHeight="1">
      <c r="A5" s="818" t="s">
        <v>732</v>
      </c>
      <c r="B5" s="818"/>
      <c r="C5" s="819" t="s">
        <v>652</v>
      </c>
      <c r="D5" s="819"/>
      <c r="E5" s="819"/>
      <c r="F5" s="819"/>
      <c r="G5" s="819"/>
      <c r="H5" s="819"/>
      <c r="I5" s="819" t="s">
        <v>738</v>
      </c>
      <c r="J5" s="819"/>
      <c r="K5" s="819"/>
      <c r="L5" s="819"/>
      <c r="M5" s="819"/>
      <c r="N5" s="819"/>
      <c r="O5" s="817" t="s">
        <v>729</v>
      </c>
      <c r="P5" s="817" t="s">
        <v>735</v>
      </c>
      <c r="Q5" s="817" t="s">
        <v>734</v>
      </c>
      <c r="R5" s="817" t="s">
        <v>737</v>
      </c>
      <c r="S5" s="817" t="s">
        <v>730</v>
      </c>
    </row>
    <row r="6" spans="1:19" ht="36" customHeight="1">
      <c r="A6" s="818"/>
      <c r="B6" s="818"/>
      <c r="C6" s="596"/>
      <c r="D6" s="644" t="s">
        <v>683</v>
      </c>
      <c r="E6" s="644" t="s">
        <v>684</v>
      </c>
      <c r="F6" s="644" t="s">
        <v>685</v>
      </c>
      <c r="G6" s="644" t="s">
        <v>686</v>
      </c>
      <c r="H6" s="644" t="s">
        <v>687</v>
      </c>
      <c r="I6" s="596"/>
      <c r="J6" s="644" t="s">
        <v>683</v>
      </c>
      <c r="K6" s="644" t="s">
        <v>684</v>
      </c>
      <c r="L6" s="644" t="s">
        <v>685</v>
      </c>
      <c r="M6" s="644" t="s">
        <v>686</v>
      </c>
      <c r="N6" s="644" t="s">
        <v>687</v>
      </c>
      <c r="O6" s="817"/>
      <c r="P6" s="817"/>
      <c r="Q6" s="817"/>
      <c r="R6" s="817"/>
      <c r="S6" s="817"/>
    </row>
    <row r="7" spans="1:19">
      <c r="A7" s="594">
        <v>1</v>
      </c>
      <c r="B7" s="658" t="s">
        <v>717</v>
      </c>
      <c r="C7" s="643">
        <f>SUM(D7:H7)</f>
        <v>12497981.259999998</v>
      </c>
      <c r="D7" s="641">
        <v>11199938.48</v>
      </c>
      <c r="E7" s="641">
        <v>450423.87</v>
      </c>
      <c r="F7" s="641">
        <v>507630.79</v>
      </c>
      <c r="G7" s="641">
        <v>174305.11</v>
      </c>
      <c r="H7" s="641">
        <v>165683.01</v>
      </c>
      <c r="I7" s="643">
        <f>SUM(J7:N7)</f>
        <v>674165.97</v>
      </c>
      <c r="J7" s="641">
        <v>223998.77</v>
      </c>
      <c r="K7" s="641">
        <v>45042.39</v>
      </c>
      <c r="L7" s="641">
        <v>152289.24</v>
      </c>
      <c r="M7" s="641">
        <v>87152.56</v>
      </c>
      <c r="N7" s="641">
        <v>165683.01</v>
      </c>
      <c r="O7" s="641">
        <v>11699</v>
      </c>
      <c r="P7" s="670">
        <v>0.18735022547241148</v>
      </c>
      <c r="Q7" s="670">
        <v>0.28000000000000003</v>
      </c>
      <c r="R7" s="670">
        <v>0.21</v>
      </c>
      <c r="S7" s="667">
        <v>28.186779000000001</v>
      </c>
    </row>
    <row r="8" spans="1:19">
      <c r="A8" s="594">
        <v>2</v>
      </c>
      <c r="B8" s="659" t="s">
        <v>718</v>
      </c>
      <c r="C8" s="643">
        <f t="shared" ref="C8:C18" si="0">SUM(D8:H8)</f>
        <v>738008468.32000005</v>
      </c>
      <c r="D8" s="641">
        <v>676704548.03999996</v>
      </c>
      <c r="E8" s="641">
        <v>31205996.469999999</v>
      </c>
      <c r="F8" s="641">
        <v>16464977.619999999</v>
      </c>
      <c r="G8" s="641">
        <v>8969725.7100000009</v>
      </c>
      <c r="H8" s="641">
        <v>4663220.4800000004</v>
      </c>
      <c r="I8" s="643">
        <f t="shared" ref="I8:I18" si="1">SUM(J8:N8)</f>
        <v>30742267.220000006</v>
      </c>
      <c r="J8" s="641">
        <v>13534090.960000001</v>
      </c>
      <c r="K8" s="641">
        <v>3120599.66</v>
      </c>
      <c r="L8" s="641">
        <v>4939493.28</v>
      </c>
      <c r="M8" s="641">
        <v>4484862.8500000006</v>
      </c>
      <c r="N8" s="641">
        <v>4663220.4700000007</v>
      </c>
      <c r="O8" s="641">
        <v>184825</v>
      </c>
      <c r="P8" s="670">
        <v>0.24</v>
      </c>
      <c r="Q8" s="670">
        <v>0.33328273941486758</v>
      </c>
      <c r="R8" s="670">
        <v>0.23</v>
      </c>
      <c r="S8" s="667">
        <v>35.488976999999998</v>
      </c>
    </row>
    <row r="9" spans="1:19">
      <c r="A9" s="594">
        <v>3</v>
      </c>
      <c r="B9" s="659" t="s">
        <v>719</v>
      </c>
      <c r="C9" s="643">
        <f t="shared" si="0"/>
        <v>0</v>
      </c>
      <c r="D9" s="641"/>
      <c r="E9" s="641"/>
      <c r="F9" s="641"/>
      <c r="G9" s="641"/>
      <c r="H9" s="641"/>
      <c r="I9" s="643">
        <f t="shared" si="1"/>
        <v>0</v>
      </c>
      <c r="J9" s="641">
        <v>0</v>
      </c>
      <c r="K9" s="641">
        <v>0</v>
      </c>
      <c r="L9" s="641">
        <v>0</v>
      </c>
      <c r="M9" s="641">
        <v>0</v>
      </c>
      <c r="N9" s="641">
        <v>0</v>
      </c>
      <c r="O9" s="641">
        <v>0</v>
      </c>
      <c r="P9" s="671"/>
      <c r="Q9" s="670"/>
      <c r="R9" s="671"/>
      <c r="S9" s="667"/>
    </row>
    <row r="10" spans="1:19">
      <c r="A10" s="594">
        <v>4</v>
      </c>
      <c r="B10" s="659" t="s">
        <v>720</v>
      </c>
      <c r="C10" s="643">
        <f t="shared" si="0"/>
        <v>151709028.77000001</v>
      </c>
      <c r="D10" s="641">
        <v>145486039.97</v>
      </c>
      <c r="E10" s="641">
        <v>2861877.76</v>
      </c>
      <c r="F10" s="641">
        <v>1709425.9</v>
      </c>
      <c r="G10" s="641">
        <v>1490523.74</v>
      </c>
      <c r="H10" s="641">
        <v>161161.4</v>
      </c>
      <c r="I10" s="643">
        <f t="shared" si="1"/>
        <v>4615159.62</v>
      </c>
      <c r="J10" s="641">
        <v>2909720.8</v>
      </c>
      <c r="K10" s="641">
        <v>286187.78000000003</v>
      </c>
      <c r="L10" s="641">
        <v>512827.77</v>
      </c>
      <c r="M10" s="641">
        <v>745261.87</v>
      </c>
      <c r="N10" s="641">
        <v>161161.4</v>
      </c>
      <c r="O10" s="641">
        <v>230817</v>
      </c>
      <c r="P10" s="670">
        <v>0.03</v>
      </c>
      <c r="Q10" s="670">
        <v>0.21000000000000002</v>
      </c>
      <c r="R10" s="670">
        <v>0.03</v>
      </c>
      <c r="S10" s="667">
        <v>10.877772999999999</v>
      </c>
    </row>
    <row r="11" spans="1:19">
      <c r="A11" s="594">
        <v>5</v>
      </c>
      <c r="B11" s="659" t="s">
        <v>721</v>
      </c>
      <c r="C11" s="643">
        <f t="shared" si="0"/>
        <v>69718.460000000006</v>
      </c>
      <c r="D11" s="641">
        <v>46238.3</v>
      </c>
      <c r="E11" s="641">
        <v>9547.75</v>
      </c>
      <c r="F11" s="641">
        <v>12179.38</v>
      </c>
      <c r="G11" s="641">
        <v>766</v>
      </c>
      <c r="H11" s="641">
        <v>987.03</v>
      </c>
      <c r="I11" s="643">
        <f t="shared" si="1"/>
        <v>6903.3899999999994</v>
      </c>
      <c r="J11" s="641">
        <v>924.77</v>
      </c>
      <c r="K11" s="641">
        <v>954.78</v>
      </c>
      <c r="L11" s="641">
        <v>3653.81</v>
      </c>
      <c r="M11" s="641">
        <v>383</v>
      </c>
      <c r="N11" s="641">
        <v>987.03</v>
      </c>
      <c r="O11" s="641">
        <v>42</v>
      </c>
      <c r="P11" s="670">
        <v>0.37442488720865952</v>
      </c>
      <c r="Q11" s="670">
        <v>0.4716763378925406</v>
      </c>
      <c r="R11" s="670">
        <v>0.38</v>
      </c>
      <c r="S11" s="667">
        <v>7.0926200000000001</v>
      </c>
    </row>
    <row r="12" spans="1:19">
      <c r="A12" s="594">
        <v>6</v>
      </c>
      <c r="B12" s="659" t="s">
        <v>722</v>
      </c>
      <c r="C12" s="643">
        <f t="shared" si="0"/>
        <v>10557208.470000001</v>
      </c>
      <c r="D12" s="641">
        <v>10086019.26</v>
      </c>
      <c r="E12" s="641">
        <v>451028.68</v>
      </c>
      <c r="F12" s="641">
        <v>9655.9599999999991</v>
      </c>
      <c r="G12" s="641">
        <v>7886.84</v>
      </c>
      <c r="H12" s="641">
        <v>2617.73</v>
      </c>
      <c r="I12" s="643">
        <f t="shared" si="1"/>
        <v>256281.20000000004</v>
      </c>
      <c r="J12" s="641">
        <v>201720.39</v>
      </c>
      <c r="K12" s="641">
        <v>45102.87</v>
      </c>
      <c r="L12" s="641">
        <v>2896.79</v>
      </c>
      <c r="M12" s="641">
        <v>3943.42</v>
      </c>
      <c r="N12" s="641">
        <v>2617.73</v>
      </c>
      <c r="O12" s="641">
        <v>21578</v>
      </c>
      <c r="P12" s="670">
        <v>0.3</v>
      </c>
      <c r="Q12" s="670">
        <v>0.37</v>
      </c>
      <c r="R12" s="670">
        <v>0.3</v>
      </c>
      <c r="S12" s="667">
        <v>314.15067699999997</v>
      </c>
    </row>
    <row r="13" spans="1:19">
      <c r="A13" s="594">
        <v>7</v>
      </c>
      <c r="B13" s="659" t="s">
        <v>723</v>
      </c>
      <c r="C13" s="643">
        <f t="shared" si="0"/>
        <v>145186276.87000003</v>
      </c>
      <c r="D13" s="641">
        <v>138282290.30000001</v>
      </c>
      <c r="E13" s="641">
        <v>3281761.8499999996</v>
      </c>
      <c r="F13" s="641">
        <v>2043532.8</v>
      </c>
      <c r="G13" s="641">
        <v>1138941.1100000001</v>
      </c>
      <c r="H13" s="641">
        <v>439750.81</v>
      </c>
      <c r="I13" s="643">
        <f t="shared" si="1"/>
        <v>4716103.22</v>
      </c>
      <c r="J13" s="641">
        <v>2765645.8000000003</v>
      </c>
      <c r="K13" s="641">
        <v>328176.2</v>
      </c>
      <c r="L13" s="641">
        <v>613059.85</v>
      </c>
      <c r="M13" s="641">
        <v>569470.56000000006</v>
      </c>
      <c r="N13" s="641">
        <v>439750.81</v>
      </c>
      <c r="O13" s="641">
        <v>19175</v>
      </c>
      <c r="P13" s="670">
        <v>0.19522463713136359</v>
      </c>
      <c r="Q13" s="670">
        <v>0.26522463713136357</v>
      </c>
      <c r="R13" s="670">
        <v>0.2</v>
      </c>
      <c r="S13" s="667">
        <v>51.846814000000002</v>
      </c>
    </row>
    <row r="14" spans="1:19" ht="25.5">
      <c r="A14" s="660">
        <v>7.1</v>
      </c>
      <c r="B14" s="661" t="s">
        <v>724</v>
      </c>
      <c r="C14" s="643">
        <f t="shared" si="0"/>
        <v>34999943.390000001</v>
      </c>
      <c r="D14" s="641">
        <v>34137349.270000003</v>
      </c>
      <c r="E14" s="641">
        <v>270145.74</v>
      </c>
      <c r="F14" s="641">
        <v>522809.23</v>
      </c>
      <c r="G14" s="641">
        <v>67084.399999999994</v>
      </c>
      <c r="H14" s="641">
        <v>2554.75</v>
      </c>
      <c r="I14" s="643">
        <f t="shared" si="1"/>
        <v>902701.27999999991</v>
      </c>
      <c r="J14" s="641">
        <v>682746.98</v>
      </c>
      <c r="K14" s="641">
        <v>27014.58</v>
      </c>
      <c r="L14" s="641">
        <v>156842.77000000002</v>
      </c>
      <c r="M14" s="641">
        <v>33542.199999999997</v>
      </c>
      <c r="N14" s="641">
        <v>2554.75</v>
      </c>
      <c r="O14" s="641">
        <v>736</v>
      </c>
      <c r="P14" s="670">
        <v>0.13216332821132337</v>
      </c>
      <c r="Q14" s="670">
        <v>0.15602417638438229</v>
      </c>
      <c r="R14" s="670">
        <v>0.13</v>
      </c>
      <c r="S14" s="667">
        <v>108.555727</v>
      </c>
    </row>
    <row r="15" spans="1:19" ht="25.5">
      <c r="A15" s="660">
        <v>7.2</v>
      </c>
      <c r="B15" s="661" t="s">
        <v>725</v>
      </c>
      <c r="C15" s="643">
        <f t="shared" si="0"/>
        <v>2581184.7300000004</v>
      </c>
      <c r="D15" s="641">
        <v>2531756.14</v>
      </c>
      <c r="E15" s="641">
        <v>42142.89</v>
      </c>
      <c r="F15" s="641">
        <v>7285.7</v>
      </c>
      <c r="G15" s="641">
        <v>0</v>
      </c>
      <c r="H15" s="641">
        <v>0</v>
      </c>
      <c r="I15" s="643">
        <f t="shared" si="1"/>
        <v>57035.119999999995</v>
      </c>
      <c r="J15" s="641">
        <v>50635.119999999995</v>
      </c>
      <c r="K15" s="641">
        <v>4214.29</v>
      </c>
      <c r="L15" s="641">
        <v>2185.71</v>
      </c>
      <c r="M15" s="641">
        <v>0</v>
      </c>
      <c r="N15" s="641">
        <v>0</v>
      </c>
      <c r="O15" s="641">
        <v>62</v>
      </c>
      <c r="P15" s="670">
        <v>0.13779417931922919</v>
      </c>
      <c r="Q15" s="670">
        <v>0.160014604605973</v>
      </c>
      <c r="R15" s="670">
        <v>0.14000000000000001</v>
      </c>
      <c r="S15" s="667">
        <v>87.508533999999997</v>
      </c>
    </row>
    <row r="16" spans="1:19">
      <c r="A16" s="660">
        <v>7.3</v>
      </c>
      <c r="B16" s="661" t="s">
        <v>726</v>
      </c>
      <c r="C16" s="643">
        <f t="shared" si="0"/>
        <v>107605148.75</v>
      </c>
      <c r="D16" s="641">
        <v>101613184.89</v>
      </c>
      <c r="E16" s="641">
        <v>2969473.2199999997</v>
      </c>
      <c r="F16" s="641">
        <v>1513437.8699999999</v>
      </c>
      <c r="G16" s="641">
        <v>1071856.71</v>
      </c>
      <c r="H16" s="641">
        <v>437196.06</v>
      </c>
      <c r="I16" s="643">
        <f t="shared" si="1"/>
        <v>3756366.82</v>
      </c>
      <c r="J16" s="641">
        <v>2032263.7</v>
      </c>
      <c r="K16" s="641">
        <v>296947.33</v>
      </c>
      <c r="L16" s="641">
        <v>454031.37</v>
      </c>
      <c r="M16" s="641">
        <v>535928.36</v>
      </c>
      <c r="N16" s="641">
        <v>437196.06</v>
      </c>
      <c r="O16" s="641">
        <v>18377</v>
      </c>
      <c r="P16" s="670">
        <v>0.22281942929075704</v>
      </c>
      <c r="Q16" s="670">
        <v>0.31281942929075696</v>
      </c>
      <c r="R16" s="670">
        <v>0.23</v>
      </c>
      <c r="S16" s="667">
        <v>32.464547000000003</v>
      </c>
    </row>
    <row r="17" spans="1:19">
      <c r="A17" s="594">
        <v>8</v>
      </c>
      <c r="B17" s="659" t="s">
        <v>727</v>
      </c>
      <c r="C17" s="643">
        <f t="shared" si="0"/>
        <v>0</v>
      </c>
      <c r="D17" s="641"/>
      <c r="E17" s="641"/>
      <c r="F17" s="641"/>
      <c r="G17" s="641"/>
      <c r="H17" s="641"/>
      <c r="I17" s="643">
        <f t="shared" si="1"/>
        <v>0</v>
      </c>
      <c r="J17" s="641">
        <v>0</v>
      </c>
      <c r="K17" s="641">
        <v>0</v>
      </c>
      <c r="L17" s="641">
        <v>0</v>
      </c>
      <c r="M17" s="641">
        <v>0</v>
      </c>
      <c r="N17" s="641">
        <v>0</v>
      </c>
      <c r="O17" s="641">
        <v>0</v>
      </c>
      <c r="P17" s="671"/>
      <c r="Q17" s="670"/>
      <c r="R17" s="671"/>
      <c r="S17" s="667"/>
    </row>
    <row r="18" spans="1:19">
      <c r="A18" s="595">
        <v>9</v>
      </c>
      <c r="B18" s="662" t="s">
        <v>728</v>
      </c>
      <c r="C18" s="643">
        <f t="shared" si="0"/>
        <v>1922969.16</v>
      </c>
      <c r="D18" s="642">
        <v>1831136.42</v>
      </c>
      <c r="E18" s="642">
        <v>64859.5</v>
      </c>
      <c r="F18" s="642">
        <v>17871.66</v>
      </c>
      <c r="G18" s="642">
        <v>5700.3</v>
      </c>
      <c r="H18" s="642">
        <v>3401.28</v>
      </c>
      <c r="I18" s="643">
        <f t="shared" si="1"/>
        <v>54721.609999999993</v>
      </c>
      <c r="J18" s="642">
        <v>36622.729999999996</v>
      </c>
      <c r="K18" s="642">
        <v>6485.95</v>
      </c>
      <c r="L18" s="642">
        <v>5361.5</v>
      </c>
      <c r="M18" s="642">
        <v>2850.15</v>
      </c>
      <c r="N18" s="642">
        <v>3401.28</v>
      </c>
      <c r="O18" s="642">
        <v>903</v>
      </c>
      <c r="P18" s="672">
        <v>9.280526809709809E-2</v>
      </c>
      <c r="Q18" s="672">
        <v>0.13539995441750666</v>
      </c>
      <c r="R18" s="672">
        <v>0.14000000000000001</v>
      </c>
      <c r="S18" s="668">
        <v>31.378890999999999</v>
      </c>
    </row>
    <row r="19" spans="1:19">
      <c r="A19" s="594">
        <v>10</v>
      </c>
      <c r="B19" s="663" t="s">
        <v>733</v>
      </c>
      <c r="C19" s="643">
        <f>SUM(C7:C13)+SUM(C17:C18)</f>
        <v>1059951651.3100001</v>
      </c>
      <c r="D19" s="643">
        <f>SUM(D7:D13)+SUM(D17:D18)</f>
        <v>983636210.76999986</v>
      </c>
      <c r="E19" s="643">
        <f t="shared" ref="E19:H19" si="2">SUM(E7:E13)+SUM(E17:E18)</f>
        <v>38325495.880000003</v>
      </c>
      <c r="F19" s="643">
        <f t="shared" si="2"/>
        <v>20765274.109999999</v>
      </c>
      <c r="G19" s="643">
        <f t="shared" si="2"/>
        <v>11787848.810000001</v>
      </c>
      <c r="H19" s="643">
        <f t="shared" si="2"/>
        <v>5436821.7400000012</v>
      </c>
      <c r="I19" s="643">
        <f>SUM(I7:I13)+SUM(I17:I18)</f>
        <v>41065602.230000004</v>
      </c>
      <c r="J19" s="643">
        <f>SUM(J7:J13)+SUM(J17:J18)</f>
        <v>19672724.220000003</v>
      </c>
      <c r="K19" s="643">
        <f t="shared" ref="K19:N19" si="3">SUM(K7:K13)+SUM(K17:K18)</f>
        <v>3832549.6300000004</v>
      </c>
      <c r="L19" s="643">
        <f t="shared" si="3"/>
        <v>6229582.2400000002</v>
      </c>
      <c r="M19" s="643">
        <f t="shared" si="3"/>
        <v>5893924.4100000001</v>
      </c>
      <c r="N19" s="643">
        <f t="shared" si="3"/>
        <v>5436821.7300000014</v>
      </c>
      <c r="O19" s="643">
        <v>469039</v>
      </c>
      <c r="P19" s="666">
        <v>0.19114950948878265</v>
      </c>
      <c r="Q19" s="666">
        <v>0.29571840455036646</v>
      </c>
      <c r="R19" s="666">
        <v>0.19838265677187372</v>
      </c>
      <c r="S19" s="669">
        <v>36.682051479429603</v>
      </c>
    </row>
    <row r="20" spans="1:19" ht="25.5">
      <c r="A20" s="660">
        <v>10.1</v>
      </c>
      <c r="B20" s="661" t="s">
        <v>736</v>
      </c>
      <c r="C20" s="641"/>
      <c r="D20" s="641"/>
      <c r="E20" s="641"/>
      <c r="F20" s="641"/>
      <c r="G20" s="641"/>
      <c r="H20" s="641"/>
      <c r="I20" s="641"/>
      <c r="J20" s="641"/>
      <c r="K20" s="641"/>
      <c r="L20" s="641"/>
      <c r="M20" s="641"/>
      <c r="N20" s="641"/>
      <c r="O20" s="641"/>
      <c r="P20" s="664"/>
      <c r="Q20" s="664"/>
      <c r="R20" s="664"/>
      <c r="S20" s="665"/>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ignoredErrors>
    <ignoredError sqref="I7 I8:I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3"/>
  <sheetViews>
    <sheetView workbookViewId="0">
      <pane xSplit="1" ySplit="5" topLeftCell="B31" activePane="bottomRight" state="frozen"/>
      <selection pane="topRight" activeCell="B1" sqref="B1"/>
      <selection pane="bottomLeft" activeCell="A5" sqref="A5"/>
      <selection pane="bottomRight" activeCell="F33" sqref="F33:F40"/>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9" ht="15.75">
      <c r="A1" s="17" t="s">
        <v>188</v>
      </c>
      <c r="B1" s="335" t="str">
        <f>Info!C2</f>
        <v>სს "კრედო ბანკი"</v>
      </c>
    </row>
    <row r="2" spans="1:9" ht="15.75">
      <c r="A2" s="17" t="s">
        <v>189</v>
      </c>
      <c r="B2" s="469">
        <f>'1. key ratios'!B2</f>
        <v>44742</v>
      </c>
    </row>
    <row r="3" spans="1:9" ht="15.75">
      <c r="A3" s="17"/>
    </row>
    <row r="4" spans="1:9" ht="16.5" thickBot="1">
      <c r="A4" s="30" t="s">
        <v>328</v>
      </c>
      <c r="B4" s="69" t="s">
        <v>243</v>
      </c>
      <c r="C4" s="30"/>
      <c r="D4" s="31"/>
      <c r="E4" s="31"/>
      <c r="F4" s="32"/>
      <c r="G4" s="32"/>
      <c r="H4" s="33" t="s">
        <v>93</v>
      </c>
    </row>
    <row r="5" spans="1:9" ht="15.75">
      <c r="A5" s="34"/>
      <c r="B5" s="35"/>
      <c r="C5" s="715" t="s">
        <v>194</v>
      </c>
      <c r="D5" s="716"/>
      <c r="E5" s="717"/>
      <c r="F5" s="715" t="s">
        <v>195</v>
      </c>
      <c r="G5" s="716"/>
      <c r="H5" s="718"/>
    </row>
    <row r="6" spans="1:9" ht="15.75">
      <c r="A6" s="36" t="s">
        <v>26</v>
      </c>
      <c r="B6" s="37" t="s">
        <v>153</v>
      </c>
      <c r="C6" s="38" t="s">
        <v>27</v>
      </c>
      <c r="D6" s="38" t="s">
        <v>94</v>
      </c>
      <c r="E6" s="38" t="s">
        <v>68</v>
      </c>
      <c r="F6" s="38" t="s">
        <v>27</v>
      </c>
      <c r="G6" s="38" t="s">
        <v>94</v>
      </c>
      <c r="H6" s="39" t="s">
        <v>68</v>
      </c>
    </row>
    <row r="7" spans="1:9" ht="15.75">
      <c r="A7" s="36">
        <v>1</v>
      </c>
      <c r="B7" s="40" t="s">
        <v>154</v>
      </c>
      <c r="C7" s="229">
        <v>45087736.909999996</v>
      </c>
      <c r="D7" s="229">
        <v>26537275.609999999</v>
      </c>
      <c r="E7" s="230">
        <f>C7+D7</f>
        <v>71625012.519999996</v>
      </c>
      <c r="F7" s="231">
        <v>28558451.640000001</v>
      </c>
      <c r="G7" s="232">
        <v>19231802.709999997</v>
      </c>
      <c r="H7" s="233">
        <f>F7+G7</f>
        <v>47790254.349999994</v>
      </c>
    </row>
    <row r="8" spans="1:9" ht="15.75">
      <c r="A8" s="36">
        <v>2</v>
      </c>
      <c r="B8" s="40" t="s">
        <v>155</v>
      </c>
      <c r="C8" s="229">
        <v>156375806.56999999</v>
      </c>
      <c r="D8" s="229">
        <v>21493017.509999998</v>
      </c>
      <c r="E8" s="230">
        <f t="shared" ref="E8:E20" si="0">C8+D8</f>
        <v>177868824.07999998</v>
      </c>
      <c r="F8" s="231">
        <v>84564729.230000004</v>
      </c>
      <c r="G8" s="232">
        <v>49225985.010000005</v>
      </c>
      <c r="H8" s="233">
        <f t="shared" ref="H8:H40" si="1">F8+G8</f>
        <v>133790714.24000001</v>
      </c>
    </row>
    <row r="9" spans="1:9" ht="15.75">
      <c r="A9" s="36">
        <v>3</v>
      </c>
      <c r="B9" s="40" t="s">
        <v>156</v>
      </c>
      <c r="C9" s="229">
        <v>1358092.02</v>
      </c>
      <c r="D9" s="229">
        <v>28604295.129999999</v>
      </c>
      <c r="E9" s="230">
        <f t="shared" si="0"/>
        <v>29962387.149999999</v>
      </c>
      <c r="F9" s="231">
        <v>1463230.91</v>
      </c>
      <c r="G9" s="232">
        <v>52457678.82</v>
      </c>
      <c r="H9" s="233">
        <f t="shared" si="1"/>
        <v>53920909.729999997</v>
      </c>
    </row>
    <row r="10" spans="1:9" ht="15.75">
      <c r="A10" s="36">
        <v>4</v>
      </c>
      <c r="B10" s="40" t="s">
        <v>185</v>
      </c>
      <c r="C10" s="229">
        <v>0</v>
      </c>
      <c r="D10" s="229">
        <v>0</v>
      </c>
      <c r="E10" s="230">
        <f t="shared" si="0"/>
        <v>0</v>
      </c>
      <c r="F10" s="231">
        <v>0</v>
      </c>
      <c r="G10" s="232">
        <v>0</v>
      </c>
      <c r="H10" s="233">
        <f t="shared" si="1"/>
        <v>0</v>
      </c>
    </row>
    <row r="11" spans="1:9" ht="15.75">
      <c r="A11" s="36">
        <v>5</v>
      </c>
      <c r="B11" s="40" t="s">
        <v>157</v>
      </c>
      <c r="C11" s="229">
        <v>47896657.43</v>
      </c>
      <c r="D11" s="229">
        <v>0</v>
      </c>
      <c r="E11" s="230">
        <f t="shared" si="0"/>
        <v>47896657.43</v>
      </c>
      <c r="F11" s="231">
        <v>42838843.409999996</v>
      </c>
      <c r="G11" s="232">
        <v>0</v>
      </c>
      <c r="H11" s="233">
        <f t="shared" si="1"/>
        <v>42838843.409999996</v>
      </c>
    </row>
    <row r="12" spans="1:9" ht="15.75">
      <c r="A12" s="36">
        <v>6.1</v>
      </c>
      <c r="B12" s="41" t="s">
        <v>158</v>
      </c>
      <c r="C12" s="229">
        <v>1464296303.3400002</v>
      </c>
      <c r="D12" s="229">
        <v>160310118.24899998</v>
      </c>
      <c r="E12" s="230">
        <f t="shared" si="0"/>
        <v>1624606421.5890002</v>
      </c>
      <c r="F12" s="231">
        <v>1051872360.2200001</v>
      </c>
      <c r="G12" s="232">
        <v>105927911.2595</v>
      </c>
      <c r="H12" s="233">
        <f t="shared" si="1"/>
        <v>1157800271.4795001</v>
      </c>
    </row>
    <row r="13" spans="1:9" ht="15.75">
      <c r="A13" s="36">
        <v>6.2</v>
      </c>
      <c r="B13" s="41" t="s">
        <v>159</v>
      </c>
      <c r="C13" s="229">
        <v>-57474992.104999997</v>
      </c>
      <c r="D13" s="229">
        <v>-8566286.9271000009</v>
      </c>
      <c r="E13" s="230">
        <f t="shared" si="0"/>
        <v>-66041279.032099999</v>
      </c>
      <c r="F13" s="231">
        <v>-34303530.864</v>
      </c>
      <c r="G13" s="232">
        <v>-6451619.8674000008</v>
      </c>
      <c r="H13" s="233">
        <f t="shared" si="1"/>
        <v>-40755150.731399998</v>
      </c>
    </row>
    <row r="14" spans="1:9" ht="15.75">
      <c r="A14" s="36">
        <v>6</v>
      </c>
      <c r="B14" s="40" t="s">
        <v>160</v>
      </c>
      <c r="C14" s="230">
        <f>C12+C13</f>
        <v>1406821311.2350001</v>
      </c>
      <c r="D14" s="230">
        <f>D12+D13</f>
        <v>151743831.32189998</v>
      </c>
      <c r="E14" s="230">
        <f t="shared" si="0"/>
        <v>1558565142.5569</v>
      </c>
      <c r="F14" s="230">
        <f>F12+F13</f>
        <v>1017568829.3560002</v>
      </c>
      <c r="G14" s="230">
        <f>G12+G13</f>
        <v>99476291.392099991</v>
      </c>
      <c r="H14" s="233">
        <f t="shared" si="1"/>
        <v>1117045120.7481003</v>
      </c>
      <c r="I14" s="605"/>
    </row>
    <row r="15" spans="1:9" ht="15.75">
      <c r="A15" s="36">
        <v>7</v>
      </c>
      <c r="B15" s="40" t="s">
        <v>161</v>
      </c>
      <c r="C15" s="229">
        <v>31678871.140000001</v>
      </c>
      <c r="D15" s="229">
        <v>2382868.42</v>
      </c>
      <c r="E15" s="230">
        <f t="shared" si="0"/>
        <v>34061739.560000002</v>
      </c>
      <c r="F15" s="231">
        <v>26655347.760000002</v>
      </c>
      <c r="G15" s="232">
        <v>2324799.8499999996</v>
      </c>
      <c r="H15" s="233">
        <f t="shared" si="1"/>
        <v>28980147.609999999</v>
      </c>
    </row>
    <row r="16" spans="1:9" ht="15.75">
      <c r="A16" s="36">
        <v>8</v>
      </c>
      <c r="B16" s="40" t="s">
        <v>162</v>
      </c>
      <c r="C16" s="229">
        <v>2171163</v>
      </c>
      <c r="D16" s="229">
        <v>0</v>
      </c>
      <c r="E16" s="230">
        <f t="shared" si="0"/>
        <v>2171163</v>
      </c>
      <c r="F16" s="231">
        <v>906787.68900000001</v>
      </c>
      <c r="G16" s="232">
        <v>0</v>
      </c>
      <c r="H16" s="233">
        <f t="shared" si="1"/>
        <v>906787.68900000001</v>
      </c>
    </row>
    <row r="17" spans="1:8" ht="15.75">
      <c r="A17" s="36">
        <v>9</v>
      </c>
      <c r="B17" s="40" t="s">
        <v>163</v>
      </c>
      <c r="C17" s="229">
        <v>0</v>
      </c>
      <c r="D17" s="229">
        <v>0</v>
      </c>
      <c r="E17" s="230">
        <f t="shared" si="0"/>
        <v>0</v>
      </c>
      <c r="F17" s="231">
        <v>0</v>
      </c>
      <c r="G17" s="232">
        <v>0</v>
      </c>
      <c r="H17" s="233">
        <f t="shared" si="1"/>
        <v>0</v>
      </c>
    </row>
    <row r="18" spans="1:8" ht="15.75">
      <c r="A18" s="36">
        <v>10</v>
      </c>
      <c r="B18" s="40" t="s">
        <v>164</v>
      </c>
      <c r="C18" s="229">
        <v>38989721.18999999</v>
      </c>
      <c r="D18" s="229">
        <v>0</v>
      </c>
      <c r="E18" s="230">
        <f t="shared" si="0"/>
        <v>38989721.18999999</v>
      </c>
      <c r="F18" s="231">
        <v>29965074.790000018</v>
      </c>
      <c r="G18" s="232">
        <v>0</v>
      </c>
      <c r="H18" s="233">
        <f t="shared" si="1"/>
        <v>29965074.790000018</v>
      </c>
    </row>
    <row r="19" spans="1:8" ht="15.75">
      <c r="A19" s="36">
        <v>11</v>
      </c>
      <c r="B19" s="40" t="s">
        <v>165</v>
      </c>
      <c r="C19" s="229">
        <v>39585444.049999997</v>
      </c>
      <c r="D19" s="229">
        <v>6261802.3899999997</v>
      </c>
      <c r="E19" s="230">
        <f t="shared" si="0"/>
        <v>45847246.439999998</v>
      </c>
      <c r="F19" s="231">
        <v>40882740.489999995</v>
      </c>
      <c r="G19" s="232">
        <v>1604732.05</v>
      </c>
      <c r="H19" s="233">
        <f t="shared" si="1"/>
        <v>42487472.539999992</v>
      </c>
    </row>
    <row r="20" spans="1:8" ht="15.75">
      <c r="A20" s="36">
        <v>12</v>
      </c>
      <c r="B20" s="42" t="s">
        <v>166</v>
      </c>
      <c r="C20" s="230">
        <f>SUM(C7:C11)+SUM(C14:C19)</f>
        <v>1769964803.5450003</v>
      </c>
      <c r="D20" s="230">
        <f>SUM(D7:D11)+SUM(D14:D19)</f>
        <v>237023090.38189995</v>
      </c>
      <c r="E20" s="230">
        <f t="shared" si="0"/>
        <v>2006987893.9269004</v>
      </c>
      <c r="F20" s="230">
        <f>SUM(F7:F11)+SUM(F14:F19)</f>
        <v>1273404035.2750003</v>
      </c>
      <c r="G20" s="230">
        <f>SUM(G7:G11)+SUM(G14:G19)</f>
        <v>224321289.83209997</v>
      </c>
      <c r="H20" s="233">
        <f t="shared" si="1"/>
        <v>1497725325.1071002</v>
      </c>
    </row>
    <row r="21" spans="1:8" ht="15.75">
      <c r="A21" s="36"/>
      <c r="B21" s="37" t="s">
        <v>183</v>
      </c>
      <c r="C21" s="234"/>
      <c r="D21" s="234"/>
      <c r="E21" s="234"/>
      <c r="F21" s="235"/>
      <c r="G21" s="236"/>
      <c r="H21" s="237"/>
    </row>
    <row r="22" spans="1:8" ht="15.75">
      <c r="A22" s="36">
        <v>13</v>
      </c>
      <c r="B22" s="40" t="s">
        <v>167</v>
      </c>
      <c r="C22" s="229">
        <v>0</v>
      </c>
      <c r="D22" s="229">
        <v>3807570</v>
      </c>
      <c r="E22" s="230">
        <f>C22+D22</f>
        <v>3807570</v>
      </c>
      <c r="F22" s="231">
        <v>0</v>
      </c>
      <c r="G22" s="232">
        <v>0</v>
      </c>
      <c r="H22" s="233">
        <f t="shared" si="1"/>
        <v>0</v>
      </c>
    </row>
    <row r="23" spans="1:8" ht="15.75">
      <c r="A23" s="36">
        <v>14</v>
      </c>
      <c r="B23" s="40" t="s">
        <v>168</v>
      </c>
      <c r="C23" s="229">
        <v>74693716.297000408</v>
      </c>
      <c r="D23" s="229">
        <v>39513052.908901483</v>
      </c>
      <c r="E23" s="230">
        <f t="shared" ref="E23:E40" si="2">C23+D23</f>
        <v>114206769.20590189</v>
      </c>
      <c r="F23" s="231">
        <v>43564389.960000001</v>
      </c>
      <c r="G23" s="232">
        <v>7922537.9399999995</v>
      </c>
      <c r="H23" s="233">
        <f t="shared" si="1"/>
        <v>51486927.899999999</v>
      </c>
    </row>
    <row r="24" spans="1:8" ht="15.75">
      <c r="A24" s="36">
        <v>15</v>
      </c>
      <c r="B24" s="40" t="s">
        <v>169</v>
      </c>
      <c r="C24" s="229">
        <v>10916485.44039976</v>
      </c>
      <c r="D24" s="229">
        <v>19678551.801200006</v>
      </c>
      <c r="E24" s="230">
        <f t="shared" si="2"/>
        <v>30595037.241599768</v>
      </c>
      <c r="F24" s="231">
        <v>10271056.83</v>
      </c>
      <c r="G24" s="232">
        <v>15333854.769999996</v>
      </c>
      <c r="H24" s="233">
        <f t="shared" si="1"/>
        <v>25604911.599999994</v>
      </c>
    </row>
    <row r="25" spans="1:8" ht="15.75">
      <c r="A25" s="36">
        <v>16</v>
      </c>
      <c r="B25" s="40" t="s">
        <v>170</v>
      </c>
      <c r="C25" s="229">
        <v>292550746.01999974</v>
      </c>
      <c r="D25" s="229">
        <v>58176652.364700019</v>
      </c>
      <c r="E25" s="230">
        <f t="shared" si="2"/>
        <v>350727398.38469976</v>
      </c>
      <c r="F25" s="231">
        <v>83656110.859999999</v>
      </c>
      <c r="G25" s="232">
        <v>20350927.700000003</v>
      </c>
      <c r="H25" s="233">
        <f t="shared" si="1"/>
        <v>104007038.56</v>
      </c>
    </row>
    <row r="26" spans="1:8" ht="15.75">
      <c r="A26" s="36">
        <v>17</v>
      </c>
      <c r="B26" s="40" t="s">
        <v>171</v>
      </c>
      <c r="C26" s="234"/>
      <c r="D26" s="234"/>
      <c r="E26" s="230">
        <f t="shared" si="2"/>
        <v>0</v>
      </c>
      <c r="F26" s="235"/>
      <c r="G26" s="236"/>
      <c r="H26" s="233">
        <f t="shared" si="1"/>
        <v>0</v>
      </c>
    </row>
    <row r="27" spans="1:8" ht="15.75">
      <c r="A27" s="36">
        <v>18</v>
      </c>
      <c r="B27" s="40" t="s">
        <v>172</v>
      </c>
      <c r="C27" s="229">
        <v>882577688.31460321</v>
      </c>
      <c r="D27" s="229">
        <v>205945717.125545</v>
      </c>
      <c r="E27" s="230">
        <f t="shared" si="2"/>
        <v>1088523405.4401481</v>
      </c>
      <c r="F27" s="231">
        <v>805100701.84063494</v>
      </c>
      <c r="G27" s="232">
        <v>188449215.92409247</v>
      </c>
      <c r="H27" s="233">
        <f t="shared" si="1"/>
        <v>993549917.76472735</v>
      </c>
    </row>
    <row r="28" spans="1:8" ht="15.75">
      <c r="A28" s="36">
        <v>19</v>
      </c>
      <c r="B28" s="40" t="s">
        <v>173</v>
      </c>
      <c r="C28" s="229">
        <v>26234038.34</v>
      </c>
      <c r="D28" s="229">
        <v>1692666.2000000002</v>
      </c>
      <c r="E28" s="230">
        <f t="shared" si="2"/>
        <v>27926704.539999999</v>
      </c>
      <c r="F28" s="231">
        <v>18808425.460000001</v>
      </c>
      <c r="G28" s="232">
        <v>1368431.75</v>
      </c>
      <c r="H28" s="233">
        <f t="shared" si="1"/>
        <v>20176857.210000001</v>
      </c>
    </row>
    <row r="29" spans="1:8" ht="15.75">
      <c r="A29" s="36">
        <v>20</v>
      </c>
      <c r="B29" s="40" t="s">
        <v>95</v>
      </c>
      <c r="C29" s="229">
        <v>86363282.159999996</v>
      </c>
      <c r="D29" s="229">
        <v>7197297.1799999988</v>
      </c>
      <c r="E29" s="230">
        <f t="shared" si="2"/>
        <v>93560579.339999989</v>
      </c>
      <c r="F29" s="231">
        <v>71709281.669999987</v>
      </c>
      <c r="G29" s="232">
        <v>6853060.4700000007</v>
      </c>
      <c r="H29" s="233">
        <f t="shared" si="1"/>
        <v>78562342.139999986</v>
      </c>
    </row>
    <row r="30" spans="1:8" ht="15.75">
      <c r="A30" s="36">
        <v>21</v>
      </c>
      <c r="B30" s="40" t="s">
        <v>174</v>
      </c>
      <c r="C30" s="229">
        <v>61847730</v>
      </c>
      <c r="D30" s="229">
        <v>23890800</v>
      </c>
      <c r="E30" s="230">
        <f t="shared" si="2"/>
        <v>85738530</v>
      </c>
      <c r="F30" s="231">
        <v>54551530</v>
      </c>
      <c r="G30" s="232">
        <v>0</v>
      </c>
      <c r="H30" s="233">
        <f t="shared" si="1"/>
        <v>54551530</v>
      </c>
    </row>
    <row r="31" spans="1:8" ht="15.75">
      <c r="A31" s="36">
        <v>22</v>
      </c>
      <c r="B31" s="42" t="s">
        <v>175</v>
      </c>
      <c r="C31" s="230">
        <f>SUM(C22:C30)</f>
        <v>1435183686.5720031</v>
      </c>
      <c r="D31" s="230">
        <f>SUM(D22:D30)</f>
        <v>359902307.58034647</v>
      </c>
      <c r="E31" s="230">
        <f>C31+D31</f>
        <v>1795085994.1523495</v>
      </c>
      <c r="F31" s="230">
        <f>SUM(F22:F30)</f>
        <v>1087661496.620635</v>
      </c>
      <c r="G31" s="230">
        <f>SUM(G22:G30)</f>
        <v>240278028.55409247</v>
      </c>
      <c r="H31" s="233">
        <f t="shared" si="1"/>
        <v>1327939525.1747274</v>
      </c>
    </row>
    <row r="32" spans="1:8" ht="15.75">
      <c r="A32" s="36"/>
      <c r="B32" s="37" t="s">
        <v>184</v>
      </c>
      <c r="C32" s="234"/>
      <c r="D32" s="234"/>
      <c r="E32" s="229"/>
      <c r="F32" s="235"/>
      <c r="G32" s="236"/>
      <c r="H32" s="237"/>
    </row>
    <row r="33" spans="1:9" ht="15.75">
      <c r="A33" s="36">
        <v>23</v>
      </c>
      <c r="B33" s="40" t="s">
        <v>176</v>
      </c>
      <c r="C33" s="229">
        <v>5176780</v>
      </c>
      <c r="D33" s="234"/>
      <c r="E33" s="230">
        <f t="shared" si="2"/>
        <v>5176780</v>
      </c>
      <c r="F33" s="231">
        <v>4400000</v>
      </c>
      <c r="G33" s="236"/>
      <c r="H33" s="233">
        <f t="shared" si="1"/>
        <v>4400000</v>
      </c>
    </row>
    <row r="34" spans="1:9" ht="15.75">
      <c r="A34" s="36">
        <v>24</v>
      </c>
      <c r="B34" s="40" t="s">
        <v>177</v>
      </c>
      <c r="C34" s="229">
        <v>0</v>
      </c>
      <c r="D34" s="234"/>
      <c r="E34" s="230">
        <f t="shared" si="2"/>
        <v>0</v>
      </c>
      <c r="F34" s="231">
        <v>0</v>
      </c>
      <c r="G34" s="236"/>
      <c r="H34" s="233">
        <f t="shared" si="1"/>
        <v>0</v>
      </c>
    </row>
    <row r="35" spans="1:9" ht="15.75">
      <c r="A35" s="36">
        <v>25</v>
      </c>
      <c r="B35" s="41" t="s">
        <v>178</v>
      </c>
      <c r="C35" s="229">
        <v>0</v>
      </c>
      <c r="D35" s="234"/>
      <c r="E35" s="230">
        <f t="shared" si="2"/>
        <v>0</v>
      </c>
      <c r="F35" s="231">
        <v>0</v>
      </c>
      <c r="G35" s="236"/>
      <c r="H35" s="233">
        <f t="shared" si="1"/>
        <v>0</v>
      </c>
    </row>
    <row r="36" spans="1:9" ht="15.75">
      <c r="A36" s="36">
        <v>26</v>
      </c>
      <c r="B36" s="40" t="s">
        <v>179</v>
      </c>
      <c r="C36" s="229">
        <v>35305300.5</v>
      </c>
      <c r="D36" s="234"/>
      <c r="E36" s="230">
        <f t="shared" si="2"/>
        <v>35305300.5</v>
      </c>
      <c r="F36" s="231">
        <v>0</v>
      </c>
      <c r="G36" s="236"/>
      <c r="H36" s="233">
        <f t="shared" si="1"/>
        <v>0</v>
      </c>
    </row>
    <row r="37" spans="1:9" ht="15.75">
      <c r="A37" s="36">
        <v>27</v>
      </c>
      <c r="B37" s="40" t="s">
        <v>180</v>
      </c>
      <c r="C37" s="229">
        <v>0</v>
      </c>
      <c r="D37" s="234"/>
      <c r="E37" s="230">
        <f t="shared" si="2"/>
        <v>0</v>
      </c>
      <c r="F37" s="231">
        <v>0</v>
      </c>
      <c r="G37" s="236"/>
      <c r="H37" s="233">
        <f t="shared" si="1"/>
        <v>0</v>
      </c>
    </row>
    <row r="38" spans="1:9" ht="15.75">
      <c r="A38" s="36">
        <v>28</v>
      </c>
      <c r="B38" s="40" t="s">
        <v>181</v>
      </c>
      <c r="C38" s="229">
        <v>171023360.12999988</v>
      </c>
      <c r="D38" s="234"/>
      <c r="E38" s="230">
        <f t="shared" si="2"/>
        <v>171023360.12999988</v>
      </c>
      <c r="F38" s="231">
        <v>164989341.27999976</v>
      </c>
      <c r="G38" s="236"/>
      <c r="H38" s="233">
        <f t="shared" si="1"/>
        <v>164989341.27999976</v>
      </c>
    </row>
    <row r="39" spans="1:9" ht="15.75">
      <c r="A39" s="36">
        <v>29</v>
      </c>
      <c r="B39" s="40" t="s">
        <v>196</v>
      </c>
      <c r="C39" s="229">
        <v>396459</v>
      </c>
      <c r="D39" s="234"/>
      <c r="E39" s="230">
        <f t="shared" si="2"/>
        <v>396459</v>
      </c>
      <c r="F39" s="231">
        <v>396459</v>
      </c>
      <c r="G39" s="236"/>
      <c r="H39" s="233">
        <f t="shared" si="1"/>
        <v>396459</v>
      </c>
    </row>
    <row r="40" spans="1:9" ht="15.75">
      <c r="A40" s="36">
        <v>30</v>
      </c>
      <c r="B40" s="42" t="s">
        <v>182</v>
      </c>
      <c r="C40" s="229">
        <f>SUM(C33:C39)</f>
        <v>211901899.62999988</v>
      </c>
      <c r="D40" s="234"/>
      <c r="E40" s="230">
        <f t="shared" si="2"/>
        <v>211901899.62999988</v>
      </c>
      <c r="F40" s="229">
        <f>SUM(F33:F39)</f>
        <v>169785800.27999976</v>
      </c>
      <c r="G40" s="236"/>
      <c r="H40" s="233">
        <f t="shared" si="1"/>
        <v>169785800.27999976</v>
      </c>
      <c r="I40" s="605"/>
    </row>
    <row r="41" spans="1:9" ht="16.5" thickBot="1">
      <c r="A41" s="43">
        <v>31</v>
      </c>
      <c r="B41" s="44" t="s">
        <v>197</v>
      </c>
      <c r="C41" s="238">
        <f>C31+C40</f>
        <v>1647085586.202003</v>
      </c>
      <c r="D41" s="238">
        <f>D31+D40</f>
        <v>359902307.58034647</v>
      </c>
      <c r="E41" s="238">
        <f>C41+D41</f>
        <v>2006987893.7823496</v>
      </c>
      <c r="F41" s="238">
        <f>F31+F40</f>
        <v>1257447296.9006348</v>
      </c>
      <c r="G41" s="238">
        <f>G31+G40</f>
        <v>240278028.55409247</v>
      </c>
      <c r="H41" s="239">
        <f>F41+G41</f>
        <v>1497725325.4547272</v>
      </c>
    </row>
    <row r="43" spans="1:9">
      <c r="B43" s="45"/>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F20:G20 C20:D20" formulaRange="1"/>
    <ignoredError sqref="E20 E3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workbookViewId="0">
      <pane xSplit="1" ySplit="6" topLeftCell="B56"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188</v>
      </c>
      <c r="B1" s="16" t="str">
        <f>Info!C2</f>
        <v>სს "კრედო ბანკი"</v>
      </c>
      <c r="C1" s="16"/>
    </row>
    <row r="2" spans="1:8" ht="15.75">
      <c r="A2" s="17" t="s">
        <v>189</v>
      </c>
      <c r="B2" s="469">
        <f>'1. key ratios'!B2</f>
        <v>44742</v>
      </c>
      <c r="C2" s="28"/>
      <c r="D2" s="18"/>
      <c r="E2" s="18"/>
      <c r="F2" s="18"/>
      <c r="G2" s="18"/>
      <c r="H2" s="18"/>
    </row>
    <row r="3" spans="1:8" ht="15.75">
      <c r="A3" s="17"/>
      <c r="B3" s="16"/>
      <c r="C3" s="28"/>
      <c r="D3" s="18"/>
      <c r="E3" s="18"/>
      <c r="F3" s="18"/>
      <c r="G3" s="18"/>
      <c r="H3" s="18"/>
    </row>
    <row r="4" spans="1:8" ht="16.5" thickBot="1">
      <c r="A4" s="46" t="s">
        <v>329</v>
      </c>
      <c r="B4" s="29" t="s">
        <v>222</v>
      </c>
      <c r="C4" s="32"/>
      <c r="D4" s="32"/>
      <c r="E4" s="32"/>
      <c r="F4" s="46"/>
      <c r="G4" s="46"/>
      <c r="H4" s="47" t="s">
        <v>93</v>
      </c>
    </row>
    <row r="5" spans="1:8" ht="15.75">
      <c r="A5" s="121"/>
      <c r="B5" s="122"/>
      <c r="C5" s="715" t="s">
        <v>194</v>
      </c>
      <c r="D5" s="716"/>
      <c r="E5" s="717"/>
      <c r="F5" s="715" t="s">
        <v>195</v>
      </c>
      <c r="G5" s="716"/>
      <c r="H5" s="718"/>
    </row>
    <row r="6" spans="1:8">
      <c r="A6" s="123" t="s">
        <v>26</v>
      </c>
      <c r="B6" s="48"/>
      <c r="C6" s="49" t="s">
        <v>27</v>
      </c>
      <c r="D6" s="49" t="s">
        <v>96</v>
      </c>
      <c r="E6" s="49" t="s">
        <v>68</v>
      </c>
      <c r="F6" s="49" t="s">
        <v>27</v>
      </c>
      <c r="G6" s="49" t="s">
        <v>96</v>
      </c>
      <c r="H6" s="124" t="s">
        <v>68</v>
      </c>
    </row>
    <row r="7" spans="1:8">
      <c r="A7" s="125"/>
      <c r="B7" s="51" t="s">
        <v>92</v>
      </c>
      <c r="C7" s="52"/>
      <c r="D7" s="52"/>
      <c r="E7" s="52"/>
      <c r="F7" s="52"/>
      <c r="G7" s="52"/>
      <c r="H7" s="126"/>
    </row>
    <row r="8" spans="1:8" ht="15.75">
      <c r="A8" s="125">
        <v>1</v>
      </c>
      <c r="B8" s="53" t="s">
        <v>97</v>
      </c>
      <c r="C8" s="240">
        <v>3755450.0599999996</v>
      </c>
      <c r="D8" s="240">
        <v>-63732.580000000009</v>
      </c>
      <c r="E8" s="230">
        <f>C8+D8</f>
        <v>3691717.4799999995</v>
      </c>
      <c r="F8" s="240">
        <v>2560895.4</v>
      </c>
      <c r="G8" s="240">
        <v>-163607.97</v>
      </c>
      <c r="H8" s="241">
        <f>F8+G8</f>
        <v>2397287.4299999997</v>
      </c>
    </row>
    <row r="9" spans="1:8" ht="15.75">
      <c r="A9" s="125">
        <v>2</v>
      </c>
      <c r="B9" s="53" t="s">
        <v>98</v>
      </c>
      <c r="C9" s="242">
        <f>SUM(C10:C18)</f>
        <v>140507546</v>
      </c>
      <c r="D9" s="242">
        <f>SUM(D10:D18)</f>
        <v>4540981.37</v>
      </c>
      <c r="E9" s="230">
        <f t="shared" ref="E9:E67" si="0">C9+D9</f>
        <v>145048527.37</v>
      </c>
      <c r="F9" s="242">
        <f>SUM(F10:F18)</f>
        <v>103032103.92</v>
      </c>
      <c r="G9" s="242">
        <f>SUM(G10:G18)</f>
        <v>3737936.98</v>
      </c>
      <c r="H9" s="241">
        <f t="shared" ref="H9:H67" si="1">F9+G9</f>
        <v>106770040.90000001</v>
      </c>
    </row>
    <row r="10" spans="1:8" ht="15.75">
      <c r="A10" s="125">
        <v>2.1</v>
      </c>
      <c r="B10" s="54" t="s">
        <v>99</v>
      </c>
      <c r="C10" s="240">
        <v>0</v>
      </c>
      <c r="D10" s="240">
        <v>0</v>
      </c>
      <c r="E10" s="230">
        <f t="shared" si="0"/>
        <v>0</v>
      </c>
      <c r="F10" s="240">
        <v>0</v>
      </c>
      <c r="G10" s="240">
        <v>0</v>
      </c>
      <c r="H10" s="241">
        <f t="shared" si="1"/>
        <v>0</v>
      </c>
    </row>
    <row r="11" spans="1:8" ht="15.75">
      <c r="A11" s="125">
        <v>2.2000000000000002</v>
      </c>
      <c r="B11" s="54" t="s">
        <v>100</v>
      </c>
      <c r="C11" s="240">
        <v>770577.75</v>
      </c>
      <c r="D11" s="240">
        <v>947428.23</v>
      </c>
      <c r="E11" s="230">
        <f t="shared" si="0"/>
        <v>1718005.98</v>
      </c>
      <c r="F11" s="240">
        <v>334508.56</v>
      </c>
      <c r="G11" s="240">
        <v>640533.82999999996</v>
      </c>
      <c r="H11" s="241">
        <f t="shared" si="1"/>
        <v>975042.3899999999</v>
      </c>
    </row>
    <row r="12" spans="1:8" ht="15.75">
      <c r="A12" s="125">
        <v>2.2999999999999998</v>
      </c>
      <c r="B12" s="54" t="s">
        <v>101</v>
      </c>
      <c r="C12" s="240">
        <v>0</v>
      </c>
      <c r="D12" s="240">
        <v>0</v>
      </c>
      <c r="E12" s="230">
        <f t="shared" si="0"/>
        <v>0</v>
      </c>
      <c r="F12" s="240">
        <v>0</v>
      </c>
      <c r="G12" s="240">
        <v>0</v>
      </c>
      <c r="H12" s="241">
        <f t="shared" si="1"/>
        <v>0</v>
      </c>
    </row>
    <row r="13" spans="1:8" ht="15.75">
      <c r="A13" s="125">
        <v>2.4</v>
      </c>
      <c r="B13" s="54" t="s">
        <v>102</v>
      </c>
      <c r="C13" s="240">
        <v>197481.43000000002</v>
      </c>
      <c r="D13" s="240">
        <v>4827.68</v>
      </c>
      <c r="E13" s="230">
        <f t="shared" si="0"/>
        <v>202309.11000000002</v>
      </c>
      <c r="F13" s="240">
        <v>50648.6</v>
      </c>
      <c r="G13" s="240">
        <v>13394.7</v>
      </c>
      <c r="H13" s="241">
        <f t="shared" si="1"/>
        <v>64043.3</v>
      </c>
    </row>
    <row r="14" spans="1:8" ht="15.75">
      <c r="A14" s="125">
        <v>2.5</v>
      </c>
      <c r="B14" s="54" t="s">
        <v>103</v>
      </c>
      <c r="C14" s="240">
        <v>53691.05</v>
      </c>
      <c r="D14" s="240">
        <v>165618.22</v>
      </c>
      <c r="E14" s="230">
        <f t="shared" si="0"/>
        <v>219309.27000000002</v>
      </c>
      <c r="F14" s="240">
        <v>41238.639999999999</v>
      </c>
      <c r="G14" s="240">
        <v>113680.97</v>
      </c>
      <c r="H14" s="241">
        <f t="shared" si="1"/>
        <v>154919.60999999999</v>
      </c>
    </row>
    <row r="15" spans="1:8" ht="15.75">
      <c r="A15" s="125">
        <v>2.6</v>
      </c>
      <c r="B15" s="54" t="s">
        <v>104</v>
      </c>
      <c r="C15" s="240">
        <v>151660.67000000001</v>
      </c>
      <c r="D15" s="240">
        <v>186440.67</v>
      </c>
      <c r="E15" s="230">
        <f t="shared" si="0"/>
        <v>338101.34</v>
      </c>
      <c r="F15" s="240">
        <v>133186.54</v>
      </c>
      <c r="G15" s="240">
        <v>95571.86</v>
      </c>
      <c r="H15" s="241">
        <f t="shared" si="1"/>
        <v>228758.40000000002</v>
      </c>
    </row>
    <row r="16" spans="1:8" ht="15.75">
      <c r="A16" s="125">
        <v>2.7</v>
      </c>
      <c r="B16" s="54" t="s">
        <v>105</v>
      </c>
      <c r="C16" s="240">
        <v>59044.83</v>
      </c>
      <c r="D16" s="240">
        <v>66565.72</v>
      </c>
      <c r="E16" s="230">
        <f t="shared" si="0"/>
        <v>125610.55</v>
      </c>
      <c r="F16" s="240">
        <v>42002.61</v>
      </c>
      <c r="G16" s="240">
        <v>60419.17</v>
      </c>
      <c r="H16" s="241">
        <f t="shared" si="1"/>
        <v>102421.78</v>
      </c>
    </row>
    <row r="17" spans="1:8" ht="15.75">
      <c r="A17" s="125">
        <v>2.8</v>
      </c>
      <c r="B17" s="54" t="s">
        <v>106</v>
      </c>
      <c r="C17" s="240">
        <v>139198597.25</v>
      </c>
      <c r="D17" s="240">
        <v>3149842.6999999997</v>
      </c>
      <c r="E17" s="230">
        <f t="shared" si="0"/>
        <v>142348439.94999999</v>
      </c>
      <c r="F17" s="240">
        <v>102385802.14</v>
      </c>
      <c r="G17" s="240">
        <v>2791825.47</v>
      </c>
      <c r="H17" s="241">
        <f t="shared" si="1"/>
        <v>105177627.61</v>
      </c>
    </row>
    <row r="18" spans="1:8" ht="15.75">
      <c r="A18" s="125">
        <v>2.9</v>
      </c>
      <c r="B18" s="54" t="s">
        <v>107</v>
      </c>
      <c r="C18" s="240">
        <v>76493.01999999999</v>
      </c>
      <c r="D18" s="240">
        <v>20258.150000000001</v>
      </c>
      <c r="E18" s="230">
        <f t="shared" si="0"/>
        <v>96751.169999999984</v>
      </c>
      <c r="F18" s="240">
        <v>44716.83</v>
      </c>
      <c r="G18" s="240">
        <v>22510.98</v>
      </c>
      <c r="H18" s="241">
        <f t="shared" si="1"/>
        <v>67227.81</v>
      </c>
    </row>
    <row r="19" spans="1:8" ht="15.75">
      <c r="A19" s="125">
        <v>3</v>
      </c>
      <c r="B19" s="53" t="s">
        <v>108</v>
      </c>
      <c r="C19" s="240">
        <v>9846835.6799999997</v>
      </c>
      <c r="D19" s="240">
        <v>207267.19999999998</v>
      </c>
      <c r="E19" s="230">
        <f t="shared" si="0"/>
        <v>10054102.879999999</v>
      </c>
      <c r="F19" s="240">
        <v>6371608.8899999997</v>
      </c>
      <c r="G19" s="240">
        <v>94621.29</v>
      </c>
      <c r="H19" s="241">
        <f t="shared" si="1"/>
        <v>6466230.1799999997</v>
      </c>
    </row>
    <row r="20" spans="1:8" ht="15.75">
      <c r="A20" s="125">
        <v>4</v>
      </c>
      <c r="B20" s="53" t="s">
        <v>109</v>
      </c>
      <c r="C20" s="240">
        <v>2383658.2000000002</v>
      </c>
      <c r="D20" s="240">
        <v>0</v>
      </c>
      <c r="E20" s="230">
        <f t="shared" si="0"/>
        <v>2383658.2000000002</v>
      </c>
      <c r="F20" s="240">
        <v>1823332.29</v>
      </c>
      <c r="G20" s="240">
        <v>0</v>
      </c>
      <c r="H20" s="241">
        <f t="shared" si="1"/>
        <v>1823332.29</v>
      </c>
    </row>
    <row r="21" spans="1:8" ht="15.75">
      <c r="A21" s="125">
        <v>5</v>
      </c>
      <c r="B21" s="53" t="s">
        <v>110</v>
      </c>
      <c r="C21" s="240">
        <v>0</v>
      </c>
      <c r="D21" s="240">
        <v>0</v>
      </c>
      <c r="E21" s="230">
        <f t="shared" si="0"/>
        <v>0</v>
      </c>
      <c r="F21" s="240">
        <v>0</v>
      </c>
      <c r="G21" s="240">
        <v>0</v>
      </c>
      <c r="H21" s="241">
        <f>F21+G21</f>
        <v>0</v>
      </c>
    </row>
    <row r="22" spans="1:8" ht="15.75">
      <c r="A22" s="125">
        <v>6</v>
      </c>
      <c r="B22" s="55" t="s">
        <v>111</v>
      </c>
      <c r="C22" s="242">
        <f>C8+C9+C19+C20+C21</f>
        <v>156493489.94</v>
      </c>
      <c r="D22" s="242">
        <f>D8+D9+D19+D20+D21</f>
        <v>4684515.99</v>
      </c>
      <c r="E22" s="230">
        <f>C22+D22</f>
        <v>161178005.93000001</v>
      </c>
      <c r="F22" s="242">
        <f>F8+F9+F19+F20+F21</f>
        <v>113787940.50000001</v>
      </c>
      <c r="G22" s="242">
        <f>G8+G9+G19+G20+G21</f>
        <v>3668950.3</v>
      </c>
      <c r="H22" s="241">
        <f>F22+G22</f>
        <v>117456890.80000001</v>
      </c>
    </row>
    <row r="23" spans="1:8" ht="15.75">
      <c r="A23" s="125"/>
      <c r="B23" s="51" t="s">
        <v>90</v>
      </c>
      <c r="C23" s="240"/>
      <c r="D23" s="240"/>
      <c r="E23" s="229"/>
      <c r="F23" s="240"/>
      <c r="G23" s="240"/>
      <c r="H23" s="243"/>
    </row>
    <row r="24" spans="1:8" ht="15.75">
      <c r="A24" s="125">
        <v>7</v>
      </c>
      <c r="B24" s="53" t="s">
        <v>112</v>
      </c>
      <c r="C24" s="240">
        <v>968941.64</v>
      </c>
      <c r="D24" s="240">
        <v>17557.82</v>
      </c>
      <c r="E24" s="230">
        <f t="shared" si="0"/>
        <v>986499.46</v>
      </c>
      <c r="F24" s="240">
        <v>586655.30000000005</v>
      </c>
      <c r="G24" s="240">
        <v>20566.3</v>
      </c>
      <c r="H24" s="241">
        <f t="shared" si="1"/>
        <v>607221.60000000009</v>
      </c>
    </row>
    <row r="25" spans="1:8" ht="15.75">
      <c r="A25" s="125">
        <v>8</v>
      </c>
      <c r="B25" s="53" t="s">
        <v>113</v>
      </c>
      <c r="C25" s="240">
        <v>17029059.59</v>
      </c>
      <c r="D25" s="240">
        <v>319825.44000000006</v>
      </c>
      <c r="E25" s="230">
        <f t="shared" si="0"/>
        <v>17348885.030000001</v>
      </c>
      <c r="F25" s="240">
        <v>3737885.2800000003</v>
      </c>
      <c r="G25" s="240">
        <v>146338.18</v>
      </c>
      <c r="H25" s="241">
        <f t="shared" si="1"/>
        <v>3884223.4600000004</v>
      </c>
    </row>
    <row r="26" spans="1:8" ht="15.75">
      <c r="A26" s="125">
        <v>9</v>
      </c>
      <c r="B26" s="53" t="s">
        <v>114</v>
      </c>
      <c r="C26" s="240">
        <v>37895.879999999997</v>
      </c>
      <c r="D26" s="240">
        <v>6293.06</v>
      </c>
      <c r="E26" s="230">
        <f t="shared" si="0"/>
        <v>44188.939999999995</v>
      </c>
      <c r="F26" s="240">
        <v>0</v>
      </c>
      <c r="G26" s="240">
        <v>1568.36</v>
      </c>
      <c r="H26" s="241">
        <f t="shared" si="1"/>
        <v>1568.36</v>
      </c>
    </row>
    <row r="27" spans="1:8" ht="15.75">
      <c r="A27" s="125">
        <v>10</v>
      </c>
      <c r="B27" s="53" t="s">
        <v>115</v>
      </c>
      <c r="C27" s="240">
        <v>0</v>
      </c>
      <c r="D27" s="240">
        <v>0</v>
      </c>
      <c r="E27" s="230">
        <f t="shared" si="0"/>
        <v>0</v>
      </c>
      <c r="F27" s="240">
        <v>0</v>
      </c>
      <c r="G27" s="240">
        <v>0</v>
      </c>
      <c r="H27" s="241">
        <f t="shared" si="1"/>
        <v>0</v>
      </c>
    </row>
    <row r="28" spans="1:8" ht="15.75">
      <c r="A28" s="125">
        <v>11</v>
      </c>
      <c r="B28" s="53" t="s">
        <v>116</v>
      </c>
      <c r="C28" s="240">
        <v>64911288.579999991</v>
      </c>
      <c r="D28" s="240">
        <v>3636774.15</v>
      </c>
      <c r="E28" s="230">
        <f t="shared" si="0"/>
        <v>68548062.729999989</v>
      </c>
      <c r="F28" s="240">
        <v>48937465.390000001</v>
      </c>
      <c r="G28" s="240">
        <v>5339068.3</v>
      </c>
      <c r="H28" s="241">
        <f t="shared" si="1"/>
        <v>54276533.689999998</v>
      </c>
    </row>
    <row r="29" spans="1:8" ht="15.75">
      <c r="A29" s="125">
        <v>12</v>
      </c>
      <c r="B29" s="53" t="s">
        <v>117</v>
      </c>
      <c r="C29" s="240">
        <v>0</v>
      </c>
      <c r="D29" s="240">
        <v>0</v>
      </c>
      <c r="E29" s="230">
        <f t="shared" si="0"/>
        <v>0</v>
      </c>
      <c r="F29" s="240">
        <v>0</v>
      </c>
      <c r="G29" s="240">
        <v>0</v>
      </c>
      <c r="H29" s="241">
        <f t="shared" si="1"/>
        <v>0</v>
      </c>
    </row>
    <row r="30" spans="1:8" ht="15.75">
      <c r="A30" s="125">
        <v>13</v>
      </c>
      <c r="B30" s="56" t="s">
        <v>118</v>
      </c>
      <c r="C30" s="242">
        <f>SUM(C24:C29)</f>
        <v>82947185.689999998</v>
      </c>
      <c r="D30" s="242">
        <f>SUM(D24:D29)</f>
        <v>3980450.4699999997</v>
      </c>
      <c r="E30" s="230">
        <f t="shared" si="0"/>
        <v>86927636.159999996</v>
      </c>
      <c r="F30" s="242">
        <f>SUM(F24:F29)</f>
        <v>53262005.969999999</v>
      </c>
      <c r="G30" s="242">
        <f>SUM(G24:G29)</f>
        <v>5507541.1399999997</v>
      </c>
      <c r="H30" s="241">
        <f t="shared" si="1"/>
        <v>58769547.109999999</v>
      </c>
    </row>
    <row r="31" spans="1:8" ht="15.75">
      <c r="A31" s="125">
        <v>14</v>
      </c>
      <c r="B31" s="56" t="s">
        <v>119</v>
      </c>
      <c r="C31" s="242">
        <f>C22-C30</f>
        <v>73546304.25</v>
      </c>
      <c r="D31" s="242">
        <f>D22-D30</f>
        <v>704065.52000000048</v>
      </c>
      <c r="E31" s="230">
        <f t="shared" si="0"/>
        <v>74250369.769999996</v>
      </c>
      <c r="F31" s="242">
        <f>F22-F30</f>
        <v>60525934.530000016</v>
      </c>
      <c r="G31" s="242">
        <f>G22-G30</f>
        <v>-1838590.8399999999</v>
      </c>
      <c r="H31" s="241">
        <f t="shared" si="1"/>
        <v>58687343.690000013</v>
      </c>
    </row>
    <row r="32" spans="1:8">
      <c r="A32" s="125"/>
      <c r="B32" s="51"/>
      <c r="C32" s="244"/>
      <c r="D32" s="244"/>
      <c r="E32" s="244"/>
      <c r="F32" s="244"/>
      <c r="G32" s="244"/>
      <c r="H32" s="245"/>
    </row>
    <row r="33" spans="1:8" ht="15.75">
      <c r="A33" s="125"/>
      <c r="B33" s="51" t="s">
        <v>120</v>
      </c>
      <c r="C33" s="240"/>
      <c r="D33" s="240"/>
      <c r="E33" s="229"/>
      <c r="F33" s="240"/>
      <c r="G33" s="240"/>
      <c r="H33" s="243"/>
    </row>
    <row r="34" spans="1:8" ht="15.75">
      <c r="A34" s="125">
        <v>15</v>
      </c>
      <c r="B34" s="50" t="s">
        <v>91</v>
      </c>
      <c r="C34" s="246">
        <f>C35-C36</f>
        <v>36763424.420000017</v>
      </c>
      <c r="D34" s="246">
        <f>D35-D36</f>
        <v>-161282.71999999997</v>
      </c>
      <c r="E34" s="230">
        <f t="shared" si="0"/>
        <v>36602141.700000018</v>
      </c>
      <c r="F34" s="246">
        <f>F35-F36</f>
        <v>32464987.640000008</v>
      </c>
      <c r="G34" s="246">
        <f>G35-G36</f>
        <v>-560734.9600000002</v>
      </c>
      <c r="H34" s="241">
        <f t="shared" si="1"/>
        <v>31904252.680000007</v>
      </c>
    </row>
    <row r="35" spans="1:8" ht="15.75">
      <c r="A35" s="125">
        <v>15.1</v>
      </c>
      <c r="B35" s="54" t="s">
        <v>121</v>
      </c>
      <c r="C35" s="240">
        <v>43821669.110000014</v>
      </c>
      <c r="D35" s="240">
        <v>1669960.43</v>
      </c>
      <c r="E35" s="230">
        <f t="shared" si="0"/>
        <v>45491629.540000014</v>
      </c>
      <c r="F35" s="240">
        <v>37312374.290000007</v>
      </c>
      <c r="G35" s="240">
        <v>974137.5299999998</v>
      </c>
      <c r="H35" s="241">
        <f t="shared" si="1"/>
        <v>38286511.820000008</v>
      </c>
    </row>
    <row r="36" spans="1:8" ht="15.75">
      <c r="A36" s="125">
        <v>15.2</v>
      </c>
      <c r="B36" s="54" t="s">
        <v>122</v>
      </c>
      <c r="C36" s="240">
        <v>7058244.6899999995</v>
      </c>
      <c r="D36" s="240">
        <v>1831243.15</v>
      </c>
      <c r="E36" s="230">
        <f t="shared" si="0"/>
        <v>8889487.8399999999</v>
      </c>
      <c r="F36" s="240">
        <v>4847386.6500000004</v>
      </c>
      <c r="G36" s="240">
        <v>1534872.49</v>
      </c>
      <c r="H36" s="241">
        <f t="shared" si="1"/>
        <v>6382259.1400000006</v>
      </c>
    </row>
    <row r="37" spans="1:8" ht="15.75">
      <c r="A37" s="125">
        <v>16</v>
      </c>
      <c r="B37" s="53" t="s">
        <v>123</v>
      </c>
      <c r="C37" s="240">
        <v>0</v>
      </c>
      <c r="D37" s="240">
        <v>0</v>
      </c>
      <c r="E37" s="230">
        <f t="shared" si="0"/>
        <v>0</v>
      </c>
      <c r="F37" s="240">
        <v>0</v>
      </c>
      <c r="G37" s="240">
        <v>0</v>
      </c>
      <c r="H37" s="241">
        <f t="shared" si="1"/>
        <v>0</v>
      </c>
    </row>
    <row r="38" spans="1:8" ht="15.75">
      <c r="A38" s="125">
        <v>17</v>
      </c>
      <c r="B38" s="53" t="s">
        <v>124</v>
      </c>
      <c r="C38" s="240">
        <v>0</v>
      </c>
      <c r="D38" s="240">
        <v>0</v>
      </c>
      <c r="E38" s="230">
        <f t="shared" si="0"/>
        <v>0</v>
      </c>
      <c r="F38" s="240">
        <v>0</v>
      </c>
      <c r="G38" s="240">
        <v>0</v>
      </c>
      <c r="H38" s="241">
        <f t="shared" si="1"/>
        <v>0</v>
      </c>
    </row>
    <row r="39" spans="1:8" ht="15.75">
      <c r="A39" s="125">
        <v>18</v>
      </c>
      <c r="B39" s="53" t="s">
        <v>125</v>
      </c>
      <c r="C39" s="240">
        <v>0</v>
      </c>
      <c r="D39" s="240">
        <v>0</v>
      </c>
      <c r="E39" s="230">
        <f t="shared" si="0"/>
        <v>0</v>
      </c>
      <c r="F39" s="240">
        <v>0</v>
      </c>
      <c r="G39" s="240">
        <v>0</v>
      </c>
      <c r="H39" s="241">
        <f t="shared" si="1"/>
        <v>0</v>
      </c>
    </row>
    <row r="40" spans="1:8" ht="15.75">
      <c r="A40" s="125">
        <v>19</v>
      </c>
      <c r="B40" s="53" t="s">
        <v>126</v>
      </c>
      <c r="C40" s="240">
        <v>314633.20000000112</v>
      </c>
      <c r="D40" s="240"/>
      <c r="E40" s="230">
        <f t="shared" si="0"/>
        <v>314633.20000000112</v>
      </c>
      <c r="F40" s="240">
        <v>-2089374.6600000006</v>
      </c>
      <c r="G40" s="240"/>
      <c r="H40" s="241">
        <f t="shared" si="1"/>
        <v>-2089374.6600000006</v>
      </c>
    </row>
    <row r="41" spans="1:8" ht="15.75">
      <c r="A41" s="125">
        <v>20</v>
      </c>
      <c r="B41" s="53" t="s">
        <v>127</v>
      </c>
      <c r="C41" s="240">
        <v>-562338.54000008106</v>
      </c>
      <c r="D41" s="240"/>
      <c r="E41" s="230">
        <f t="shared" si="0"/>
        <v>-562338.54000008106</v>
      </c>
      <c r="F41" s="240">
        <v>-682716.8600002937</v>
      </c>
      <c r="G41" s="240"/>
      <c r="H41" s="241">
        <f t="shared" si="1"/>
        <v>-682716.8600002937</v>
      </c>
    </row>
    <row r="42" spans="1:8" ht="15.75">
      <c r="A42" s="125">
        <v>21</v>
      </c>
      <c r="B42" s="53" t="s">
        <v>128</v>
      </c>
      <c r="C42" s="240">
        <v>16386.960000000006</v>
      </c>
      <c r="D42" s="240">
        <v>0</v>
      </c>
      <c r="E42" s="230">
        <f t="shared" si="0"/>
        <v>16386.960000000006</v>
      </c>
      <c r="F42" s="240">
        <v>14648.570000000036</v>
      </c>
      <c r="G42" s="240">
        <v>0</v>
      </c>
      <c r="H42" s="241">
        <f t="shared" si="1"/>
        <v>14648.570000000036</v>
      </c>
    </row>
    <row r="43" spans="1:8" ht="15.75">
      <c r="A43" s="125">
        <v>22</v>
      </c>
      <c r="B43" s="53" t="s">
        <v>129</v>
      </c>
      <c r="C43" s="240">
        <v>27558.170000000002</v>
      </c>
      <c r="D43" s="240">
        <v>452.21</v>
      </c>
      <c r="E43" s="230">
        <f t="shared" si="0"/>
        <v>28010.38</v>
      </c>
      <c r="F43" s="240">
        <v>12549.82</v>
      </c>
      <c r="G43" s="240">
        <v>72.489999999999995</v>
      </c>
      <c r="H43" s="241">
        <f t="shared" si="1"/>
        <v>12622.31</v>
      </c>
    </row>
    <row r="44" spans="1:8" ht="15.75">
      <c r="A44" s="125">
        <v>23</v>
      </c>
      <c r="B44" s="53" t="s">
        <v>130</v>
      </c>
      <c r="C44" s="240">
        <v>157776.84</v>
      </c>
      <c r="D44" s="240">
        <v>0</v>
      </c>
      <c r="E44" s="230">
        <f t="shared" si="0"/>
        <v>157776.84</v>
      </c>
      <c r="F44" s="240">
        <v>247371.10000000003</v>
      </c>
      <c r="G44" s="240">
        <v>0</v>
      </c>
      <c r="H44" s="241">
        <f t="shared" si="1"/>
        <v>247371.10000000003</v>
      </c>
    </row>
    <row r="45" spans="1:8" ht="15.75">
      <c r="A45" s="125">
        <v>24</v>
      </c>
      <c r="B45" s="56" t="s">
        <v>131</v>
      </c>
      <c r="C45" s="242">
        <f>C34+C37+C38+C39+C40+C41+C42+C43+C44</f>
        <v>36717441.049999945</v>
      </c>
      <c r="D45" s="242">
        <f>D34+D37+D38+D39+D40+D41+D42+D43+D44</f>
        <v>-160830.50999999998</v>
      </c>
      <c r="E45" s="230">
        <f t="shared" si="0"/>
        <v>36556610.539999947</v>
      </c>
      <c r="F45" s="242">
        <f>F34+F37+F38+F39+F40+F41+F42+F43+F44</f>
        <v>29967465.609999716</v>
      </c>
      <c r="G45" s="242">
        <f>G34+G37+G38+G39+G40+G41+G42+G43+G44</f>
        <v>-560662.4700000002</v>
      </c>
      <c r="H45" s="241">
        <f t="shared" si="1"/>
        <v>29406803.139999717</v>
      </c>
    </row>
    <row r="46" spans="1:8">
      <c r="A46" s="125"/>
      <c r="B46" s="51" t="s">
        <v>132</v>
      </c>
      <c r="C46" s="240"/>
      <c r="D46" s="240"/>
      <c r="E46" s="240"/>
      <c r="F46" s="240"/>
      <c r="G46" s="240"/>
      <c r="H46" s="247"/>
    </row>
    <row r="47" spans="1:8" ht="15.75">
      <c r="A47" s="125">
        <v>25</v>
      </c>
      <c r="B47" s="53" t="s">
        <v>133</v>
      </c>
      <c r="C47" s="240">
        <v>1762533.71</v>
      </c>
      <c r="D47" s="240">
        <v>110708.17</v>
      </c>
      <c r="E47" s="230">
        <f t="shared" si="0"/>
        <v>1873241.88</v>
      </c>
      <c r="F47" s="240">
        <v>1197135.77</v>
      </c>
      <c r="G47" s="240">
        <v>107179.52</v>
      </c>
      <c r="H47" s="241">
        <f t="shared" si="1"/>
        <v>1304315.29</v>
      </c>
    </row>
    <row r="48" spans="1:8" ht="15.75">
      <c r="A48" s="125">
        <v>26</v>
      </c>
      <c r="B48" s="53" t="s">
        <v>134</v>
      </c>
      <c r="C48" s="240">
        <v>2493709.27</v>
      </c>
      <c r="D48" s="240">
        <v>346402.44999999995</v>
      </c>
      <c r="E48" s="230">
        <f t="shared" si="0"/>
        <v>2840111.7199999997</v>
      </c>
      <c r="F48" s="240">
        <v>1420321.15</v>
      </c>
      <c r="G48" s="240">
        <v>216828.93000000002</v>
      </c>
      <c r="H48" s="241">
        <f t="shared" si="1"/>
        <v>1637150.0799999998</v>
      </c>
    </row>
    <row r="49" spans="1:9" ht="15.75">
      <c r="A49" s="125">
        <v>27</v>
      </c>
      <c r="B49" s="53" t="s">
        <v>135</v>
      </c>
      <c r="C49" s="240">
        <v>50782628.760000013</v>
      </c>
      <c r="D49" s="240"/>
      <c r="E49" s="230">
        <f t="shared" si="0"/>
        <v>50782628.760000013</v>
      </c>
      <c r="F49" s="240">
        <v>39008257.539999999</v>
      </c>
      <c r="G49" s="240"/>
      <c r="H49" s="241">
        <f t="shared" si="1"/>
        <v>39008257.539999999</v>
      </c>
    </row>
    <row r="50" spans="1:9" ht="15.75">
      <c r="A50" s="125">
        <v>28</v>
      </c>
      <c r="B50" s="53" t="s">
        <v>270</v>
      </c>
      <c r="C50" s="240">
        <v>822356.54</v>
      </c>
      <c r="D50" s="240"/>
      <c r="E50" s="230">
        <f t="shared" si="0"/>
        <v>822356.54</v>
      </c>
      <c r="F50" s="240">
        <v>486666.82999999996</v>
      </c>
      <c r="G50" s="240"/>
      <c r="H50" s="241">
        <f t="shared" si="1"/>
        <v>486666.82999999996</v>
      </c>
    </row>
    <row r="51" spans="1:9" ht="15.75">
      <c r="A51" s="125">
        <v>29</v>
      </c>
      <c r="B51" s="53" t="s">
        <v>136</v>
      </c>
      <c r="C51" s="240">
        <v>8064185.2000000011</v>
      </c>
      <c r="D51" s="240"/>
      <c r="E51" s="230">
        <f t="shared" si="0"/>
        <v>8064185.2000000011</v>
      </c>
      <c r="F51" s="240">
        <v>5818585.4600000009</v>
      </c>
      <c r="G51" s="240"/>
      <c r="H51" s="241">
        <f t="shared" si="1"/>
        <v>5818585.4600000009</v>
      </c>
    </row>
    <row r="52" spans="1:9" ht="15.75">
      <c r="A52" s="125">
        <v>30</v>
      </c>
      <c r="B52" s="53" t="s">
        <v>137</v>
      </c>
      <c r="C52" s="240">
        <v>10674112.029999999</v>
      </c>
      <c r="D52" s="240">
        <v>70498.97</v>
      </c>
      <c r="E52" s="230">
        <f t="shared" si="0"/>
        <v>10744611</v>
      </c>
      <c r="F52" s="240">
        <v>7832216.1499999994</v>
      </c>
      <c r="G52" s="240">
        <v>911445.69000000006</v>
      </c>
      <c r="H52" s="241">
        <f t="shared" si="1"/>
        <v>8743661.8399999999</v>
      </c>
    </row>
    <row r="53" spans="1:9" ht="15.75">
      <c r="A53" s="125">
        <v>31</v>
      </c>
      <c r="B53" s="56" t="s">
        <v>138</v>
      </c>
      <c r="C53" s="242">
        <f>C47+C48+C49+C50+C51+C52</f>
        <v>74599525.510000005</v>
      </c>
      <c r="D53" s="242">
        <f>D47+D48+D49+D50+D51+D52</f>
        <v>527609.59</v>
      </c>
      <c r="E53" s="230">
        <f t="shared" si="0"/>
        <v>75127135.100000009</v>
      </c>
      <c r="F53" s="242">
        <f>F47+F48+F49+F50+F51+F52</f>
        <v>55763182.899999999</v>
      </c>
      <c r="G53" s="242">
        <f>G47+G48+G49+G50+G51+G52</f>
        <v>1235454.1400000001</v>
      </c>
      <c r="H53" s="241">
        <f t="shared" si="1"/>
        <v>56998637.039999999</v>
      </c>
    </row>
    <row r="54" spans="1:9" ht="15.75">
      <c r="A54" s="125">
        <v>32</v>
      </c>
      <c r="B54" s="56" t="s">
        <v>139</v>
      </c>
      <c r="C54" s="242">
        <f>C45-C53</f>
        <v>-37882084.46000006</v>
      </c>
      <c r="D54" s="242">
        <f>D45-D53</f>
        <v>-688440.1</v>
      </c>
      <c r="E54" s="230">
        <f t="shared" si="0"/>
        <v>-38570524.560000062</v>
      </c>
      <c r="F54" s="242">
        <f>F45-F53</f>
        <v>-25795717.290000282</v>
      </c>
      <c r="G54" s="242">
        <f>G45-G53</f>
        <v>-1796116.6100000003</v>
      </c>
      <c r="H54" s="241">
        <f t="shared" si="1"/>
        <v>-27591833.900000282</v>
      </c>
    </row>
    <row r="55" spans="1:9">
      <c r="A55" s="125"/>
      <c r="B55" s="51"/>
      <c r="C55" s="244"/>
      <c r="D55" s="244"/>
      <c r="E55" s="244"/>
      <c r="F55" s="244"/>
      <c r="G55" s="244"/>
      <c r="H55" s="245"/>
    </row>
    <row r="56" spans="1:9" ht="15.75">
      <c r="A56" s="125">
        <v>33</v>
      </c>
      <c r="B56" s="56" t="s">
        <v>140</v>
      </c>
      <c r="C56" s="242">
        <f>C31+C54</f>
        <v>35664219.78999994</v>
      </c>
      <c r="D56" s="242">
        <f>D31+D54</f>
        <v>15625.420000000508</v>
      </c>
      <c r="E56" s="230">
        <f t="shared" si="0"/>
        <v>35679845.209999941</v>
      </c>
      <c r="F56" s="242">
        <f>F31+F54</f>
        <v>34730217.239999734</v>
      </c>
      <c r="G56" s="242">
        <f>G31+G54</f>
        <v>-3634707.45</v>
      </c>
      <c r="H56" s="241">
        <f t="shared" si="1"/>
        <v>31095509.789999735</v>
      </c>
    </row>
    <row r="57" spans="1:9">
      <c r="A57" s="125"/>
      <c r="B57" s="51"/>
      <c r="C57" s="244"/>
      <c r="D57" s="244"/>
      <c r="E57" s="244"/>
      <c r="F57" s="244"/>
      <c r="G57" s="244"/>
      <c r="H57" s="245"/>
    </row>
    <row r="58" spans="1:9" ht="15.75">
      <c r="A58" s="125">
        <v>34</v>
      </c>
      <c r="B58" s="53" t="s">
        <v>141</v>
      </c>
      <c r="C58" s="240">
        <v>19555676.649999999</v>
      </c>
      <c r="D58" s="240"/>
      <c r="E58" s="230">
        <f t="shared" si="0"/>
        <v>19555676.649999999</v>
      </c>
      <c r="F58" s="240">
        <v>11090675.689999998</v>
      </c>
      <c r="G58" s="240"/>
      <c r="H58" s="241">
        <f t="shared" si="1"/>
        <v>11090675.689999998</v>
      </c>
    </row>
    <row r="59" spans="1:9" s="203" customFormat="1" ht="15.75">
      <c r="A59" s="125">
        <v>35</v>
      </c>
      <c r="B59" s="50" t="s">
        <v>142</v>
      </c>
      <c r="C59" s="248"/>
      <c r="D59" s="248"/>
      <c r="E59" s="249">
        <f t="shared" si="0"/>
        <v>0</v>
      </c>
      <c r="F59" s="250"/>
      <c r="G59" s="250"/>
      <c r="H59" s="251">
        <f t="shared" si="1"/>
        <v>0</v>
      </c>
      <c r="I59" s="202"/>
    </row>
    <row r="60" spans="1:9" ht="15.75">
      <c r="A60" s="125">
        <v>36</v>
      </c>
      <c r="B60" s="53" t="s">
        <v>143</v>
      </c>
      <c r="C60" s="240">
        <v>844499.75</v>
      </c>
      <c r="D60" s="240"/>
      <c r="E60" s="230">
        <f t="shared" si="0"/>
        <v>844499.75</v>
      </c>
      <c r="F60" s="240">
        <v>256468.54</v>
      </c>
      <c r="G60" s="240"/>
      <c r="H60" s="241">
        <f t="shared" si="1"/>
        <v>256468.54</v>
      </c>
    </row>
    <row r="61" spans="1:9" ht="15.75">
      <c r="A61" s="125">
        <v>37</v>
      </c>
      <c r="B61" s="56" t="s">
        <v>144</v>
      </c>
      <c r="C61" s="242">
        <f>C58+C59+C60</f>
        <v>20400176.399999999</v>
      </c>
      <c r="D61" s="242">
        <f>D58+D59+D60</f>
        <v>0</v>
      </c>
      <c r="E61" s="230">
        <f t="shared" si="0"/>
        <v>20400176.399999999</v>
      </c>
      <c r="F61" s="242">
        <f>F58+F59+F60</f>
        <v>11347144.229999997</v>
      </c>
      <c r="G61" s="242">
        <f>G58+G59+G60</f>
        <v>0</v>
      </c>
      <c r="H61" s="241">
        <f t="shared" si="1"/>
        <v>11347144.229999997</v>
      </c>
    </row>
    <row r="62" spans="1:9">
      <c r="A62" s="125"/>
      <c r="B62" s="57"/>
      <c r="C62" s="240"/>
      <c r="D62" s="240"/>
      <c r="E62" s="240"/>
      <c r="F62" s="240"/>
      <c r="G62" s="240"/>
      <c r="H62" s="247"/>
    </row>
    <row r="63" spans="1:9" ht="15.75">
      <c r="A63" s="125">
        <v>38</v>
      </c>
      <c r="B63" s="58" t="s">
        <v>271</v>
      </c>
      <c r="C63" s="242">
        <f>C56-C61</f>
        <v>15264043.389999941</v>
      </c>
      <c r="D63" s="242">
        <f>D56-D61</f>
        <v>15625.420000000508</v>
      </c>
      <c r="E63" s="230">
        <f t="shared" si="0"/>
        <v>15279668.809999941</v>
      </c>
      <c r="F63" s="242">
        <f>F56-F61</f>
        <v>23383073.009999737</v>
      </c>
      <c r="G63" s="242">
        <f>G56-G61</f>
        <v>-3634707.45</v>
      </c>
      <c r="H63" s="241">
        <f t="shared" si="1"/>
        <v>19748365.559999738</v>
      </c>
    </row>
    <row r="64" spans="1:9" ht="15.75">
      <c r="A64" s="123">
        <v>39</v>
      </c>
      <c r="B64" s="53" t="s">
        <v>145</v>
      </c>
      <c r="C64" s="252">
        <v>2264884.540000001</v>
      </c>
      <c r="D64" s="252"/>
      <c r="E64" s="230">
        <f t="shared" si="0"/>
        <v>2264884.540000001</v>
      </c>
      <c r="F64" s="252">
        <v>3216986.33</v>
      </c>
      <c r="G64" s="252"/>
      <c r="H64" s="241">
        <f t="shared" si="1"/>
        <v>3216986.33</v>
      </c>
    </row>
    <row r="65" spans="1:8" ht="15.75">
      <c r="A65" s="125">
        <v>40</v>
      </c>
      <c r="B65" s="56" t="s">
        <v>146</v>
      </c>
      <c r="C65" s="242">
        <f>C63-C64</f>
        <v>12999158.84999994</v>
      </c>
      <c r="D65" s="242">
        <f>D63-D64</f>
        <v>15625.420000000508</v>
      </c>
      <c r="E65" s="230">
        <f t="shared" si="0"/>
        <v>13014784.26999994</v>
      </c>
      <c r="F65" s="242">
        <f>F63-F64</f>
        <v>20166086.679999739</v>
      </c>
      <c r="G65" s="242">
        <f>G63-G64</f>
        <v>-3634707.45</v>
      </c>
      <c r="H65" s="241">
        <f t="shared" si="1"/>
        <v>16531379.22999974</v>
      </c>
    </row>
    <row r="66" spans="1:8" ht="15.75">
      <c r="A66" s="123">
        <v>41</v>
      </c>
      <c r="B66" s="53" t="s">
        <v>147</v>
      </c>
      <c r="C66" s="252">
        <v>-180438.6</v>
      </c>
      <c r="D66" s="252"/>
      <c r="E66" s="230">
        <f t="shared" si="0"/>
        <v>-180438.6</v>
      </c>
      <c r="F66" s="252">
        <v>-1790.15</v>
      </c>
      <c r="G66" s="252"/>
      <c r="H66" s="241">
        <f t="shared" si="1"/>
        <v>-1790.15</v>
      </c>
    </row>
    <row r="67" spans="1:8" ht="16.5" thickBot="1">
      <c r="A67" s="127">
        <v>42</v>
      </c>
      <c r="B67" s="128" t="s">
        <v>148</v>
      </c>
      <c r="C67" s="253">
        <f>C65+C66</f>
        <v>12818720.24999994</v>
      </c>
      <c r="D67" s="253">
        <f>D65+D66</f>
        <v>15625.420000000508</v>
      </c>
      <c r="E67" s="238">
        <f t="shared" si="0"/>
        <v>12834345.66999994</v>
      </c>
      <c r="F67" s="253">
        <f>F65+F66</f>
        <v>20164296.52999974</v>
      </c>
      <c r="G67" s="253">
        <f>G65+G66</f>
        <v>-3634707.45</v>
      </c>
      <c r="H67" s="254">
        <f t="shared" si="1"/>
        <v>16529589.079999741</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5" zoomScaleNormal="100" workbookViewId="0">
      <selection activeCell="C39" sqref="C39"/>
    </sheetView>
  </sheetViews>
  <sheetFormatPr defaultRowHeight="15"/>
  <cols>
    <col min="1" max="1" width="9.5703125" bestFit="1" customWidth="1"/>
    <col min="2" max="2" width="72.28515625" customWidth="1"/>
    <col min="3" max="8" width="12.7109375" customWidth="1"/>
  </cols>
  <sheetData>
    <row r="1" spans="1:8">
      <c r="A1" s="2" t="s">
        <v>188</v>
      </c>
      <c r="B1" t="str">
        <f>Info!C2</f>
        <v>სს "კრედო ბანკი"</v>
      </c>
    </row>
    <row r="2" spans="1:8">
      <c r="A2" s="2" t="s">
        <v>189</v>
      </c>
      <c r="B2" s="469">
        <f>'1. key ratios'!B2</f>
        <v>44742</v>
      </c>
    </row>
    <row r="3" spans="1:8">
      <c r="A3" s="2"/>
    </row>
    <row r="4" spans="1:8" ht="16.5" thickBot="1">
      <c r="A4" s="2" t="s">
        <v>330</v>
      </c>
      <c r="B4" s="2"/>
      <c r="C4" s="212"/>
      <c r="D4" s="212"/>
      <c r="E4" s="212"/>
      <c r="F4" s="213"/>
      <c r="G4" s="213"/>
      <c r="H4" s="214" t="s">
        <v>93</v>
      </c>
    </row>
    <row r="5" spans="1:8" ht="15.75">
      <c r="A5" s="719" t="s">
        <v>26</v>
      </c>
      <c r="B5" s="721" t="s">
        <v>244</v>
      </c>
      <c r="C5" s="723" t="s">
        <v>194</v>
      </c>
      <c r="D5" s="723"/>
      <c r="E5" s="723"/>
      <c r="F5" s="723" t="s">
        <v>195</v>
      </c>
      <c r="G5" s="723"/>
      <c r="H5" s="724"/>
    </row>
    <row r="6" spans="1:8">
      <c r="A6" s="720"/>
      <c r="B6" s="722"/>
      <c r="C6" s="38" t="s">
        <v>27</v>
      </c>
      <c r="D6" s="38" t="s">
        <v>94</v>
      </c>
      <c r="E6" s="38" t="s">
        <v>68</v>
      </c>
      <c r="F6" s="38" t="s">
        <v>27</v>
      </c>
      <c r="G6" s="38" t="s">
        <v>94</v>
      </c>
      <c r="H6" s="39" t="s">
        <v>68</v>
      </c>
    </row>
    <row r="7" spans="1:8" s="3" customFormat="1" ht="15.75">
      <c r="A7" s="215">
        <v>1</v>
      </c>
      <c r="B7" s="216" t="s">
        <v>365</v>
      </c>
      <c r="C7" s="712">
        <f t="shared" ref="C7:D7" si="0">SUM(C8:C11)</f>
        <v>28371082.990000002</v>
      </c>
      <c r="D7" s="712">
        <f t="shared" si="0"/>
        <v>7310536</v>
      </c>
      <c r="E7" s="255">
        <f>SUM(E8:E11)</f>
        <v>35681618.990000002</v>
      </c>
      <c r="F7" s="712">
        <f t="shared" ref="F7:G7" si="1">SUM(F8:F11)</f>
        <v>28557316.120000001</v>
      </c>
      <c r="G7" s="712">
        <f t="shared" si="1"/>
        <v>2660827.09</v>
      </c>
      <c r="H7" s="255">
        <f>SUM(H8:H11)</f>
        <v>31218143.210000001</v>
      </c>
    </row>
    <row r="8" spans="1:8" s="3" customFormat="1" ht="15.75">
      <c r="A8" s="215">
        <v>1.1000000000000001</v>
      </c>
      <c r="B8" s="217" t="s">
        <v>275</v>
      </c>
      <c r="C8" s="232">
        <v>188756</v>
      </c>
      <c r="D8" s="232"/>
      <c r="E8" s="255">
        <f t="shared" ref="E8:E53" si="2">C8+D8</f>
        <v>188756</v>
      </c>
      <c r="F8" s="232">
        <v>35000</v>
      </c>
      <c r="G8" s="232"/>
      <c r="H8" s="233">
        <f t="shared" ref="H8:H53" si="3">F8+G8</f>
        <v>35000</v>
      </c>
    </row>
    <row r="9" spans="1:8" s="3" customFormat="1" ht="15.75">
      <c r="A9" s="215">
        <v>1.2</v>
      </c>
      <c r="B9" s="217" t="s">
        <v>276</v>
      </c>
      <c r="C9" s="232"/>
      <c r="D9" s="232"/>
      <c r="E9" s="255">
        <f t="shared" si="2"/>
        <v>0</v>
      </c>
      <c r="F9" s="232"/>
      <c r="G9" s="232"/>
      <c r="H9" s="233">
        <f t="shared" si="3"/>
        <v>0</v>
      </c>
    </row>
    <row r="10" spans="1:8" s="3" customFormat="1" ht="15.75">
      <c r="A10" s="215">
        <v>1.3</v>
      </c>
      <c r="B10" s="217" t="s">
        <v>277</v>
      </c>
      <c r="C10" s="232">
        <v>18318042</v>
      </c>
      <c r="D10" s="232">
        <v>7310536</v>
      </c>
      <c r="E10" s="255">
        <f t="shared" si="2"/>
        <v>25628578</v>
      </c>
      <c r="F10" s="232">
        <v>4183687.45</v>
      </c>
      <c r="G10" s="232">
        <v>2660827.09</v>
      </c>
      <c r="H10" s="233">
        <f t="shared" si="3"/>
        <v>6844514.54</v>
      </c>
    </row>
    <row r="11" spans="1:8" s="3" customFormat="1" ht="15.75">
      <c r="A11" s="215">
        <v>1.4</v>
      </c>
      <c r="B11" s="217" t="s">
        <v>278</v>
      </c>
      <c r="C11" s="232">
        <v>9864284.9900000002</v>
      </c>
      <c r="D11" s="232"/>
      <c r="E11" s="255">
        <f t="shared" si="2"/>
        <v>9864284.9900000002</v>
      </c>
      <c r="F11" s="232">
        <v>24338628.670000002</v>
      </c>
      <c r="G11" s="232"/>
      <c r="H11" s="233">
        <f t="shared" si="3"/>
        <v>24338628.670000002</v>
      </c>
    </row>
    <row r="12" spans="1:8" s="3" customFormat="1" ht="29.25" customHeight="1">
      <c r="A12" s="215">
        <v>2</v>
      </c>
      <c r="B12" s="216" t="s">
        <v>279</v>
      </c>
      <c r="C12" s="232"/>
      <c r="D12" s="232"/>
      <c r="E12" s="255">
        <f t="shared" si="2"/>
        <v>0</v>
      </c>
      <c r="F12" s="232"/>
      <c r="G12" s="232"/>
      <c r="H12" s="233">
        <f t="shared" si="3"/>
        <v>0</v>
      </c>
    </row>
    <row r="13" spans="1:8" s="3" customFormat="1" ht="25.5">
      <c r="A13" s="215">
        <v>3</v>
      </c>
      <c r="B13" s="216" t="s">
        <v>280</v>
      </c>
      <c r="C13" s="232"/>
      <c r="D13" s="232"/>
      <c r="E13" s="255">
        <f t="shared" si="2"/>
        <v>0</v>
      </c>
      <c r="F13" s="232"/>
      <c r="G13" s="232"/>
      <c r="H13" s="233">
        <f t="shared" si="3"/>
        <v>0</v>
      </c>
    </row>
    <row r="14" spans="1:8" s="3" customFormat="1" ht="15.75">
      <c r="A14" s="215">
        <v>3.1</v>
      </c>
      <c r="B14" s="217" t="s">
        <v>281</v>
      </c>
      <c r="C14" s="232"/>
      <c r="D14" s="232"/>
      <c r="E14" s="255">
        <f t="shared" si="2"/>
        <v>0</v>
      </c>
      <c r="F14" s="232"/>
      <c r="G14" s="232"/>
      <c r="H14" s="233">
        <f t="shared" si="3"/>
        <v>0</v>
      </c>
    </row>
    <row r="15" spans="1:8" s="3" customFormat="1" ht="15.75">
      <c r="A15" s="215">
        <v>3.2</v>
      </c>
      <c r="B15" s="217" t="s">
        <v>282</v>
      </c>
      <c r="C15" s="232"/>
      <c r="D15" s="232"/>
      <c r="E15" s="255">
        <f t="shared" si="2"/>
        <v>0</v>
      </c>
      <c r="F15" s="232"/>
      <c r="G15" s="232"/>
      <c r="H15" s="233">
        <f t="shared" si="3"/>
        <v>0</v>
      </c>
    </row>
    <row r="16" spans="1:8" s="3" customFormat="1" ht="15.75">
      <c r="A16" s="215">
        <v>4</v>
      </c>
      <c r="B16" s="216" t="s">
        <v>283</v>
      </c>
      <c r="C16" s="232"/>
      <c r="D16" s="232"/>
      <c r="E16" s="255">
        <f>E17+E18</f>
        <v>933415258.72000003</v>
      </c>
      <c r="F16" s="232"/>
      <c r="G16" s="232"/>
      <c r="H16" s="255">
        <f>H17+H18</f>
        <v>5482383.2199999997</v>
      </c>
    </row>
    <row r="17" spans="1:8" s="3" customFormat="1" ht="15.75">
      <c r="A17" s="215">
        <v>4.0999999999999996</v>
      </c>
      <c r="B17" s="217" t="s">
        <v>284</v>
      </c>
      <c r="C17" s="232">
        <v>933149153.72000003</v>
      </c>
      <c r="D17" s="232"/>
      <c r="E17" s="255">
        <f t="shared" si="2"/>
        <v>933149153.72000003</v>
      </c>
      <c r="F17" s="232">
        <v>5482383.2199999997</v>
      </c>
      <c r="G17" s="232"/>
      <c r="H17" s="233">
        <f t="shared" si="3"/>
        <v>5482383.2199999997</v>
      </c>
    </row>
    <row r="18" spans="1:8" s="3" customFormat="1" ht="15.75">
      <c r="A18" s="215">
        <v>4.2</v>
      </c>
      <c r="B18" s="217" t="s">
        <v>285</v>
      </c>
      <c r="C18" s="232">
        <v>266105</v>
      </c>
      <c r="D18" s="232"/>
      <c r="E18" s="255">
        <f t="shared" si="2"/>
        <v>266105</v>
      </c>
      <c r="F18" s="232"/>
      <c r="G18" s="232"/>
      <c r="H18" s="233">
        <f t="shared" si="3"/>
        <v>0</v>
      </c>
    </row>
    <row r="19" spans="1:8" s="3" customFormat="1" ht="25.5">
      <c r="A19" s="215">
        <v>5</v>
      </c>
      <c r="B19" s="216" t="s">
        <v>286</v>
      </c>
      <c r="C19" s="232"/>
      <c r="D19" s="232"/>
      <c r="E19" s="255">
        <f>E20+E21+E22+E28</f>
        <v>713068170.28000009</v>
      </c>
      <c r="F19" s="232"/>
      <c r="G19" s="232"/>
      <c r="H19" s="255">
        <f>H20+H21+H22+H28</f>
        <v>741290182.71000004</v>
      </c>
    </row>
    <row r="20" spans="1:8" s="3" customFormat="1" ht="15.75">
      <c r="A20" s="215">
        <v>5.0999999999999996</v>
      </c>
      <c r="B20" s="217" t="s">
        <v>287</v>
      </c>
      <c r="C20" s="232">
        <v>11188706.810000001</v>
      </c>
      <c r="D20" s="232"/>
      <c r="E20" s="255">
        <f t="shared" si="2"/>
        <v>11188706.810000001</v>
      </c>
      <c r="F20" s="232">
        <v>2242572.98</v>
      </c>
      <c r="G20" s="232"/>
      <c r="H20" s="233">
        <f t="shared" si="3"/>
        <v>2242572.98</v>
      </c>
    </row>
    <row r="21" spans="1:8" s="3" customFormat="1" ht="15.75">
      <c r="A21" s="215">
        <v>5.2</v>
      </c>
      <c r="B21" s="217" t="s">
        <v>288</v>
      </c>
      <c r="C21" s="232">
        <v>45090.78</v>
      </c>
      <c r="D21" s="232"/>
      <c r="E21" s="255">
        <f t="shared" si="2"/>
        <v>45090.78</v>
      </c>
      <c r="F21" s="232">
        <v>191949.16</v>
      </c>
      <c r="G21" s="232"/>
      <c r="H21" s="233">
        <f t="shared" si="3"/>
        <v>191949.16</v>
      </c>
    </row>
    <row r="22" spans="1:8" s="3" customFormat="1" ht="15.75">
      <c r="A22" s="215">
        <v>5.3</v>
      </c>
      <c r="B22" s="217" t="s">
        <v>289</v>
      </c>
      <c r="C22" s="606">
        <f>SUM(C23:C27)</f>
        <v>656602199.62</v>
      </c>
      <c r="D22" s="232"/>
      <c r="E22" s="255">
        <f t="shared" si="2"/>
        <v>656602199.62</v>
      </c>
      <c r="F22" s="606">
        <f>SUM(F23:F27)</f>
        <v>724161185.32000005</v>
      </c>
      <c r="G22" s="232"/>
      <c r="H22" s="233">
        <f t="shared" si="3"/>
        <v>724161185.32000005</v>
      </c>
    </row>
    <row r="23" spans="1:8" s="3" customFormat="1" ht="15.75">
      <c r="A23" s="215" t="s">
        <v>290</v>
      </c>
      <c r="B23" s="218" t="s">
        <v>291</v>
      </c>
      <c r="C23" s="232">
        <v>446525359.04000002</v>
      </c>
      <c r="D23" s="232"/>
      <c r="E23" s="255">
        <f t="shared" si="2"/>
        <v>446525359.04000002</v>
      </c>
      <c r="F23" s="232">
        <v>504039550.74000001</v>
      </c>
      <c r="G23" s="232"/>
      <c r="H23" s="233">
        <f t="shared" si="3"/>
        <v>504039550.74000001</v>
      </c>
    </row>
    <row r="24" spans="1:8" s="3" customFormat="1" ht="15.75">
      <c r="A24" s="215" t="s">
        <v>292</v>
      </c>
      <c r="B24" s="218" t="s">
        <v>293</v>
      </c>
      <c r="C24" s="232">
        <v>105125744.47</v>
      </c>
      <c r="D24" s="232"/>
      <c r="E24" s="255">
        <f t="shared" si="2"/>
        <v>105125744.47</v>
      </c>
      <c r="F24" s="232">
        <v>118681786.93000001</v>
      </c>
      <c r="G24" s="232"/>
      <c r="H24" s="233">
        <f t="shared" si="3"/>
        <v>118681786.93000001</v>
      </c>
    </row>
    <row r="25" spans="1:8" s="3" customFormat="1" ht="15.75">
      <c r="A25" s="215" t="s">
        <v>294</v>
      </c>
      <c r="B25" s="219" t="s">
        <v>295</v>
      </c>
      <c r="C25" s="232">
        <v>0</v>
      </c>
      <c r="D25" s="232"/>
      <c r="E25" s="255">
        <f t="shared" si="2"/>
        <v>0</v>
      </c>
      <c r="F25" s="232"/>
      <c r="G25" s="232"/>
      <c r="H25" s="233">
        <f t="shared" si="3"/>
        <v>0</v>
      </c>
    </row>
    <row r="26" spans="1:8" s="3" customFormat="1" ht="15.75">
      <c r="A26" s="215" t="s">
        <v>296</v>
      </c>
      <c r="B26" s="218" t="s">
        <v>297</v>
      </c>
      <c r="C26" s="232">
        <v>102322333.53</v>
      </c>
      <c r="D26" s="232"/>
      <c r="E26" s="255">
        <f t="shared" si="2"/>
        <v>102322333.53</v>
      </c>
      <c r="F26" s="232">
        <v>94403724.129999995</v>
      </c>
      <c r="G26" s="232"/>
      <c r="H26" s="233">
        <f t="shared" si="3"/>
        <v>94403724.129999995</v>
      </c>
    </row>
    <row r="27" spans="1:8" s="3" customFormat="1" ht="15.75">
      <c r="A27" s="215" t="s">
        <v>298</v>
      </c>
      <c r="B27" s="218" t="s">
        <v>299</v>
      </c>
      <c r="C27" s="232">
        <v>2628762.58</v>
      </c>
      <c r="D27" s="232"/>
      <c r="E27" s="255">
        <f t="shared" si="2"/>
        <v>2628762.58</v>
      </c>
      <c r="F27" s="232">
        <v>7036123.5199999996</v>
      </c>
      <c r="G27" s="232"/>
      <c r="H27" s="233">
        <f t="shared" si="3"/>
        <v>7036123.5199999996</v>
      </c>
    </row>
    <row r="28" spans="1:8" s="3" customFormat="1" ht="15.75">
      <c r="A28" s="215">
        <v>5.4</v>
      </c>
      <c r="B28" s="217" t="s">
        <v>300</v>
      </c>
      <c r="C28" s="232">
        <v>45232173.07</v>
      </c>
      <c r="D28" s="232"/>
      <c r="E28" s="255">
        <f t="shared" si="2"/>
        <v>45232173.07</v>
      </c>
      <c r="F28" s="232">
        <v>14694475.25</v>
      </c>
      <c r="G28" s="232"/>
      <c r="H28" s="233">
        <f t="shared" si="3"/>
        <v>14694475.25</v>
      </c>
    </row>
    <row r="29" spans="1:8" s="3" customFormat="1" ht="15.75">
      <c r="A29" s="215">
        <v>5.5</v>
      </c>
      <c r="B29" s="217" t="s">
        <v>301</v>
      </c>
      <c r="C29" s="232"/>
      <c r="D29" s="232"/>
      <c r="E29" s="255">
        <f t="shared" si="2"/>
        <v>0</v>
      </c>
      <c r="F29" s="232"/>
      <c r="G29" s="232"/>
      <c r="H29" s="233">
        <f t="shared" si="3"/>
        <v>0</v>
      </c>
    </row>
    <row r="30" spans="1:8" s="3" customFormat="1" ht="15.75">
      <c r="A30" s="215">
        <v>5.6</v>
      </c>
      <c r="B30" s="217" t="s">
        <v>302</v>
      </c>
      <c r="C30" s="232"/>
      <c r="D30" s="232"/>
      <c r="E30" s="255">
        <f t="shared" si="2"/>
        <v>0</v>
      </c>
      <c r="F30" s="232"/>
      <c r="G30" s="232"/>
      <c r="H30" s="233">
        <f t="shared" si="3"/>
        <v>0</v>
      </c>
    </row>
    <row r="31" spans="1:8" s="3" customFormat="1" ht="15.75">
      <c r="A31" s="215">
        <v>5.7</v>
      </c>
      <c r="B31" s="217" t="s">
        <v>303</v>
      </c>
      <c r="C31" s="232"/>
      <c r="D31" s="232"/>
      <c r="E31" s="255">
        <f t="shared" si="2"/>
        <v>0</v>
      </c>
      <c r="F31" s="232"/>
      <c r="G31" s="232"/>
      <c r="H31" s="233">
        <f t="shared" si="3"/>
        <v>0</v>
      </c>
    </row>
    <row r="32" spans="1:8" s="3" customFormat="1" ht="15.75">
      <c r="A32" s="215">
        <v>6</v>
      </c>
      <c r="B32" s="216" t="s">
        <v>304</v>
      </c>
      <c r="C32" s="606">
        <f t="shared" ref="C32:H32" si="4">C33+C34</f>
        <v>118104615</v>
      </c>
      <c r="D32" s="606">
        <f t="shared" si="4"/>
        <v>119950528</v>
      </c>
      <c r="E32" s="255">
        <f t="shared" si="4"/>
        <v>238055143</v>
      </c>
      <c r="F32" s="606">
        <f t="shared" si="4"/>
        <v>13527500</v>
      </c>
      <c r="G32" s="606">
        <f t="shared" si="4"/>
        <v>1269277.7</v>
      </c>
      <c r="H32" s="255">
        <f t="shared" si="4"/>
        <v>14796777.699999999</v>
      </c>
    </row>
    <row r="33" spans="1:8" s="3" customFormat="1" ht="25.5">
      <c r="A33" s="215">
        <v>6.1</v>
      </c>
      <c r="B33" s="217" t="s">
        <v>366</v>
      </c>
      <c r="C33" s="232">
        <v>1463100</v>
      </c>
      <c r="D33" s="232">
        <v>117653911</v>
      </c>
      <c r="E33" s="255">
        <f t="shared" si="2"/>
        <v>119117011</v>
      </c>
      <c r="F33" s="232">
        <v>13527500</v>
      </c>
      <c r="G33" s="232">
        <v>1269277.7</v>
      </c>
      <c r="H33" s="233">
        <f t="shared" si="3"/>
        <v>14796777.699999999</v>
      </c>
    </row>
    <row r="34" spans="1:8" s="3" customFormat="1" ht="25.5">
      <c r="A34" s="215">
        <v>6.2</v>
      </c>
      <c r="B34" s="217" t="s">
        <v>305</v>
      </c>
      <c r="C34" s="232">
        <v>116641515</v>
      </c>
      <c r="D34" s="232">
        <v>2296617</v>
      </c>
      <c r="E34" s="255">
        <f t="shared" si="2"/>
        <v>118938132</v>
      </c>
      <c r="F34" s="232"/>
      <c r="G34" s="232"/>
      <c r="H34" s="233">
        <f t="shared" si="3"/>
        <v>0</v>
      </c>
    </row>
    <row r="35" spans="1:8" s="3" customFormat="1" ht="25.5">
      <c r="A35" s="215">
        <v>6.3</v>
      </c>
      <c r="B35" s="217" t="s">
        <v>306</v>
      </c>
      <c r="C35" s="232"/>
      <c r="D35" s="232"/>
      <c r="E35" s="255">
        <f t="shared" si="2"/>
        <v>0</v>
      </c>
      <c r="F35" s="232"/>
      <c r="G35" s="232"/>
      <c r="H35" s="233">
        <f t="shared" si="3"/>
        <v>0</v>
      </c>
    </row>
    <row r="36" spans="1:8" s="3" customFormat="1" ht="15.75">
      <c r="A36" s="215">
        <v>6.4</v>
      </c>
      <c r="B36" s="217" t="s">
        <v>307</v>
      </c>
      <c r="C36" s="232"/>
      <c r="D36" s="232"/>
      <c r="E36" s="255">
        <f t="shared" si="2"/>
        <v>0</v>
      </c>
      <c r="F36" s="232"/>
      <c r="G36" s="232"/>
      <c r="H36" s="233">
        <f t="shared" si="3"/>
        <v>0</v>
      </c>
    </row>
    <row r="37" spans="1:8" s="3" customFormat="1" ht="15.75">
      <c r="A37" s="215">
        <v>6.5</v>
      </c>
      <c r="B37" s="217" t="s">
        <v>308</v>
      </c>
      <c r="C37" s="232"/>
      <c r="D37" s="232"/>
      <c r="E37" s="255">
        <f t="shared" si="2"/>
        <v>0</v>
      </c>
      <c r="F37" s="232"/>
      <c r="G37" s="232"/>
      <c r="H37" s="233">
        <f t="shared" si="3"/>
        <v>0</v>
      </c>
    </row>
    <row r="38" spans="1:8" s="3" customFormat="1" ht="25.5">
      <c r="A38" s="215">
        <v>6.6</v>
      </c>
      <c r="B38" s="217" t="s">
        <v>309</v>
      </c>
      <c r="C38" s="232"/>
      <c r="D38" s="232"/>
      <c r="E38" s="255">
        <f t="shared" si="2"/>
        <v>0</v>
      </c>
      <c r="F38" s="232"/>
      <c r="G38" s="232"/>
      <c r="H38" s="233">
        <f t="shared" si="3"/>
        <v>0</v>
      </c>
    </row>
    <row r="39" spans="1:8" s="3" customFormat="1" ht="25.5">
      <c r="A39" s="215">
        <v>6.7</v>
      </c>
      <c r="B39" s="217" t="s">
        <v>310</v>
      </c>
      <c r="C39" s="232"/>
      <c r="D39" s="232"/>
      <c r="E39" s="255">
        <f t="shared" si="2"/>
        <v>0</v>
      </c>
      <c r="F39" s="232"/>
      <c r="G39" s="232"/>
      <c r="H39" s="233">
        <f t="shared" si="3"/>
        <v>0</v>
      </c>
    </row>
    <row r="40" spans="1:8" s="3" customFormat="1" ht="15.75">
      <c r="A40" s="215">
        <v>7</v>
      </c>
      <c r="B40" s="216" t="s">
        <v>311</v>
      </c>
      <c r="C40" s="255">
        <f t="shared" ref="C40:H40" si="5">SUM(C41:C44)</f>
        <v>141342828.91000003</v>
      </c>
      <c r="D40" s="255">
        <f t="shared" si="5"/>
        <v>26170365.090166003</v>
      </c>
      <c r="E40" s="255">
        <f t="shared" si="5"/>
        <v>167513194.000166</v>
      </c>
      <c r="F40" s="255">
        <f t="shared" si="5"/>
        <v>67842732.240000024</v>
      </c>
      <c r="G40" s="255">
        <f t="shared" si="5"/>
        <v>24938923.571486998</v>
      </c>
      <c r="H40" s="255">
        <f t="shared" si="5"/>
        <v>92781655.811487019</v>
      </c>
    </row>
    <row r="41" spans="1:8" s="3" customFormat="1" ht="25.5">
      <c r="A41" s="215">
        <v>7.1</v>
      </c>
      <c r="B41" s="217" t="s">
        <v>312</v>
      </c>
      <c r="C41" s="232">
        <v>13274862.41</v>
      </c>
      <c r="D41" s="232">
        <v>4813.32</v>
      </c>
      <c r="E41" s="255">
        <f t="shared" si="2"/>
        <v>13279675.73</v>
      </c>
      <c r="F41" s="232">
        <v>5514190.2999999998</v>
      </c>
      <c r="G41" s="232">
        <v>61290.320949000001</v>
      </c>
      <c r="H41" s="233">
        <f t="shared" si="3"/>
        <v>5575480.6209490001</v>
      </c>
    </row>
    <row r="42" spans="1:8" s="3" customFormat="1" ht="25.5">
      <c r="A42" s="215">
        <v>7.2</v>
      </c>
      <c r="B42" s="217" t="s">
        <v>313</v>
      </c>
      <c r="C42" s="232">
        <v>7332347</v>
      </c>
      <c r="D42" s="232">
        <v>569769</v>
      </c>
      <c r="E42" s="255">
        <f t="shared" si="2"/>
        <v>7902116</v>
      </c>
      <c r="F42" s="232">
        <v>3910126</v>
      </c>
      <c r="G42" s="232">
        <v>28938.867099999999</v>
      </c>
      <c r="H42" s="233">
        <f t="shared" si="3"/>
        <v>3939064.8670999999</v>
      </c>
    </row>
    <row r="43" spans="1:8" s="3" customFormat="1" ht="25.5">
      <c r="A43" s="215">
        <v>7.3</v>
      </c>
      <c r="B43" s="217" t="s">
        <v>314</v>
      </c>
      <c r="C43" s="232">
        <v>74083998.810000032</v>
      </c>
      <c r="D43" s="232">
        <v>17006657.612463001</v>
      </c>
      <c r="E43" s="255">
        <f t="shared" si="2"/>
        <v>91090656.42246303</v>
      </c>
      <c r="F43" s="232">
        <v>34813629.850000016</v>
      </c>
      <c r="G43" s="232">
        <v>16853210.797447</v>
      </c>
      <c r="H43" s="233">
        <f t="shared" si="3"/>
        <v>51666840.64744702</v>
      </c>
    </row>
    <row r="44" spans="1:8" s="3" customFormat="1" ht="25.5">
      <c r="A44" s="215">
        <v>7.4</v>
      </c>
      <c r="B44" s="217" t="s">
        <v>315</v>
      </c>
      <c r="C44" s="232">
        <v>46651620.689999983</v>
      </c>
      <c r="D44" s="232">
        <v>8589125.1577030011</v>
      </c>
      <c r="E44" s="255">
        <f t="shared" si="2"/>
        <v>55240745.84770298</v>
      </c>
      <c r="F44" s="232">
        <v>23604786.090000004</v>
      </c>
      <c r="G44" s="232">
        <v>7995483.5859909998</v>
      </c>
      <c r="H44" s="233">
        <f t="shared" si="3"/>
        <v>31600269.675991002</v>
      </c>
    </row>
    <row r="45" spans="1:8" s="3" customFormat="1" ht="15.75">
      <c r="A45" s="215">
        <v>8</v>
      </c>
      <c r="B45" s="216" t="s">
        <v>316</v>
      </c>
      <c r="C45" s="232"/>
      <c r="D45" s="232"/>
      <c r="E45" s="255">
        <f t="shared" si="2"/>
        <v>0</v>
      </c>
      <c r="F45" s="232"/>
      <c r="G45" s="232"/>
      <c r="H45" s="233">
        <f t="shared" si="3"/>
        <v>0</v>
      </c>
    </row>
    <row r="46" spans="1:8" s="3" customFormat="1" ht="15.75">
      <c r="A46" s="215">
        <v>8.1</v>
      </c>
      <c r="B46" s="217" t="s">
        <v>317</v>
      </c>
      <c r="C46" s="232"/>
      <c r="D46" s="232"/>
      <c r="E46" s="255">
        <f t="shared" si="2"/>
        <v>0</v>
      </c>
      <c r="F46" s="232"/>
      <c r="G46" s="232"/>
      <c r="H46" s="233">
        <f t="shared" si="3"/>
        <v>0</v>
      </c>
    </row>
    <row r="47" spans="1:8" s="3" customFormat="1" ht="15.75">
      <c r="A47" s="215">
        <v>8.1999999999999993</v>
      </c>
      <c r="B47" s="217" t="s">
        <v>318</v>
      </c>
      <c r="C47" s="232"/>
      <c r="D47" s="232"/>
      <c r="E47" s="255">
        <f t="shared" si="2"/>
        <v>0</v>
      </c>
      <c r="F47" s="232"/>
      <c r="G47" s="232"/>
      <c r="H47" s="233">
        <f t="shared" si="3"/>
        <v>0</v>
      </c>
    </row>
    <row r="48" spans="1:8" s="3" customFormat="1" ht="15.75">
      <c r="A48" s="215">
        <v>8.3000000000000007</v>
      </c>
      <c r="B48" s="217" t="s">
        <v>319</v>
      </c>
      <c r="C48" s="232"/>
      <c r="D48" s="232"/>
      <c r="E48" s="255">
        <f t="shared" si="2"/>
        <v>0</v>
      </c>
      <c r="F48" s="232"/>
      <c r="G48" s="232"/>
      <c r="H48" s="233">
        <f t="shared" si="3"/>
        <v>0</v>
      </c>
    </row>
    <row r="49" spans="1:8" s="3" customFormat="1" ht="15.75">
      <c r="A49" s="215">
        <v>8.4</v>
      </c>
      <c r="B49" s="217" t="s">
        <v>320</v>
      </c>
      <c r="C49" s="232"/>
      <c r="D49" s="232"/>
      <c r="E49" s="255">
        <f t="shared" si="2"/>
        <v>0</v>
      </c>
      <c r="F49" s="232"/>
      <c r="G49" s="232"/>
      <c r="H49" s="233">
        <f t="shared" si="3"/>
        <v>0</v>
      </c>
    </row>
    <row r="50" spans="1:8" s="3" customFormat="1" ht="15.75">
      <c r="A50" s="215">
        <v>8.5</v>
      </c>
      <c r="B50" s="217" t="s">
        <v>321</v>
      </c>
      <c r="C50" s="232"/>
      <c r="D50" s="232"/>
      <c r="E50" s="255">
        <f t="shared" si="2"/>
        <v>0</v>
      </c>
      <c r="F50" s="232"/>
      <c r="G50" s="232"/>
      <c r="H50" s="233">
        <f t="shared" si="3"/>
        <v>0</v>
      </c>
    </row>
    <row r="51" spans="1:8" s="3" customFormat="1" ht="15.75">
      <c r="A51" s="215">
        <v>8.6</v>
      </c>
      <c r="B51" s="217" t="s">
        <v>322</v>
      </c>
      <c r="C51" s="232"/>
      <c r="D51" s="232"/>
      <c r="E51" s="255">
        <f t="shared" si="2"/>
        <v>0</v>
      </c>
      <c r="F51" s="232"/>
      <c r="G51" s="232"/>
      <c r="H51" s="233">
        <f t="shared" si="3"/>
        <v>0</v>
      </c>
    </row>
    <row r="52" spans="1:8" s="3" customFormat="1" ht="15.75">
      <c r="A52" s="215">
        <v>8.6999999999999993</v>
      </c>
      <c r="B52" s="217" t="s">
        <v>323</v>
      </c>
      <c r="C52" s="232"/>
      <c r="D52" s="232"/>
      <c r="E52" s="255">
        <f t="shared" si="2"/>
        <v>0</v>
      </c>
      <c r="F52" s="232"/>
      <c r="G52" s="232"/>
      <c r="H52" s="233">
        <f t="shared" si="3"/>
        <v>0</v>
      </c>
    </row>
    <row r="53" spans="1:8" s="3" customFormat="1" ht="26.25" thickBot="1">
      <c r="A53" s="220">
        <v>9</v>
      </c>
      <c r="B53" s="221" t="s">
        <v>324</v>
      </c>
      <c r="C53" s="256"/>
      <c r="D53" s="256"/>
      <c r="E53" s="257">
        <f t="shared" si="2"/>
        <v>0</v>
      </c>
      <c r="F53" s="256"/>
      <c r="G53" s="256"/>
      <c r="H53" s="239">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140625" style="13"/>
  </cols>
  <sheetData>
    <row r="1" spans="1:8" ht="15">
      <c r="A1" s="17" t="s">
        <v>188</v>
      </c>
      <c r="B1" s="16" t="str">
        <f>Info!C2</f>
        <v>სს "კრედო ბანკი"</v>
      </c>
      <c r="C1" s="16"/>
      <c r="D1" s="335"/>
    </row>
    <row r="2" spans="1:8" ht="15">
      <c r="A2" s="17" t="s">
        <v>189</v>
      </c>
      <c r="B2" s="453">
        <f>'1. key ratios'!B2</f>
        <v>44742</v>
      </c>
      <c r="C2" s="28"/>
      <c r="D2" s="18"/>
      <c r="E2" s="12"/>
      <c r="F2" s="12"/>
      <c r="G2" s="12"/>
      <c r="H2" s="12"/>
    </row>
    <row r="3" spans="1:8" ht="15">
      <c r="A3" s="17"/>
      <c r="B3" s="16"/>
      <c r="C3" s="28"/>
      <c r="D3" s="18"/>
      <c r="E3" s="12"/>
      <c r="F3" s="12"/>
      <c r="G3" s="12"/>
      <c r="H3" s="12"/>
    </row>
    <row r="4" spans="1:8" ht="15" customHeight="1" thickBot="1">
      <c r="A4" s="209" t="s">
        <v>331</v>
      </c>
      <c r="B4" s="210" t="s">
        <v>187</v>
      </c>
      <c r="C4" s="211" t="s">
        <v>93</v>
      </c>
    </row>
    <row r="5" spans="1:8" ht="15" customHeight="1">
      <c r="A5" s="207" t="s">
        <v>26</v>
      </c>
      <c r="B5" s="208"/>
      <c r="C5" s="454" t="str">
        <f>INT((MONTH($B$2))/3)&amp;"Q"&amp;"-"&amp;YEAR($B$2)</f>
        <v>2Q-2022</v>
      </c>
      <c r="D5" s="454" t="str">
        <f>IF(INT(MONTH($B$2))=3, "4"&amp;"Q"&amp;"-"&amp;YEAR($B$2)-1, IF(INT(MONTH($B$2))=6, "1"&amp;"Q"&amp;"-"&amp;YEAR($B$2), IF(INT(MONTH($B$2))=9, "2"&amp;"Q"&amp;"-"&amp;YEAR($B$2),IF(INT(MONTH($B$2))=12, "3"&amp;"Q"&amp;"-"&amp;YEAR($B$2), 0))))</f>
        <v>1Q-2022</v>
      </c>
      <c r="E5" s="454" t="str">
        <f>IF(INT(MONTH($B$2))=3, "3"&amp;"Q"&amp;"-"&amp;YEAR($B$2)-1, IF(INT(MONTH($B$2))=6, "4"&amp;"Q"&amp;"-"&amp;YEAR($B$2)-1, IF(INT(MONTH($B$2))=9, "1"&amp;"Q"&amp;"-"&amp;YEAR($B$2),IF(INT(MONTH($B$2))=12, "2"&amp;"Q"&amp;"-"&amp;YEAR($B$2), 0))))</f>
        <v>4Q-2021</v>
      </c>
      <c r="F5" s="454" t="str">
        <f>IF(INT(MONTH($B$2))=3, "2"&amp;"Q"&amp;"-"&amp;YEAR($B$2)-1, IF(INT(MONTH($B$2))=6, "3"&amp;"Q"&amp;"-"&amp;YEAR($B$2)-1, IF(INT(MONTH($B$2))=9, "4"&amp;"Q"&amp;"-"&amp;YEAR($B$2)-1,IF(INT(MONTH($B$2))=12, "1"&amp;"Q"&amp;"-"&amp;YEAR($B$2), 0))))</f>
        <v>3Q-2021</v>
      </c>
      <c r="G5" s="454" t="str">
        <f>IF(INT(MONTH($B$2))=3, "1"&amp;"Q"&amp;"-"&amp;YEAR($B$2)-1, IF(INT(MONTH($B$2))=6, "2"&amp;"Q"&amp;"-"&amp;YEAR($B$2)-1, IF(INT(MONTH($B$2))=9, "3"&amp;"Q"&amp;"-"&amp;YEAR($B$2)-1,IF(INT(MONTH($B$2))=12, "4"&amp;"Q"&amp;"-"&amp;YEAR($B$2)-1, 0))))</f>
        <v>2Q-2021</v>
      </c>
    </row>
    <row r="6" spans="1:8" ht="15" customHeight="1">
      <c r="A6" s="379">
        <v>1</v>
      </c>
      <c r="B6" s="438" t="s">
        <v>192</v>
      </c>
      <c r="C6" s="380">
        <f>C7+C9+C10</f>
        <v>1408240981.0890594</v>
      </c>
      <c r="D6" s="441">
        <f>D7+D9+D10</f>
        <v>1300531320.9891191</v>
      </c>
      <c r="E6" s="381">
        <f t="shared" ref="E6:G6" si="0">E7+E9+E10</f>
        <v>1302738555.0045171</v>
      </c>
      <c r="F6" s="380">
        <f t="shared" si="0"/>
        <v>1100423981.5046682</v>
      </c>
      <c r="G6" s="442">
        <f t="shared" si="0"/>
        <v>1050330912.8101695</v>
      </c>
    </row>
    <row r="7" spans="1:8" ht="15" customHeight="1">
      <c r="A7" s="379">
        <v>1.1000000000000001</v>
      </c>
      <c r="B7" s="382" t="s">
        <v>475</v>
      </c>
      <c r="C7" s="383">
        <v>1396226650.5390594</v>
      </c>
      <c r="D7" s="443">
        <v>1292252353.3328691</v>
      </c>
      <c r="E7" s="383">
        <v>1295844527.668267</v>
      </c>
      <c r="F7" s="383">
        <v>1095982955.7234182</v>
      </c>
      <c r="G7" s="444">
        <v>1046961019.8576695</v>
      </c>
    </row>
    <row r="8" spans="1:8" ht="25.5">
      <c r="A8" s="379" t="s">
        <v>251</v>
      </c>
      <c r="B8" s="384" t="s">
        <v>325</v>
      </c>
      <c r="C8" s="383">
        <v>810408.24</v>
      </c>
      <c r="D8" s="443">
        <v>810408.24</v>
      </c>
      <c r="E8" s="383">
        <v>810408.24</v>
      </c>
      <c r="F8" s="383">
        <v>15504176.054999962</v>
      </c>
      <c r="G8" s="444"/>
    </row>
    <row r="9" spans="1:8" ht="15" customHeight="1">
      <c r="A9" s="379">
        <v>1.2</v>
      </c>
      <c r="B9" s="382" t="s">
        <v>22</v>
      </c>
      <c r="C9" s="383">
        <v>9681500.25</v>
      </c>
      <c r="D9" s="443">
        <v>7968837.65625</v>
      </c>
      <c r="E9" s="383">
        <v>6584267.3362499997</v>
      </c>
      <c r="F9" s="383">
        <v>3660325.78125</v>
      </c>
      <c r="G9" s="444">
        <v>2579817.9525000001</v>
      </c>
    </row>
    <row r="10" spans="1:8" ht="15" customHeight="1">
      <c r="A10" s="379">
        <v>1.3</v>
      </c>
      <c r="B10" s="439" t="s">
        <v>77</v>
      </c>
      <c r="C10" s="385">
        <v>2332830.3000000003</v>
      </c>
      <c r="D10" s="443">
        <v>310130</v>
      </c>
      <c r="E10" s="385">
        <v>309760</v>
      </c>
      <c r="F10" s="383">
        <v>780700</v>
      </c>
      <c r="G10" s="445">
        <v>790075</v>
      </c>
    </row>
    <row r="11" spans="1:8" ht="15" customHeight="1">
      <c r="A11" s="379">
        <v>2</v>
      </c>
      <c r="B11" s="438" t="s">
        <v>193</v>
      </c>
      <c r="C11" s="383">
        <v>836949</v>
      </c>
      <c r="D11" s="443">
        <v>4349460</v>
      </c>
      <c r="E11" s="383">
        <v>1358496.962495995</v>
      </c>
      <c r="F11" s="383">
        <v>3551131.222152031</v>
      </c>
      <c r="G11" s="444">
        <v>2528123</v>
      </c>
    </row>
    <row r="12" spans="1:8" ht="15" customHeight="1">
      <c r="A12" s="396">
        <v>3</v>
      </c>
      <c r="B12" s="440" t="s">
        <v>191</v>
      </c>
      <c r="C12" s="385">
        <v>351858011.60018724</v>
      </c>
      <c r="D12" s="689">
        <v>351858011.60018724</v>
      </c>
      <c r="E12" s="385">
        <v>351858011.60018724</v>
      </c>
      <c r="F12" s="383">
        <v>250750724.04375002</v>
      </c>
      <c r="G12" s="445">
        <v>250750724.04375002</v>
      </c>
    </row>
    <row r="13" spans="1:8" ht="15" customHeight="1" thickBot="1">
      <c r="A13" s="130">
        <v>4</v>
      </c>
      <c r="B13" s="448" t="s">
        <v>252</v>
      </c>
      <c r="C13" s="258">
        <f>C6+C11+C12</f>
        <v>1760935941.6892467</v>
      </c>
      <c r="D13" s="446">
        <f>D6+D11+D12</f>
        <v>1656738792.5893064</v>
      </c>
      <c r="E13" s="259">
        <f t="shared" ref="E13:G13" si="1">E6+E11+E12</f>
        <v>1655955063.5672004</v>
      </c>
      <c r="F13" s="258">
        <f t="shared" si="1"/>
        <v>1354725836.7705703</v>
      </c>
      <c r="G13" s="447">
        <f t="shared" si="1"/>
        <v>1303609759.8539195</v>
      </c>
    </row>
    <row r="14" spans="1:8">
      <c r="B14" s="23"/>
    </row>
    <row r="15" spans="1:8" ht="25.5">
      <c r="B15" s="103" t="s">
        <v>476</v>
      </c>
    </row>
    <row r="16" spans="1:8">
      <c r="B16" s="103"/>
    </row>
    <row r="17" spans="2:2">
      <c r="B17" s="103"/>
    </row>
    <row r="18" spans="2:2">
      <c r="B18"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showGridLines="0" zoomScaleNormal="100" workbookViewId="0">
      <pane xSplit="1" ySplit="4" topLeftCell="B31" activePane="bottomRight" state="frozen"/>
      <selection pane="topRight" activeCell="B1" sqref="B1"/>
      <selection pane="bottomLeft" activeCell="A4" sqref="A4"/>
      <selection pane="bottomRight" activeCell="C43" sqref="C43"/>
    </sheetView>
  </sheetViews>
  <sheetFormatPr defaultRowHeight="15"/>
  <cols>
    <col min="1" max="1" width="9.5703125" style="2" bestFit="1" customWidth="1"/>
    <col min="2" max="2" width="58.85546875" style="2" customWidth="1"/>
    <col min="3" max="3" width="41.140625" style="2" bestFit="1" customWidth="1"/>
  </cols>
  <sheetData>
    <row r="1" spans="1:8">
      <c r="A1" s="2" t="s">
        <v>188</v>
      </c>
      <c r="B1" s="335" t="str">
        <f>Info!C2</f>
        <v>სს "კრედო ბანკი"</v>
      </c>
    </row>
    <row r="2" spans="1:8">
      <c r="A2" s="2" t="s">
        <v>189</v>
      </c>
      <c r="B2" s="469">
        <f>'1. key ratios'!B2</f>
        <v>44742</v>
      </c>
    </row>
    <row r="3" spans="1:8" ht="13.5" customHeight="1"/>
    <row r="4" spans="1:8" ht="33.75" customHeight="1" thickBot="1">
      <c r="A4" s="222" t="s">
        <v>332</v>
      </c>
      <c r="B4" s="60" t="s">
        <v>149</v>
      </c>
      <c r="C4" s="14"/>
    </row>
    <row r="5" spans="1:8" ht="15.75">
      <c r="A5" s="11"/>
      <c r="B5" s="433" t="s">
        <v>150</v>
      </c>
      <c r="C5" s="451" t="s">
        <v>490</v>
      </c>
    </row>
    <row r="6" spans="1:8">
      <c r="A6" s="15">
        <v>1</v>
      </c>
      <c r="B6" s="61" t="s">
        <v>749</v>
      </c>
      <c r="C6" s="449" t="s">
        <v>750</v>
      </c>
    </row>
    <row r="7" spans="1:8">
      <c r="A7" s="15">
        <v>2</v>
      </c>
      <c r="B7" s="61" t="s">
        <v>778</v>
      </c>
      <c r="C7" s="449" t="s">
        <v>751</v>
      </c>
    </row>
    <row r="8" spans="1:8">
      <c r="A8" s="15">
        <v>3</v>
      </c>
      <c r="B8" s="61" t="s">
        <v>752</v>
      </c>
      <c r="C8" s="449" t="s">
        <v>753</v>
      </c>
    </row>
    <row r="9" spans="1:8">
      <c r="A9" s="15">
        <v>4</v>
      </c>
      <c r="B9" s="61" t="s">
        <v>754</v>
      </c>
      <c r="C9" s="449" t="s">
        <v>750</v>
      </c>
    </row>
    <row r="10" spans="1:8">
      <c r="A10" s="15">
        <v>5</v>
      </c>
      <c r="B10" s="61" t="s">
        <v>755</v>
      </c>
      <c r="C10" s="449" t="s">
        <v>753</v>
      </c>
    </row>
    <row r="11" spans="1:8">
      <c r="A11" s="710">
        <v>6</v>
      </c>
      <c r="B11" s="711" t="s">
        <v>782</v>
      </c>
      <c r="C11" s="449" t="s">
        <v>753</v>
      </c>
    </row>
    <row r="12" spans="1:8">
      <c r="A12" s="15"/>
      <c r="B12" s="61"/>
      <c r="C12" s="449"/>
      <c r="H12" s="4"/>
    </row>
    <row r="13" spans="1:8" ht="45">
      <c r="A13" s="15"/>
      <c r="B13" s="434" t="s">
        <v>151</v>
      </c>
      <c r="C13" s="452" t="s">
        <v>491</v>
      </c>
    </row>
    <row r="14" spans="1:8" ht="15.75">
      <c r="A14" s="15">
        <v>1</v>
      </c>
      <c r="B14" s="27" t="s">
        <v>741</v>
      </c>
      <c r="C14" s="450" t="s">
        <v>756</v>
      </c>
    </row>
    <row r="15" spans="1:8" ht="15.75">
      <c r="A15" s="15">
        <v>2</v>
      </c>
      <c r="B15" s="27" t="s">
        <v>757</v>
      </c>
      <c r="C15" s="450" t="s">
        <v>758</v>
      </c>
    </row>
    <row r="16" spans="1:8" ht="15.75">
      <c r="A16" s="15">
        <v>3</v>
      </c>
      <c r="B16" s="27" t="s">
        <v>759</v>
      </c>
      <c r="C16" s="450" t="s">
        <v>760</v>
      </c>
    </row>
    <row r="17" spans="1:3" ht="15.75">
      <c r="A17" s="15">
        <v>4</v>
      </c>
      <c r="B17" s="27" t="s">
        <v>761</v>
      </c>
      <c r="C17" s="450" t="s">
        <v>762</v>
      </c>
    </row>
    <row r="18" spans="1:3" ht="15.75">
      <c r="A18" s="15">
        <v>5</v>
      </c>
      <c r="B18" s="27" t="s">
        <v>763</v>
      </c>
      <c r="C18" s="450" t="s">
        <v>764</v>
      </c>
    </row>
    <row r="19" spans="1:3" ht="15.75">
      <c r="A19" s="15">
        <v>6</v>
      </c>
      <c r="B19" s="27" t="s">
        <v>779</v>
      </c>
      <c r="C19" s="450" t="s">
        <v>780</v>
      </c>
    </row>
    <row r="20" spans="1:3" ht="15.75">
      <c r="A20" s="15"/>
      <c r="B20" s="27"/>
      <c r="C20" s="450"/>
    </row>
    <row r="21" spans="1:3" ht="30" customHeight="1">
      <c r="A21" s="15"/>
      <c r="B21" s="725" t="s">
        <v>152</v>
      </c>
      <c r="C21" s="726"/>
    </row>
    <row r="22" spans="1:3">
      <c r="A22" s="15">
        <v>1</v>
      </c>
      <c r="B22" s="647" t="s">
        <v>765</v>
      </c>
      <c r="C22" s="648">
        <v>0.51170000000000004</v>
      </c>
    </row>
    <row r="23" spans="1:3">
      <c r="A23" s="645">
        <v>2</v>
      </c>
      <c r="B23" s="647" t="s">
        <v>766</v>
      </c>
      <c r="C23" s="648">
        <v>8.4099999999999994E-2</v>
      </c>
    </row>
    <row r="24" spans="1:3">
      <c r="A24" s="15">
        <v>3</v>
      </c>
      <c r="B24" s="647" t="s">
        <v>767</v>
      </c>
      <c r="C24" s="648">
        <v>8.4099999999999994E-2</v>
      </c>
    </row>
    <row r="25" spans="1:3">
      <c r="A25" s="645">
        <v>4</v>
      </c>
      <c r="B25" s="647" t="s">
        <v>768</v>
      </c>
      <c r="C25" s="648">
        <v>7.9399999999999998E-2</v>
      </c>
    </row>
    <row r="26" spans="1:3" ht="27">
      <c r="A26" s="15">
        <v>5</v>
      </c>
      <c r="B26" s="647" t="s">
        <v>769</v>
      </c>
      <c r="C26" s="648">
        <v>7.4700000000000003E-2</v>
      </c>
    </row>
    <row r="27" spans="1:3" ht="27">
      <c r="A27" s="645">
        <v>6</v>
      </c>
      <c r="B27" s="647" t="s">
        <v>770</v>
      </c>
      <c r="C27" s="648">
        <v>1.5900000000000001E-2</v>
      </c>
    </row>
    <row r="28" spans="1:3" ht="27">
      <c r="A28" s="15">
        <v>7</v>
      </c>
      <c r="B28" s="647" t="s">
        <v>771</v>
      </c>
      <c r="C28" s="648">
        <v>0.14960000000000001</v>
      </c>
    </row>
    <row r="29" spans="1:3">
      <c r="A29" s="645"/>
      <c r="B29" s="646"/>
      <c r="C29" s="62"/>
    </row>
    <row r="30" spans="1:3" ht="15.75" customHeight="1">
      <c r="A30" s="15"/>
      <c r="B30" s="61"/>
      <c r="C30" s="62"/>
    </row>
    <row r="31" spans="1:3" ht="29.25" customHeight="1">
      <c r="A31" s="15"/>
      <c r="B31" s="725" t="s">
        <v>272</v>
      </c>
      <c r="C31" s="726"/>
    </row>
    <row r="32" spans="1:3">
      <c r="A32" s="15">
        <v>1</v>
      </c>
      <c r="B32" s="61" t="s">
        <v>783</v>
      </c>
      <c r="C32" s="651">
        <v>6.0506580000000004E-2</v>
      </c>
    </row>
    <row r="33" spans="1:3">
      <c r="A33" s="649">
        <v>2</v>
      </c>
      <c r="B33" s="650" t="s">
        <v>772</v>
      </c>
      <c r="C33" s="652">
        <v>6.0506580000000004E-2</v>
      </c>
    </row>
    <row r="34" spans="1:3">
      <c r="A34" s="15">
        <v>3</v>
      </c>
      <c r="B34" s="650" t="s">
        <v>773</v>
      </c>
      <c r="C34" s="652">
        <v>7.6170720000000011E-2</v>
      </c>
    </row>
    <row r="35" spans="1:3">
      <c r="A35" s="649">
        <v>4</v>
      </c>
      <c r="B35" s="650" t="s">
        <v>774</v>
      </c>
      <c r="C35" s="652">
        <v>6.5062490000000014E-2</v>
      </c>
    </row>
    <row r="36" spans="1:3">
      <c r="A36" s="15">
        <v>5</v>
      </c>
      <c r="B36" s="650" t="s">
        <v>775</v>
      </c>
      <c r="C36" s="652">
        <v>0.12167863</v>
      </c>
    </row>
    <row r="37" spans="1:3">
      <c r="A37" s="649">
        <v>6</v>
      </c>
      <c r="B37" s="650" t="s">
        <v>776</v>
      </c>
      <c r="C37" s="652">
        <v>7.3007177999999992E-2</v>
      </c>
    </row>
    <row r="38" spans="1:3">
      <c r="A38" s="15">
        <v>7</v>
      </c>
      <c r="B38" s="650" t="s">
        <v>784</v>
      </c>
      <c r="C38" s="652">
        <v>5.738399000000001E-2</v>
      </c>
    </row>
    <row r="39" spans="1:3" ht="15.75" thickBot="1">
      <c r="A39" s="645">
        <v>8</v>
      </c>
      <c r="B39" s="654" t="s">
        <v>777</v>
      </c>
      <c r="C39" s="653">
        <v>0.110778</v>
      </c>
    </row>
  </sheetData>
  <mergeCells count="2">
    <mergeCell ref="B31:C31"/>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16" sqref="C16:D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188</v>
      </c>
      <c r="B1" s="16" t="str">
        <f>Info!C2</f>
        <v>სს "კრედო ბანკი"</v>
      </c>
    </row>
    <row r="2" spans="1:7" s="21" customFormat="1" ht="15.75" customHeight="1">
      <c r="A2" s="21" t="s">
        <v>189</v>
      </c>
      <c r="B2" s="469">
        <f>'1. key ratios'!B2</f>
        <v>44742</v>
      </c>
    </row>
    <row r="3" spans="1:7" s="21" customFormat="1" ht="15.75" customHeight="1"/>
    <row r="4" spans="1:7" s="21" customFormat="1" ht="15.75" customHeight="1" thickBot="1">
      <c r="A4" s="223" t="s">
        <v>333</v>
      </c>
      <c r="B4" s="224" t="s">
        <v>262</v>
      </c>
      <c r="C4" s="186"/>
      <c r="D4" s="186"/>
      <c r="E4" s="187" t="s">
        <v>93</v>
      </c>
    </row>
    <row r="5" spans="1:7" s="118" customFormat="1" ht="17.45" customHeight="1">
      <c r="A5" s="348"/>
      <c r="B5" s="349"/>
      <c r="C5" s="185" t="s">
        <v>0</v>
      </c>
      <c r="D5" s="185" t="s">
        <v>1</v>
      </c>
      <c r="E5" s="350" t="s">
        <v>2</v>
      </c>
    </row>
    <row r="6" spans="1:7" s="153" customFormat="1" ht="14.45" customHeight="1">
      <c r="A6" s="351"/>
      <c r="B6" s="727" t="s">
        <v>231</v>
      </c>
      <c r="C6" s="727" t="s">
        <v>230</v>
      </c>
      <c r="D6" s="728" t="s">
        <v>229</v>
      </c>
      <c r="E6" s="729"/>
      <c r="G6"/>
    </row>
    <row r="7" spans="1:7" s="153" customFormat="1" ht="99.6" customHeight="1">
      <c r="A7" s="351"/>
      <c r="B7" s="727"/>
      <c r="C7" s="727"/>
      <c r="D7" s="345" t="s">
        <v>228</v>
      </c>
      <c r="E7" s="346" t="s">
        <v>393</v>
      </c>
      <c r="G7"/>
    </row>
    <row r="8" spans="1:7">
      <c r="A8" s="352">
        <v>1</v>
      </c>
      <c r="B8" s="353" t="s">
        <v>154</v>
      </c>
      <c r="C8" s="354">
        <v>71625012.519999996</v>
      </c>
      <c r="D8" s="354"/>
      <c r="E8" s="355">
        <f>C8-D8</f>
        <v>71625012.519999996</v>
      </c>
    </row>
    <row r="9" spans="1:7">
      <c r="A9" s="352">
        <v>2</v>
      </c>
      <c r="B9" s="353" t="s">
        <v>155</v>
      </c>
      <c r="C9" s="354">
        <v>177868824.07999998</v>
      </c>
      <c r="D9" s="354"/>
      <c r="E9" s="355">
        <f t="shared" ref="E9:E20" si="0">C9-D9</f>
        <v>177868824.07999998</v>
      </c>
    </row>
    <row r="10" spans="1:7">
      <c r="A10" s="352">
        <v>3</v>
      </c>
      <c r="B10" s="353" t="s">
        <v>227</v>
      </c>
      <c r="C10" s="354">
        <v>29962387.149999999</v>
      </c>
      <c r="D10" s="354"/>
      <c r="E10" s="355">
        <f t="shared" si="0"/>
        <v>29962387.149999999</v>
      </c>
    </row>
    <row r="11" spans="1:7" ht="25.5">
      <c r="A11" s="352">
        <v>4</v>
      </c>
      <c r="B11" s="353" t="s">
        <v>185</v>
      </c>
      <c r="C11" s="354">
        <v>0</v>
      </c>
      <c r="D11" s="354"/>
      <c r="E11" s="355">
        <f t="shared" si="0"/>
        <v>0</v>
      </c>
    </row>
    <row r="12" spans="1:7">
      <c r="A12" s="352">
        <v>5</v>
      </c>
      <c r="B12" s="353" t="s">
        <v>157</v>
      </c>
      <c r="C12" s="354">
        <v>47896657.43</v>
      </c>
      <c r="D12" s="354"/>
      <c r="E12" s="355">
        <f t="shared" si="0"/>
        <v>47896657.43</v>
      </c>
    </row>
    <row r="13" spans="1:7">
      <c r="A13" s="352">
        <v>6.1</v>
      </c>
      <c r="B13" s="353" t="s">
        <v>158</v>
      </c>
      <c r="C13" s="356">
        <v>1624606421.5890002</v>
      </c>
      <c r="D13" s="354"/>
      <c r="E13" s="355">
        <f t="shared" si="0"/>
        <v>1624606421.5890002</v>
      </c>
    </row>
    <row r="14" spans="1:7">
      <c r="A14" s="352">
        <v>6.2</v>
      </c>
      <c r="B14" s="357" t="s">
        <v>159</v>
      </c>
      <c r="C14" s="356">
        <v>-66041279.032099999</v>
      </c>
      <c r="D14" s="354"/>
      <c r="E14" s="355">
        <f t="shared" si="0"/>
        <v>-66041279.032099999</v>
      </c>
    </row>
    <row r="15" spans="1:7">
      <c r="A15" s="352">
        <v>6</v>
      </c>
      <c r="B15" s="353" t="s">
        <v>226</v>
      </c>
      <c r="C15" s="354">
        <v>1558565142.5569</v>
      </c>
      <c r="D15" s="354"/>
      <c r="E15" s="355">
        <f t="shared" si="0"/>
        <v>1558565142.5569</v>
      </c>
    </row>
    <row r="16" spans="1:7" ht="25.5">
      <c r="A16" s="352">
        <v>7</v>
      </c>
      <c r="B16" s="353" t="s">
        <v>161</v>
      </c>
      <c r="C16" s="354">
        <v>34061739.560000002</v>
      </c>
      <c r="D16" s="354"/>
      <c r="E16" s="355">
        <f t="shared" si="0"/>
        <v>34061739.560000002</v>
      </c>
    </row>
    <row r="17" spans="1:7">
      <c r="A17" s="352">
        <v>8</v>
      </c>
      <c r="B17" s="353" t="s">
        <v>162</v>
      </c>
      <c r="C17" s="354">
        <v>2171163</v>
      </c>
      <c r="D17" s="354"/>
      <c r="E17" s="355">
        <f t="shared" si="0"/>
        <v>2171163</v>
      </c>
      <c r="F17" s="6"/>
      <c r="G17" s="6"/>
    </row>
    <row r="18" spans="1:7">
      <c r="A18" s="352">
        <v>9</v>
      </c>
      <c r="B18" s="353" t="s">
        <v>163</v>
      </c>
      <c r="C18" s="354">
        <v>0</v>
      </c>
      <c r="D18" s="354"/>
      <c r="E18" s="355">
        <f t="shared" si="0"/>
        <v>0</v>
      </c>
      <c r="G18" s="6"/>
    </row>
    <row r="19" spans="1:7" ht="25.5">
      <c r="A19" s="352">
        <v>10</v>
      </c>
      <c r="B19" s="353" t="s">
        <v>164</v>
      </c>
      <c r="C19" s="354">
        <v>38989721.18999999</v>
      </c>
      <c r="D19" s="354">
        <v>13096009.710000001</v>
      </c>
      <c r="E19" s="355">
        <f t="shared" si="0"/>
        <v>25893711.479999989</v>
      </c>
      <c r="G19" s="6"/>
    </row>
    <row r="20" spans="1:7">
      <c r="A20" s="352">
        <v>11</v>
      </c>
      <c r="B20" s="353" t="s">
        <v>165</v>
      </c>
      <c r="C20" s="354">
        <v>45847246.439999998</v>
      </c>
      <c r="D20" s="354"/>
      <c r="E20" s="355">
        <f t="shared" si="0"/>
        <v>45847246.439999998</v>
      </c>
    </row>
    <row r="21" spans="1:7" ht="51.75" thickBot="1">
      <c r="A21" s="358"/>
      <c r="B21" s="359" t="s">
        <v>367</v>
      </c>
      <c r="C21" s="311">
        <f>SUM(C8:C12, C15:C20)</f>
        <v>2006987893.9268999</v>
      </c>
      <c r="D21" s="311">
        <f>SUM(D8:D12, D15:D20)</f>
        <v>13096009.710000001</v>
      </c>
      <c r="E21" s="360">
        <f>SUM(E8:E12, E15:E20)</f>
        <v>1993891884.2168999</v>
      </c>
    </row>
    <row r="22" spans="1:7">
      <c r="A22"/>
      <c r="B22"/>
      <c r="C22"/>
      <c r="D22"/>
      <c r="E22"/>
    </row>
    <row r="23" spans="1:7">
      <c r="A23"/>
      <c r="B23"/>
      <c r="C23"/>
      <c r="D23"/>
      <c r="E23"/>
    </row>
    <row r="25" spans="1:7" s="2" customFormat="1">
      <c r="B25" s="64"/>
      <c r="F25"/>
      <c r="G25"/>
    </row>
    <row r="26" spans="1:7" s="2" customFormat="1">
      <c r="B26" s="65"/>
      <c r="F26"/>
      <c r="G26"/>
    </row>
    <row r="27" spans="1:7" s="2" customFormat="1">
      <c r="B27" s="64"/>
      <c r="F27"/>
      <c r="G27"/>
    </row>
    <row r="28" spans="1:7" s="2" customFormat="1">
      <c r="B28" s="64"/>
      <c r="F28"/>
      <c r="G28"/>
    </row>
    <row r="29" spans="1:7" s="2" customFormat="1">
      <c r="B29" s="64"/>
      <c r="F29"/>
      <c r="G29"/>
    </row>
    <row r="30" spans="1:7" s="2" customFormat="1">
      <c r="B30" s="64"/>
      <c r="F30"/>
      <c r="G30"/>
    </row>
    <row r="31" spans="1:7" s="2" customFormat="1">
      <c r="B31" s="64"/>
      <c r="F31"/>
      <c r="G31"/>
    </row>
    <row r="32" spans="1:7" s="2" customFormat="1">
      <c r="B32" s="65"/>
      <c r="F32"/>
      <c r="G32"/>
    </row>
    <row r="33" spans="2:7" s="2" customFormat="1">
      <c r="B33" s="65"/>
      <c r="F33"/>
      <c r="G33"/>
    </row>
    <row r="34" spans="2:7" s="2" customFormat="1">
      <c r="B34" s="65"/>
      <c r="F34"/>
      <c r="G34"/>
    </row>
    <row r="35" spans="2:7" s="2" customFormat="1">
      <c r="B35" s="65"/>
      <c r="F35"/>
      <c r="G35"/>
    </row>
    <row r="36" spans="2:7" s="2" customFormat="1">
      <c r="B36" s="65"/>
      <c r="F36"/>
      <c r="G36"/>
    </row>
    <row r="37" spans="2:7" s="2" customFormat="1">
      <c r="B37" s="6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"კრედო ბანკი"</v>
      </c>
    </row>
    <row r="2" spans="1:6" s="21" customFormat="1" ht="15.75" customHeight="1">
      <c r="A2" s="21" t="s">
        <v>189</v>
      </c>
      <c r="B2" s="469">
        <f>'1. key ratios'!B2</f>
        <v>44742</v>
      </c>
      <c r="C2"/>
      <c r="D2"/>
      <c r="E2"/>
      <c r="F2"/>
    </row>
    <row r="3" spans="1:6" s="21" customFormat="1" ht="15.75" customHeight="1">
      <c r="C3"/>
      <c r="D3"/>
      <c r="E3"/>
      <c r="F3"/>
    </row>
    <row r="4" spans="1:6" s="21" customFormat="1" ht="26.25" thickBot="1">
      <c r="A4" s="21" t="s">
        <v>334</v>
      </c>
      <c r="B4" s="193" t="s">
        <v>265</v>
      </c>
      <c r="C4" s="187" t="s">
        <v>93</v>
      </c>
      <c r="D4"/>
      <c r="E4"/>
      <c r="F4"/>
    </row>
    <row r="5" spans="1:6" ht="26.25">
      <c r="A5" s="188">
        <v>1</v>
      </c>
      <c r="B5" s="189" t="s">
        <v>341</v>
      </c>
      <c r="C5" s="260">
        <f>'7. LI1'!E21</f>
        <v>1993891884.2168999</v>
      </c>
    </row>
    <row r="6" spans="1:6" s="178" customFormat="1">
      <c r="A6" s="117">
        <v>2.1</v>
      </c>
      <c r="B6" s="195" t="s">
        <v>266</v>
      </c>
      <c r="C6" s="261">
        <v>35681618.990000002</v>
      </c>
    </row>
    <row r="7" spans="1:6" s="4" customFormat="1" ht="25.5" outlineLevel="1">
      <c r="A7" s="194">
        <v>2.2000000000000002</v>
      </c>
      <c r="B7" s="190" t="s">
        <v>267</v>
      </c>
      <c r="C7" s="262">
        <v>116641515</v>
      </c>
    </row>
    <row r="8" spans="1:6" s="4" customFormat="1" ht="26.25">
      <c r="A8" s="194">
        <v>3</v>
      </c>
      <c r="B8" s="191" t="s">
        <v>342</v>
      </c>
      <c r="C8" s="263">
        <f>SUM(C5:C7)</f>
        <v>2146215018.2068999</v>
      </c>
    </row>
    <row r="9" spans="1:6" s="178" customFormat="1">
      <c r="A9" s="117">
        <v>4</v>
      </c>
      <c r="B9" s="198" t="s">
        <v>263</v>
      </c>
      <c r="C9" s="261">
        <v>29817788.456099998</v>
      </c>
    </row>
    <row r="10" spans="1:6" s="4" customFormat="1" ht="25.5" outlineLevel="1">
      <c r="A10" s="194">
        <v>5.0999999999999996</v>
      </c>
      <c r="B10" s="190" t="s">
        <v>273</v>
      </c>
      <c r="C10" s="262">
        <v>-22772951.990000002</v>
      </c>
    </row>
    <row r="11" spans="1:6" s="4" customFormat="1" ht="25.5" outlineLevel="1">
      <c r="A11" s="194">
        <v>5.2</v>
      </c>
      <c r="B11" s="190" t="s">
        <v>274</v>
      </c>
      <c r="C11" s="262">
        <v>-114308684.7</v>
      </c>
    </row>
    <row r="12" spans="1:6" s="4" customFormat="1">
      <c r="A12" s="194">
        <v>6</v>
      </c>
      <c r="B12" s="196" t="s">
        <v>477</v>
      </c>
      <c r="C12" s="361"/>
    </row>
    <row r="13" spans="1:6" s="4" customFormat="1" ht="15.75" thickBot="1">
      <c r="A13" s="197">
        <v>7</v>
      </c>
      <c r="B13" s="192" t="s">
        <v>264</v>
      </c>
      <c r="C13" s="264">
        <f>SUM(C8:C12)</f>
        <v>2038951169.9730003</v>
      </c>
    </row>
    <row r="15" spans="1:6" ht="26.25">
      <c r="B15" s="23" t="s">
        <v>478</v>
      </c>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WSbWOCJC58mEynWA6rTrC2FCYEZL7Z01DssVuCKN/H4=</DigestValue>
    </Reference>
    <Reference Type="http://www.w3.org/2000/09/xmldsig#Object" URI="#idOfficeObject">
      <DigestMethod Algorithm="http://www.w3.org/2001/04/xmlenc#sha256"/>
      <DigestValue>7nP36YpMfnLh8zyICgNrHLsNqxTKk30Ky+G+5NO5HUE=</DigestValue>
    </Reference>
    <Reference Type="http://uri.etsi.org/01903#SignedProperties" URI="#idSignedProperties">
      <Transforms>
        <Transform Algorithm="http://www.w3.org/TR/2001/REC-xml-c14n-20010315"/>
      </Transforms>
      <DigestMethod Algorithm="http://www.w3.org/2001/04/xmlenc#sha256"/>
      <DigestValue>R5deoej78JlQ3cCCPVeLwSK6XFQFroFV6E3MeP6pYb4=</DigestValue>
    </Reference>
  </SignedInfo>
  <SignatureValue>Pn6UcjLgqusPXnlLb6IYns3mJ/reOSsMEsk6XXY7LJQ87ECk2aZV5pPk9eVUB8SJPWESrO8sIj3E
GJT38j4Ipz8GgxcSu72RQf9WaCOxDnCKQCISyHZfQATKibq2p4SskHKIVRExkV2n+kpMrq9xNpxA
dWR5hf3HtC07N9E69GfQgNyxV0X8V0VJ7PQaecudcGULQYgps2felBcCWmZubZxzv/n8WcSPrgMt
kM4LYsnkE0nSkKuYF0i6v6x0QsFjWgKtOhBU7tvlqaEbq+/wrbPdehdWWtOqaXOG+JlM2Km9yCfL
34wD/C1WtnPC322l+KNlW6JLjvYk3DD+AREt1w==</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NpPWdW3/ntg8BxJu89jgiPCaVwPZLtJP3bnVCS6OVss=</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Cu2vDuPSW1mXny4I1weog/uR73cw9lXDMrijOWg8HSA=</DigestValue>
      </Reference>
      <Reference URI="/xl/printerSettings/printerSettings10.bin?ContentType=application/vnd.openxmlformats-officedocument.spreadsheetml.printerSettings">
        <DigestMethod Algorithm="http://www.w3.org/2001/04/xmlenc#sha256"/>
        <DigestValue>Cu2vDuPSW1mXny4I1weog/uR73cw9lXDMrijOWg8HSA=</DigestValue>
      </Reference>
      <Reference URI="/xl/printerSettings/printerSettings11.bin?ContentType=application/vnd.openxmlformats-officedocument.spreadsheetml.printerSettings">
        <DigestMethod Algorithm="http://www.w3.org/2001/04/xmlenc#sha256"/>
        <DigestValue>Cu2vDuPSW1mXny4I1weog/uR73cw9lXDMrijOWg8HSA=</DigestValue>
      </Reference>
      <Reference URI="/xl/printerSettings/printerSettings12.bin?ContentType=application/vnd.openxmlformats-officedocument.spreadsheetml.printerSettings">
        <DigestMethod Algorithm="http://www.w3.org/2001/04/xmlenc#sha256"/>
        <DigestValue>Cu2vDuPSW1mXny4I1weog/uR73cw9lXDMrijOWg8HSA=</DigestValue>
      </Reference>
      <Reference URI="/xl/printerSettings/printerSettings13.bin?ContentType=application/vnd.openxmlformats-officedocument.spreadsheetml.printerSettings">
        <DigestMethod Algorithm="http://www.w3.org/2001/04/xmlenc#sha256"/>
        <DigestValue>Cu2vDuPSW1mXny4I1weog/uR73cw9lXDMrijOWg8HSA=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l8l1e2eWPoQ+D+DzZ6anvjcFLzDQSQ5Jpb+lTOTGzD8=</DigestValue>
      </Reference>
      <Reference URI="/xl/printerSettings/printerSettings18.bin?ContentType=application/vnd.openxmlformats-officedocument.spreadsheetml.printerSettings">
        <DigestMethod Algorithm="http://www.w3.org/2001/04/xmlenc#sha256"/>
        <DigestValue>l8l1e2eWPoQ+D+DzZ6anvjcFLzDQSQ5Jpb+lTOTGzD8=</DigestValue>
      </Reference>
      <Reference URI="/xl/printerSettings/printerSettings19.bin?ContentType=application/vnd.openxmlformats-officedocument.spreadsheetml.printerSettings">
        <DigestMethod Algorithm="http://www.w3.org/2001/04/xmlenc#sha256"/>
        <DigestValue>l8l1e2eWPoQ+D+DzZ6anvjcFLzDQSQ5Jpb+lTOTGzD8=</DigestValue>
      </Reference>
      <Reference URI="/xl/printerSettings/printerSettings2.bin?ContentType=application/vnd.openxmlformats-officedocument.spreadsheetml.printerSettings">
        <DigestMethod Algorithm="http://www.w3.org/2001/04/xmlenc#sha256"/>
        <DigestValue>Cu2vDuPSW1mXny4I1weog/uR73cw9lXDMrijOWg8HSA=</DigestValue>
      </Reference>
      <Reference URI="/xl/printerSettings/printerSettings20.bin?ContentType=application/vnd.openxmlformats-officedocument.spreadsheetml.printerSettings">
        <DigestMethod Algorithm="http://www.w3.org/2001/04/xmlenc#sha256"/>
        <DigestValue>Cu2vDuPSW1mXny4I1weog/uR73cw9lXDMrijOWg8HSA=</DigestValue>
      </Reference>
      <Reference URI="/xl/printerSettings/printerSettings21.bin?ContentType=application/vnd.openxmlformats-officedocument.spreadsheetml.printerSettings">
        <DigestMethod Algorithm="http://www.w3.org/2001/04/xmlenc#sha256"/>
        <DigestValue>l8l1e2eWPoQ+D+DzZ6anvjcFLzDQSQ5Jpb+lTOTGzD8=</DigestValue>
      </Reference>
      <Reference URI="/xl/printerSettings/printerSettings22.bin?ContentType=application/vnd.openxmlformats-officedocument.spreadsheetml.printerSettings">
        <DigestMethod Algorithm="http://www.w3.org/2001/04/xmlenc#sha256"/>
        <DigestValue>l/MXa7C5ES1c3NglyQS9tGHBNbosNUSkRvLYxrQ04Uk=</DigestValue>
      </Reference>
      <Reference URI="/xl/printerSettings/printerSettings23.bin?ContentType=application/vnd.openxmlformats-officedocument.spreadsheetml.printerSettings">
        <DigestMethod Algorithm="http://www.w3.org/2001/04/xmlenc#sha256"/>
        <DigestValue>l/MXa7C5ES1c3NglyQS9tGHBNbosNUSkRvLYxrQ04Uk=</DigestValue>
      </Reference>
      <Reference URI="/xl/printerSettings/printerSettings24.bin?ContentType=application/vnd.openxmlformats-officedocument.spreadsheetml.printerSettings">
        <DigestMethod Algorithm="http://www.w3.org/2001/04/xmlenc#sha256"/>
        <DigestValue>l/MXa7C5ES1c3NglyQS9tGHBNbosNUSkRvLYxrQ04Uk=</DigestValue>
      </Reference>
      <Reference URI="/xl/printerSettings/printerSettings25.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Cu2vDuPSW1mXny4I1weog/uR73cw9lXDMrijOWg8HSA=</DigestValue>
      </Reference>
      <Reference URI="/xl/printerSettings/printerSettings4.bin?ContentType=application/vnd.openxmlformats-officedocument.spreadsheetml.printerSettings">
        <DigestMethod Algorithm="http://www.w3.org/2001/04/xmlenc#sha256"/>
        <DigestValue>Cu2vDuPSW1mXny4I1weog/uR73cw9lXDMrijOWg8HSA=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Cu2vDuPSW1mXny4I1weog/uR73cw9lXDMrijOWg8HSA=</DigestValue>
      </Reference>
      <Reference URI="/xl/printerSettings/printerSettings7.bin?ContentType=application/vnd.openxmlformats-officedocument.spreadsheetml.printerSettings">
        <DigestMethod Algorithm="http://www.w3.org/2001/04/xmlenc#sha256"/>
        <DigestValue>l8l1e2eWPoQ+D+DzZ6anvjcFLzDQSQ5Jpb+lTOTGzD8=</DigestValue>
      </Reference>
      <Reference URI="/xl/printerSettings/printerSettings8.bin?ContentType=application/vnd.openxmlformats-officedocument.spreadsheetml.printerSettings">
        <DigestMethod Algorithm="http://www.w3.org/2001/04/xmlenc#sha256"/>
        <DigestValue>Cu2vDuPSW1mXny4I1weog/uR73cw9lXDMrijOWg8HSA=</DigestValue>
      </Reference>
      <Reference URI="/xl/printerSettings/printerSettings9.bin?ContentType=application/vnd.openxmlformats-officedocument.spreadsheetml.printerSettings">
        <DigestMethod Algorithm="http://www.w3.org/2001/04/xmlenc#sha256"/>
        <DigestValue>Cu2vDuPSW1mXny4I1weog/uR73cw9lXDMrijOWg8HSA=</DigestValue>
      </Reference>
      <Reference URI="/xl/sharedStrings.xml?ContentType=application/vnd.openxmlformats-officedocument.spreadsheetml.sharedStrings+xml">
        <DigestMethod Algorithm="http://www.w3.org/2001/04/xmlenc#sha256"/>
        <DigestValue>mXZoOk9M/rcOIBh8EimmPWBULgBtYvj5EBvZy+TQov4=</DigestValue>
      </Reference>
      <Reference URI="/xl/styles.xml?ContentType=application/vnd.openxmlformats-officedocument.spreadsheetml.styles+xml">
        <DigestMethod Algorithm="http://www.w3.org/2001/04/xmlenc#sha256"/>
        <DigestValue>yiOkl1nLMemx+vGSyBCmG1NGkIeOO2Ctxma0Ov+CgSM=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Ord+cx3k3zTQtlKc3EXEkU6NEV370/R37xgrHzpbE1k=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n1dsqQ6shrokN/6lXGGbF8cSMyCVCZq0XUykYM+ugXw=</DigestValue>
      </Reference>
      <Reference URI="/xl/worksheets/sheet10.xml?ContentType=application/vnd.openxmlformats-officedocument.spreadsheetml.worksheet+xml">
        <DigestMethod Algorithm="http://www.w3.org/2001/04/xmlenc#sha256"/>
        <DigestValue>o1p8msqlEZEQRNAL3W2TNjWvkhH6kC/R3WxYXXIJi/M=</DigestValue>
      </Reference>
      <Reference URI="/xl/worksheets/sheet11.xml?ContentType=application/vnd.openxmlformats-officedocument.spreadsheetml.worksheet+xml">
        <DigestMethod Algorithm="http://www.w3.org/2001/04/xmlenc#sha256"/>
        <DigestValue>AlReKpZEioZWkEHZx+aIuD0C3pkAbshh2yTo8neSfm8=</DigestValue>
      </Reference>
      <Reference URI="/xl/worksheets/sheet12.xml?ContentType=application/vnd.openxmlformats-officedocument.spreadsheetml.worksheet+xml">
        <DigestMethod Algorithm="http://www.w3.org/2001/04/xmlenc#sha256"/>
        <DigestValue>KYYyW7Y9fLYZjHRIvGLeFOOqpcZfcRYGqi9Nf4IJxII=</DigestValue>
      </Reference>
      <Reference URI="/xl/worksheets/sheet13.xml?ContentType=application/vnd.openxmlformats-officedocument.spreadsheetml.worksheet+xml">
        <DigestMethod Algorithm="http://www.w3.org/2001/04/xmlenc#sha256"/>
        <DigestValue>117TN8aWUa4JLm+cquHUnOJGXfZA0a3gIItVqhmcCmY=</DigestValue>
      </Reference>
      <Reference URI="/xl/worksheets/sheet14.xml?ContentType=application/vnd.openxmlformats-officedocument.spreadsheetml.worksheet+xml">
        <DigestMethod Algorithm="http://www.w3.org/2001/04/xmlenc#sha256"/>
        <DigestValue>OCe/e0KOL17drHAzwouoVbt5m6TyIWnhkUHJV+u7L+A=</DigestValue>
      </Reference>
      <Reference URI="/xl/worksheets/sheet15.xml?ContentType=application/vnd.openxmlformats-officedocument.spreadsheetml.worksheet+xml">
        <DigestMethod Algorithm="http://www.w3.org/2001/04/xmlenc#sha256"/>
        <DigestValue>VLbVncCfEp6tAzQFrUHbZ2VPGz7jLA6dCtGcU90kkXY=</DigestValue>
      </Reference>
      <Reference URI="/xl/worksheets/sheet16.xml?ContentType=application/vnd.openxmlformats-officedocument.spreadsheetml.worksheet+xml">
        <DigestMethod Algorithm="http://www.w3.org/2001/04/xmlenc#sha256"/>
        <DigestValue>27AlKoK7ZUW76a35IijxVbS2ChccFCZ+Bx2Rw2Dr6mg=</DigestValue>
      </Reference>
      <Reference URI="/xl/worksheets/sheet17.xml?ContentType=application/vnd.openxmlformats-officedocument.spreadsheetml.worksheet+xml">
        <DigestMethod Algorithm="http://www.w3.org/2001/04/xmlenc#sha256"/>
        <DigestValue>p6D+jUvQjlo3bQqYtt7VRupwkUsl5f1r9Fy88uZyt/s=</DigestValue>
      </Reference>
      <Reference URI="/xl/worksheets/sheet18.xml?ContentType=application/vnd.openxmlformats-officedocument.spreadsheetml.worksheet+xml">
        <DigestMethod Algorithm="http://www.w3.org/2001/04/xmlenc#sha256"/>
        <DigestValue>4wnv8cLzqZcWmKlk3Ie7J4dO6FwCex77oGovck4XU2k=</DigestValue>
      </Reference>
      <Reference URI="/xl/worksheets/sheet19.xml?ContentType=application/vnd.openxmlformats-officedocument.spreadsheetml.worksheet+xml">
        <DigestMethod Algorithm="http://www.w3.org/2001/04/xmlenc#sha256"/>
        <DigestValue>RYF9/ujCTlbnKrvxA9Y9U2AeosEUFlbEG7gs+JGsgic=</DigestValue>
      </Reference>
      <Reference URI="/xl/worksheets/sheet2.xml?ContentType=application/vnd.openxmlformats-officedocument.spreadsheetml.worksheet+xml">
        <DigestMethod Algorithm="http://www.w3.org/2001/04/xmlenc#sha256"/>
        <DigestValue>x0N9pqXqdPsbShol7400C764VpKYHJ3jCZssfULFNCE=</DigestValue>
      </Reference>
      <Reference URI="/xl/worksheets/sheet20.xml?ContentType=application/vnd.openxmlformats-officedocument.spreadsheetml.worksheet+xml">
        <DigestMethod Algorithm="http://www.w3.org/2001/04/xmlenc#sha256"/>
        <DigestValue>Ibyr2fpFiI1nMx4RtGEfJ554BbM4vgo6o5ynKgtk5e8=</DigestValue>
      </Reference>
      <Reference URI="/xl/worksheets/sheet21.xml?ContentType=application/vnd.openxmlformats-officedocument.spreadsheetml.worksheet+xml">
        <DigestMethod Algorithm="http://www.w3.org/2001/04/xmlenc#sha256"/>
        <DigestValue>LT3wH2DMHTuwuIKucpQh0JSOzaWBpf70Ap2vfM0tPgU=</DigestValue>
      </Reference>
      <Reference URI="/xl/worksheets/sheet22.xml?ContentType=application/vnd.openxmlformats-officedocument.spreadsheetml.worksheet+xml">
        <DigestMethod Algorithm="http://www.w3.org/2001/04/xmlenc#sha256"/>
        <DigestValue>iQ631Zi7vOcuOT5eZYdwukrCwkbh4boYO5WySrKTYpk=</DigestValue>
      </Reference>
      <Reference URI="/xl/worksheets/sheet23.xml?ContentType=application/vnd.openxmlformats-officedocument.spreadsheetml.worksheet+xml">
        <DigestMethod Algorithm="http://www.w3.org/2001/04/xmlenc#sha256"/>
        <DigestValue>bKuYBqmLK86Yl9RTRox7z95Di8/hiC0n5JqArbcleBY=</DigestValue>
      </Reference>
      <Reference URI="/xl/worksheets/sheet24.xml?ContentType=application/vnd.openxmlformats-officedocument.spreadsheetml.worksheet+xml">
        <DigestMethod Algorithm="http://www.w3.org/2001/04/xmlenc#sha256"/>
        <DigestValue>SknwNEgqw+ok6vyB0feySlgXrIoMv/eGgZMTtYDX6d8=</DigestValue>
      </Reference>
      <Reference URI="/xl/worksheets/sheet25.xml?ContentType=application/vnd.openxmlformats-officedocument.spreadsheetml.worksheet+xml">
        <DigestMethod Algorithm="http://www.w3.org/2001/04/xmlenc#sha256"/>
        <DigestValue>RMxCD6T/Mb5xzpwxMxr/Eq3kW2AWVrOtWRXxFx+7Zew=</DigestValue>
      </Reference>
      <Reference URI="/xl/worksheets/sheet26.xml?ContentType=application/vnd.openxmlformats-officedocument.spreadsheetml.worksheet+xml">
        <DigestMethod Algorithm="http://www.w3.org/2001/04/xmlenc#sha256"/>
        <DigestValue>0Pv+/bvrgbUmBEJF9vvZYJANCU5KoSmMHVZdh86nEHg=</DigestValue>
      </Reference>
      <Reference URI="/xl/worksheets/sheet27.xml?ContentType=application/vnd.openxmlformats-officedocument.spreadsheetml.worksheet+xml">
        <DigestMethod Algorithm="http://www.w3.org/2001/04/xmlenc#sha256"/>
        <DigestValue>poGcauMy5OGSiuJ6Hi/aYxVTj074+SbkXKgWnoTYjhQ=</DigestValue>
      </Reference>
      <Reference URI="/xl/worksheets/sheet28.xml?ContentType=application/vnd.openxmlformats-officedocument.spreadsheetml.worksheet+xml">
        <DigestMethod Algorithm="http://www.w3.org/2001/04/xmlenc#sha256"/>
        <DigestValue>uWCFyFSfOkJL9cT2bwAwSygO8u7ZRddVIYHtdPx04Hg=</DigestValue>
      </Reference>
      <Reference URI="/xl/worksheets/sheet29.xml?ContentType=application/vnd.openxmlformats-officedocument.spreadsheetml.worksheet+xml">
        <DigestMethod Algorithm="http://www.w3.org/2001/04/xmlenc#sha256"/>
        <DigestValue>I1YEQBdoPhZfOx8bljEQjtYhBfHV9zeXdM37pfLeXjI=</DigestValue>
      </Reference>
      <Reference URI="/xl/worksheets/sheet3.xml?ContentType=application/vnd.openxmlformats-officedocument.spreadsheetml.worksheet+xml">
        <DigestMethod Algorithm="http://www.w3.org/2001/04/xmlenc#sha256"/>
        <DigestValue>1WOYqlyMrDWlwTqHzv8bUbBzTRIpg1RSq5dmf9OFPqg=</DigestValue>
      </Reference>
      <Reference URI="/xl/worksheets/sheet4.xml?ContentType=application/vnd.openxmlformats-officedocument.spreadsheetml.worksheet+xml">
        <DigestMethod Algorithm="http://www.w3.org/2001/04/xmlenc#sha256"/>
        <DigestValue>9IcDV6JdC8kc/aS2CNvz5xuW5NYGTDQqiAeJfzCsSuA=</DigestValue>
      </Reference>
      <Reference URI="/xl/worksheets/sheet5.xml?ContentType=application/vnd.openxmlformats-officedocument.spreadsheetml.worksheet+xml">
        <DigestMethod Algorithm="http://www.w3.org/2001/04/xmlenc#sha256"/>
        <DigestValue>35cx2YSA/tx5FIi8tTYE1mUurc/Fnl3Qfj1mBqir7Yo=</DigestValue>
      </Reference>
      <Reference URI="/xl/worksheets/sheet6.xml?ContentType=application/vnd.openxmlformats-officedocument.spreadsheetml.worksheet+xml">
        <DigestMethod Algorithm="http://www.w3.org/2001/04/xmlenc#sha256"/>
        <DigestValue>aS0p9DPUAqBfwZG2Ll1m13T8hdmGLNVbE+8jL6DeCtc=</DigestValue>
      </Reference>
      <Reference URI="/xl/worksheets/sheet7.xml?ContentType=application/vnd.openxmlformats-officedocument.spreadsheetml.worksheet+xml">
        <DigestMethod Algorithm="http://www.w3.org/2001/04/xmlenc#sha256"/>
        <DigestValue>Pg6UpdlbvCNkwYQgSaRZpwAmpQj8EMC/Ix2d3GD+63E=</DigestValue>
      </Reference>
      <Reference URI="/xl/worksheets/sheet8.xml?ContentType=application/vnd.openxmlformats-officedocument.spreadsheetml.worksheet+xml">
        <DigestMethod Algorithm="http://www.w3.org/2001/04/xmlenc#sha256"/>
        <DigestValue>l1CI6nrDp+FIhGnWf2/+r12lFr+Kkr1LbsqgPpiSqK0=</DigestValue>
      </Reference>
      <Reference URI="/xl/worksheets/sheet9.xml?ContentType=application/vnd.openxmlformats-officedocument.spreadsheetml.worksheet+xml">
        <DigestMethod Algorithm="http://www.w3.org/2001/04/xmlenc#sha256"/>
        <DigestValue>NHNNlKP5UGjggcF6o8DzqAScNZGsfeqiDusk1ZA3vYY=</DigestValue>
      </Reference>
    </Manifest>
    <SignatureProperties>
      <SignatureProperty Id="idSignatureTime" Target="#idPackageSignature">
        <mdssi:SignatureTime xmlns:mdssi="http://schemas.openxmlformats.org/package/2006/digital-signature">
          <mdssi:Format>YYYY-MM-DDThh:mm:ssTZD</mdssi:Format>
          <mdssi:Value>2022-07-22T09:24:47Z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2022-07-22T09:24:47Z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9pu12LgKmlJIMZd3ikTDXvLOgizI6FrdMkHPivTG5KQ=</DigestValue>
    </Reference>
    <Reference Type="http://www.w3.org/2000/09/xmldsig#Object" URI="#idOfficeObject">
      <DigestMethod Algorithm="http://www.w3.org/2001/04/xmlenc#sha256"/>
      <DigestValue>8/rq6MUG6WVuGPFwxFEBYhdjTDTAUWwzeqJ4P+uCMXM=</DigestValue>
    </Reference>
    <Reference Type="http://uri.etsi.org/01903#SignedProperties" URI="#idSignedProperties">
      <Transforms>
        <Transform Algorithm="http://www.w3.org/TR/2001/REC-xml-c14n-20010315"/>
      </Transforms>
      <DigestMethod Algorithm="http://www.w3.org/2001/04/xmlenc#sha256"/>
      <DigestValue>fo9V4AIn7BOomhXFHcTOWeaO9VPghdAUueuFq12xpD4=</DigestValue>
    </Reference>
  </SignedInfo>
  <SignatureValue>PMcrCJ51bBl65f3r4n1v0EkOMAAb1EiXQWkroc1xQPD1xacC6UjaW0ifMU4wQoCj2eRNl1yyfDt7
fyyFDQutvDStNMpUZkQlXG6bem8tJ8JNJQ68BdA+nkEYC983RDoMggRPaI8Ojyjp1BnU8xMuMuft
9r9a4hS3P5QxQip4dBa3HSBYZfj0ZPNzv4s/c5bWIItDhGQTlw5kyQza4G8Bj3o5WxANlhPqKWaK
FPjzGBhPqNX0xER9vKCqWB1h9RSMSb7vqRMhHhQMHJ5U1SMeTXmgJhAACErp/x+2Mbm87n6MN5VF
Xx826TpsrW7bOJKnyG6esK2tvDJbf3oPLrpUrQ==</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NpPWdW3/ntg8BxJu89jgiPCaVwPZLtJP3bnVCS6OVss=</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Cu2vDuPSW1mXny4I1weog/uR73cw9lXDMrijOWg8HSA=</DigestValue>
      </Reference>
      <Reference URI="/xl/printerSettings/printerSettings10.bin?ContentType=application/vnd.openxmlformats-officedocument.spreadsheetml.printerSettings">
        <DigestMethod Algorithm="http://www.w3.org/2001/04/xmlenc#sha256"/>
        <DigestValue>Cu2vDuPSW1mXny4I1weog/uR73cw9lXDMrijOWg8HSA=</DigestValue>
      </Reference>
      <Reference URI="/xl/printerSettings/printerSettings11.bin?ContentType=application/vnd.openxmlformats-officedocument.spreadsheetml.printerSettings">
        <DigestMethod Algorithm="http://www.w3.org/2001/04/xmlenc#sha256"/>
        <DigestValue>Cu2vDuPSW1mXny4I1weog/uR73cw9lXDMrijOWg8HSA=</DigestValue>
      </Reference>
      <Reference URI="/xl/printerSettings/printerSettings12.bin?ContentType=application/vnd.openxmlformats-officedocument.spreadsheetml.printerSettings">
        <DigestMethod Algorithm="http://www.w3.org/2001/04/xmlenc#sha256"/>
        <DigestValue>Cu2vDuPSW1mXny4I1weog/uR73cw9lXDMrijOWg8HSA=</DigestValue>
      </Reference>
      <Reference URI="/xl/printerSettings/printerSettings13.bin?ContentType=application/vnd.openxmlformats-officedocument.spreadsheetml.printerSettings">
        <DigestMethod Algorithm="http://www.w3.org/2001/04/xmlenc#sha256"/>
        <DigestValue>Cu2vDuPSW1mXny4I1weog/uR73cw9lXDMrijOWg8HSA=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l8l1e2eWPoQ+D+DzZ6anvjcFLzDQSQ5Jpb+lTOTGzD8=</DigestValue>
      </Reference>
      <Reference URI="/xl/printerSettings/printerSettings18.bin?ContentType=application/vnd.openxmlformats-officedocument.spreadsheetml.printerSettings">
        <DigestMethod Algorithm="http://www.w3.org/2001/04/xmlenc#sha256"/>
        <DigestValue>l8l1e2eWPoQ+D+DzZ6anvjcFLzDQSQ5Jpb+lTOTGzD8=</DigestValue>
      </Reference>
      <Reference URI="/xl/printerSettings/printerSettings19.bin?ContentType=application/vnd.openxmlformats-officedocument.spreadsheetml.printerSettings">
        <DigestMethod Algorithm="http://www.w3.org/2001/04/xmlenc#sha256"/>
        <DigestValue>l8l1e2eWPoQ+D+DzZ6anvjcFLzDQSQ5Jpb+lTOTGzD8=</DigestValue>
      </Reference>
      <Reference URI="/xl/printerSettings/printerSettings2.bin?ContentType=application/vnd.openxmlformats-officedocument.spreadsheetml.printerSettings">
        <DigestMethod Algorithm="http://www.w3.org/2001/04/xmlenc#sha256"/>
        <DigestValue>Cu2vDuPSW1mXny4I1weog/uR73cw9lXDMrijOWg8HSA=</DigestValue>
      </Reference>
      <Reference URI="/xl/printerSettings/printerSettings20.bin?ContentType=application/vnd.openxmlformats-officedocument.spreadsheetml.printerSettings">
        <DigestMethod Algorithm="http://www.w3.org/2001/04/xmlenc#sha256"/>
        <DigestValue>Cu2vDuPSW1mXny4I1weog/uR73cw9lXDMrijOWg8HSA=</DigestValue>
      </Reference>
      <Reference URI="/xl/printerSettings/printerSettings21.bin?ContentType=application/vnd.openxmlformats-officedocument.spreadsheetml.printerSettings">
        <DigestMethod Algorithm="http://www.w3.org/2001/04/xmlenc#sha256"/>
        <DigestValue>l8l1e2eWPoQ+D+DzZ6anvjcFLzDQSQ5Jpb+lTOTGzD8=</DigestValue>
      </Reference>
      <Reference URI="/xl/printerSettings/printerSettings22.bin?ContentType=application/vnd.openxmlformats-officedocument.spreadsheetml.printerSettings">
        <DigestMethod Algorithm="http://www.w3.org/2001/04/xmlenc#sha256"/>
        <DigestValue>l/MXa7C5ES1c3NglyQS9tGHBNbosNUSkRvLYxrQ04Uk=</DigestValue>
      </Reference>
      <Reference URI="/xl/printerSettings/printerSettings23.bin?ContentType=application/vnd.openxmlformats-officedocument.spreadsheetml.printerSettings">
        <DigestMethod Algorithm="http://www.w3.org/2001/04/xmlenc#sha256"/>
        <DigestValue>l/MXa7C5ES1c3NglyQS9tGHBNbosNUSkRvLYxrQ04Uk=</DigestValue>
      </Reference>
      <Reference URI="/xl/printerSettings/printerSettings24.bin?ContentType=application/vnd.openxmlformats-officedocument.spreadsheetml.printerSettings">
        <DigestMethod Algorithm="http://www.w3.org/2001/04/xmlenc#sha256"/>
        <DigestValue>l/MXa7C5ES1c3NglyQS9tGHBNbosNUSkRvLYxrQ04Uk=</DigestValue>
      </Reference>
      <Reference URI="/xl/printerSettings/printerSettings25.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Cu2vDuPSW1mXny4I1weog/uR73cw9lXDMrijOWg8HSA=</DigestValue>
      </Reference>
      <Reference URI="/xl/printerSettings/printerSettings4.bin?ContentType=application/vnd.openxmlformats-officedocument.spreadsheetml.printerSettings">
        <DigestMethod Algorithm="http://www.w3.org/2001/04/xmlenc#sha256"/>
        <DigestValue>Cu2vDuPSW1mXny4I1weog/uR73cw9lXDMrijOWg8HSA=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Cu2vDuPSW1mXny4I1weog/uR73cw9lXDMrijOWg8HSA=</DigestValue>
      </Reference>
      <Reference URI="/xl/printerSettings/printerSettings7.bin?ContentType=application/vnd.openxmlformats-officedocument.spreadsheetml.printerSettings">
        <DigestMethod Algorithm="http://www.w3.org/2001/04/xmlenc#sha256"/>
        <DigestValue>l8l1e2eWPoQ+D+DzZ6anvjcFLzDQSQ5Jpb+lTOTGzD8=</DigestValue>
      </Reference>
      <Reference URI="/xl/printerSettings/printerSettings8.bin?ContentType=application/vnd.openxmlformats-officedocument.spreadsheetml.printerSettings">
        <DigestMethod Algorithm="http://www.w3.org/2001/04/xmlenc#sha256"/>
        <DigestValue>Cu2vDuPSW1mXny4I1weog/uR73cw9lXDMrijOWg8HSA=</DigestValue>
      </Reference>
      <Reference URI="/xl/printerSettings/printerSettings9.bin?ContentType=application/vnd.openxmlformats-officedocument.spreadsheetml.printerSettings">
        <DigestMethod Algorithm="http://www.w3.org/2001/04/xmlenc#sha256"/>
        <DigestValue>Cu2vDuPSW1mXny4I1weog/uR73cw9lXDMrijOWg8HSA=</DigestValue>
      </Reference>
      <Reference URI="/xl/sharedStrings.xml?ContentType=application/vnd.openxmlformats-officedocument.spreadsheetml.sharedStrings+xml">
        <DigestMethod Algorithm="http://www.w3.org/2001/04/xmlenc#sha256"/>
        <DigestValue>mXZoOk9M/rcOIBh8EimmPWBULgBtYvj5EBvZy+TQov4=</DigestValue>
      </Reference>
      <Reference URI="/xl/styles.xml?ContentType=application/vnd.openxmlformats-officedocument.spreadsheetml.styles+xml">
        <DigestMethod Algorithm="http://www.w3.org/2001/04/xmlenc#sha256"/>
        <DigestValue>yiOkl1nLMemx+vGSyBCmG1NGkIeOO2Ctxma0Ov+CgSM=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Ord+cx3k3zTQtlKc3EXEkU6NEV370/R37xgrHzpbE1k=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n1dsqQ6shrokN/6lXGGbF8cSMyCVCZq0XUykYM+ugXw=</DigestValue>
      </Reference>
      <Reference URI="/xl/worksheets/sheet10.xml?ContentType=application/vnd.openxmlformats-officedocument.spreadsheetml.worksheet+xml">
        <DigestMethod Algorithm="http://www.w3.org/2001/04/xmlenc#sha256"/>
        <DigestValue>o1p8msqlEZEQRNAL3W2TNjWvkhH6kC/R3WxYXXIJi/M=</DigestValue>
      </Reference>
      <Reference URI="/xl/worksheets/sheet11.xml?ContentType=application/vnd.openxmlformats-officedocument.spreadsheetml.worksheet+xml">
        <DigestMethod Algorithm="http://www.w3.org/2001/04/xmlenc#sha256"/>
        <DigestValue>AlReKpZEioZWkEHZx+aIuD0C3pkAbshh2yTo8neSfm8=</DigestValue>
      </Reference>
      <Reference URI="/xl/worksheets/sheet12.xml?ContentType=application/vnd.openxmlformats-officedocument.spreadsheetml.worksheet+xml">
        <DigestMethod Algorithm="http://www.w3.org/2001/04/xmlenc#sha256"/>
        <DigestValue>KYYyW7Y9fLYZjHRIvGLeFOOqpcZfcRYGqi9Nf4IJxII=</DigestValue>
      </Reference>
      <Reference URI="/xl/worksheets/sheet13.xml?ContentType=application/vnd.openxmlformats-officedocument.spreadsheetml.worksheet+xml">
        <DigestMethod Algorithm="http://www.w3.org/2001/04/xmlenc#sha256"/>
        <DigestValue>117TN8aWUa4JLm+cquHUnOJGXfZA0a3gIItVqhmcCmY=</DigestValue>
      </Reference>
      <Reference URI="/xl/worksheets/sheet14.xml?ContentType=application/vnd.openxmlformats-officedocument.spreadsheetml.worksheet+xml">
        <DigestMethod Algorithm="http://www.w3.org/2001/04/xmlenc#sha256"/>
        <DigestValue>OCe/e0KOL17drHAzwouoVbt5m6TyIWnhkUHJV+u7L+A=</DigestValue>
      </Reference>
      <Reference URI="/xl/worksheets/sheet15.xml?ContentType=application/vnd.openxmlformats-officedocument.spreadsheetml.worksheet+xml">
        <DigestMethod Algorithm="http://www.w3.org/2001/04/xmlenc#sha256"/>
        <DigestValue>VLbVncCfEp6tAzQFrUHbZ2VPGz7jLA6dCtGcU90kkXY=</DigestValue>
      </Reference>
      <Reference URI="/xl/worksheets/sheet16.xml?ContentType=application/vnd.openxmlformats-officedocument.spreadsheetml.worksheet+xml">
        <DigestMethod Algorithm="http://www.w3.org/2001/04/xmlenc#sha256"/>
        <DigestValue>27AlKoK7ZUW76a35IijxVbS2ChccFCZ+Bx2Rw2Dr6mg=</DigestValue>
      </Reference>
      <Reference URI="/xl/worksheets/sheet17.xml?ContentType=application/vnd.openxmlformats-officedocument.spreadsheetml.worksheet+xml">
        <DigestMethod Algorithm="http://www.w3.org/2001/04/xmlenc#sha256"/>
        <DigestValue>p6D+jUvQjlo3bQqYtt7VRupwkUsl5f1r9Fy88uZyt/s=</DigestValue>
      </Reference>
      <Reference URI="/xl/worksheets/sheet18.xml?ContentType=application/vnd.openxmlformats-officedocument.spreadsheetml.worksheet+xml">
        <DigestMethod Algorithm="http://www.w3.org/2001/04/xmlenc#sha256"/>
        <DigestValue>4wnv8cLzqZcWmKlk3Ie7J4dO6FwCex77oGovck4XU2k=</DigestValue>
      </Reference>
      <Reference URI="/xl/worksheets/sheet19.xml?ContentType=application/vnd.openxmlformats-officedocument.spreadsheetml.worksheet+xml">
        <DigestMethod Algorithm="http://www.w3.org/2001/04/xmlenc#sha256"/>
        <DigestValue>RYF9/ujCTlbnKrvxA9Y9U2AeosEUFlbEG7gs+JGsgic=</DigestValue>
      </Reference>
      <Reference URI="/xl/worksheets/sheet2.xml?ContentType=application/vnd.openxmlformats-officedocument.spreadsheetml.worksheet+xml">
        <DigestMethod Algorithm="http://www.w3.org/2001/04/xmlenc#sha256"/>
        <DigestValue>x0N9pqXqdPsbShol7400C764VpKYHJ3jCZssfULFNCE=</DigestValue>
      </Reference>
      <Reference URI="/xl/worksheets/sheet20.xml?ContentType=application/vnd.openxmlformats-officedocument.spreadsheetml.worksheet+xml">
        <DigestMethod Algorithm="http://www.w3.org/2001/04/xmlenc#sha256"/>
        <DigestValue>Ibyr2fpFiI1nMx4RtGEfJ554BbM4vgo6o5ynKgtk5e8=</DigestValue>
      </Reference>
      <Reference URI="/xl/worksheets/sheet21.xml?ContentType=application/vnd.openxmlformats-officedocument.spreadsheetml.worksheet+xml">
        <DigestMethod Algorithm="http://www.w3.org/2001/04/xmlenc#sha256"/>
        <DigestValue>LT3wH2DMHTuwuIKucpQh0JSOzaWBpf70Ap2vfM0tPgU=</DigestValue>
      </Reference>
      <Reference URI="/xl/worksheets/sheet22.xml?ContentType=application/vnd.openxmlformats-officedocument.spreadsheetml.worksheet+xml">
        <DigestMethod Algorithm="http://www.w3.org/2001/04/xmlenc#sha256"/>
        <DigestValue>iQ631Zi7vOcuOT5eZYdwukrCwkbh4boYO5WySrKTYpk=</DigestValue>
      </Reference>
      <Reference URI="/xl/worksheets/sheet23.xml?ContentType=application/vnd.openxmlformats-officedocument.spreadsheetml.worksheet+xml">
        <DigestMethod Algorithm="http://www.w3.org/2001/04/xmlenc#sha256"/>
        <DigestValue>bKuYBqmLK86Yl9RTRox7z95Di8/hiC0n5JqArbcleBY=</DigestValue>
      </Reference>
      <Reference URI="/xl/worksheets/sheet24.xml?ContentType=application/vnd.openxmlformats-officedocument.spreadsheetml.worksheet+xml">
        <DigestMethod Algorithm="http://www.w3.org/2001/04/xmlenc#sha256"/>
        <DigestValue>SknwNEgqw+ok6vyB0feySlgXrIoMv/eGgZMTtYDX6d8=</DigestValue>
      </Reference>
      <Reference URI="/xl/worksheets/sheet25.xml?ContentType=application/vnd.openxmlformats-officedocument.spreadsheetml.worksheet+xml">
        <DigestMethod Algorithm="http://www.w3.org/2001/04/xmlenc#sha256"/>
        <DigestValue>RMxCD6T/Mb5xzpwxMxr/Eq3kW2AWVrOtWRXxFx+7Zew=</DigestValue>
      </Reference>
      <Reference URI="/xl/worksheets/sheet26.xml?ContentType=application/vnd.openxmlformats-officedocument.spreadsheetml.worksheet+xml">
        <DigestMethod Algorithm="http://www.w3.org/2001/04/xmlenc#sha256"/>
        <DigestValue>0Pv+/bvrgbUmBEJF9vvZYJANCU5KoSmMHVZdh86nEHg=</DigestValue>
      </Reference>
      <Reference URI="/xl/worksheets/sheet27.xml?ContentType=application/vnd.openxmlformats-officedocument.spreadsheetml.worksheet+xml">
        <DigestMethod Algorithm="http://www.w3.org/2001/04/xmlenc#sha256"/>
        <DigestValue>poGcauMy5OGSiuJ6Hi/aYxVTj074+SbkXKgWnoTYjhQ=</DigestValue>
      </Reference>
      <Reference URI="/xl/worksheets/sheet28.xml?ContentType=application/vnd.openxmlformats-officedocument.spreadsheetml.worksheet+xml">
        <DigestMethod Algorithm="http://www.w3.org/2001/04/xmlenc#sha256"/>
        <DigestValue>uWCFyFSfOkJL9cT2bwAwSygO8u7ZRddVIYHtdPx04Hg=</DigestValue>
      </Reference>
      <Reference URI="/xl/worksheets/sheet29.xml?ContentType=application/vnd.openxmlformats-officedocument.spreadsheetml.worksheet+xml">
        <DigestMethod Algorithm="http://www.w3.org/2001/04/xmlenc#sha256"/>
        <DigestValue>I1YEQBdoPhZfOx8bljEQjtYhBfHV9zeXdM37pfLeXjI=</DigestValue>
      </Reference>
      <Reference URI="/xl/worksheets/sheet3.xml?ContentType=application/vnd.openxmlformats-officedocument.spreadsheetml.worksheet+xml">
        <DigestMethod Algorithm="http://www.w3.org/2001/04/xmlenc#sha256"/>
        <DigestValue>1WOYqlyMrDWlwTqHzv8bUbBzTRIpg1RSq5dmf9OFPqg=</DigestValue>
      </Reference>
      <Reference URI="/xl/worksheets/sheet4.xml?ContentType=application/vnd.openxmlformats-officedocument.spreadsheetml.worksheet+xml">
        <DigestMethod Algorithm="http://www.w3.org/2001/04/xmlenc#sha256"/>
        <DigestValue>9IcDV6JdC8kc/aS2CNvz5xuW5NYGTDQqiAeJfzCsSuA=</DigestValue>
      </Reference>
      <Reference URI="/xl/worksheets/sheet5.xml?ContentType=application/vnd.openxmlformats-officedocument.spreadsheetml.worksheet+xml">
        <DigestMethod Algorithm="http://www.w3.org/2001/04/xmlenc#sha256"/>
        <DigestValue>35cx2YSA/tx5FIi8tTYE1mUurc/Fnl3Qfj1mBqir7Yo=</DigestValue>
      </Reference>
      <Reference URI="/xl/worksheets/sheet6.xml?ContentType=application/vnd.openxmlformats-officedocument.spreadsheetml.worksheet+xml">
        <DigestMethod Algorithm="http://www.w3.org/2001/04/xmlenc#sha256"/>
        <DigestValue>aS0p9DPUAqBfwZG2Ll1m13T8hdmGLNVbE+8jL6DeCtc=</DigestValue>
      </Reference>
      <Reference URI="/xl/worksheets/sheet7.xml?ContentType=application/vnd.openxmlformats-officedocument.spreadsheetml.worksheet+xml">
        <DigestMethod Algorithm="http://www.w3.org/2001/04/xmlenc#sha256"/>
        <DigestValue>Pg6UpdlbvCNkwYQgSaRZpwAmpQj8EMC/Ix2d3GD+63E=</DigestValue>
      </Reference>
      <Reference URI="/xl/worksheets/sheet8.xml?ContentType=application/vnd.openxmlformats-officedocument.spreadsheetml.worksheet+xml">
        <DigestMethod Algorithm="http://www.w3.org/2001/04/xmlenc#sha256"/>
        <DigestValue>l1CI6nrDp+FIhGnWf2/+r12lFr+Kkr1LbsqgPpiSqK0=</DigestValue>
      </Reference>
      <Reference URI="/xl/worksheets/sheet9.xml?ContentType=application/vnd.openxmlformats-officedocument.spreadsheetml.worksheet+xml">
        <DigestMethod Algorithm="http://www.w3.org/2001/04/xmlenc#sha256"/>
        <DigestValue>NHNNlKP5UGjggcF6o8DzqAScNZGsfeqiDusk1ZA3vYY=</DigestValue>
      </Reference>
    </Manifest>
    <SignatureProperties>
      <SignatureProperty Id="idSignatureTime" Target="#idPackageSignature">
        <mdssi:SignatureTime xmlns:mdssi="http://schemas.openxmlformats.org/package/2006/digital-signature">
          <mdssi:Format>YYYY-MM-DDThh:mm:ssTZD</mdssi:Format>
          <mdssi:Value>2022-07-25T10:46:25Z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16.0.15330/23</OfficeVersion>
          <ApplicationVersion>16.0.15330</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2022-07-25T10:46:25Z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2022-07-22T09:20:03Z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