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F3123E5F-4CF1-4950-91B9-1D766C0112C7}" xr6:coauthVersionLast="47" xr6:coauthVersionMax="47" xr10:uidLastSave="{00000000-0000-0000-0000-000000000000}"/>
  <bookViews>
    <workbookView xWindow="-120" yWindow="-120" windowWidth="20730" windowHeight="11160" tabRatio="919" firstSheet="21" activeTab="28"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87" l="1"/>
  <c r="C11" i="87"/>
  <c r="C12" i="87"/>
  <c r="C13" i="87"/>
  <c r="C14" i="87"/>
  <c r="C15" i="87"/>
  <c r="C17" i="87"/>
  <c r="C18" i="87"/>
  <c r="C19" i="87"/>
  <c r="C20" i="87"/>
  <c r="C21" i="87"/>
  <c r="C8" i="87"/>
  <c r="C9" i="86"/>
  <c r="C10" i="86"/>
  <c r="C11" i="86"/>
  <c r="C12" i="86"/>
  <c r="C13" i="86"/>
  <c r="C14" i="86"/>
  <c r="C15" i="86"/>
  <c r="C16" i="86"/>
  <c r="C17" i="86"/>
  <c r="C18" i="86"/>
  <c r="C8" i="86"/>
  <c r="H22" i="82" l="1"/>
  <c r="F22" i="82"/>
  <c r="E22" i="82"/>
  <c r="D7" i="83"/>
  <c r="D8" i="83"/>
  <c r="F31" i="80" l="1"/>
  <c r="D31" i="80" l="1"/>
  <c r="F10" i="80" l="1"/>
  <c r="D20" i="82" l="1"/>
  <c r="D21" i="81" l="1"/>
  <c r="E21" i="81"/>
  <c r="I8" i="83" l="1"/>
  <c r="I9" i="83"/>
  <c r="I10" i="83"/>
  <c r="I11" i="83"/>
  <c r="I12" i="83"/>
  <c r="I13" i="83"/>
  <c r="I14" i="83"/>
  <c r="I15" i="83"/>
  <c r="I16" i="83"/>
  <c r="I17" i="83"/>
  <c r="I18" i="83"/>
  <c r="I19" i="83"/>
  <c r="I20" i="83"/>
  <c r="I21" i="83"/>
  <c r="I22" i="83"/>
  <c r="I23" i="83"/>
  <c r="I24" i="83"/>
  <c r="I25" i="83"/>
  <c r="I26" i="83"/>
  <c r="I27" i="83"/>
  <c r="I28" i="83"/>
  <c r="I29" i="83"/>
  <c r="I30" i="83"/>
  <c r="I31" i="83"/>
  <c r="I32" i="83"/>
  <c r="I33" i="83"/>
  <c r="I7" i="83"/>
  <c r="G31" i="80" l="1"/>
  <c r="G20" i="80"/>
  <c r="G19" i="80"/>
  <c r="G16" i="80" l="1"/>
  <c r="G13" i="80"/>
  <c r="G12" i="80"/>
  <c r="G15" i="80" l="1"/>
  <c r="G9" i="80" l="1"/>
  <c r="G10" i="80"/>
  <c r="E22" i="62" l="1"/>
  <c r="E23" i="62"/>
  <c r="E24" i="62"/>
  <c r="E25" i="62"/>
  <c r="E26" i="62"/>
  <c r="E27" i="62"/>
  <c r="E28" i="62"/>
  <c r="E29" i="62"/>
  <c r="E30" i="62"/>
  <c r="F40" i="62" l="1"/>
  <c r="C40" i="62"/>
  <c r="C22" i="86" l="1"/>
  <c r="G34" i="80" l="1"/>
  <c r="G35" i="80"/>
  <c r="C45" i="69"/>
  <c r="F22" i="75" l="1"/>
  <c r="D32" i="75"/>
  <c r="C32" i="75"/>
  <c r="G40" i="75"/>
  <c r="F40" i="75"/>
  <c r="D40" i="75"/>
  <c r="C40" i="75"/>
  <c r="O19" i="92" l="1"/>
  <c r="I8" i="92"/>
  <c r="I9" i="92"/>
  <c r="I10" i="92"/>
  <c r="I11" i="92"/>
  <c r="I12" i="92"/>
  <c r="I13" i="92"/>
  <c r="I14" i="92"/>
  <c r="I15" i="92"/>
  <c r="I16" i="92"/>
  <c r="I17" i="92"/>
  <c r="I18" i="92"/>
  <c r="I7" i="92"/>
  <c r="K19" i="92"/>
  <c r="L19" i="92"/>
  <c r="M19" i="92"/>
  <c r="N19" i="92"/>
  <c r="J19" i="92"/>
  <c r="E19" i="92"/>
  <c r="F19" i="92"/>
  <c r="G19" i="92"/>
  <c r="H19" i="92"/>
  <c r="D19" i="92"/>
  <c r="C8" i="92"/>
  <c r="C9" i="92"/>
  <c r="C10" i="92"/>
  <c r="C11" i="92"/>
  <c r="C12" i="92"/>
  <c r="C13" i="92"/>
  <c r="C14" i="92"/>
  <c r="C15" i="92"/>
  <c r="C16" i="92"/>
  <c r="C17" i="92"/>
  <c r="C18" i="92"/>
  <c r="C7" i="92"/>
  <c r="C19" i="92" l="1"/>
  <c r="I19" i="92"/>
  <c r="E10" i="87" l="1"/>
  <c r="F10" i="87"/>
  <c r="G10" i="87"/>
  <c r="H10" i="87"/>
  <c r="I10" i="87"/>
  <c r="J10" i="87"/>
  <c r="K10" i="87"/>
  <c r="L10" i="87"/>
  <c r="M10" i="87"/>
  <c r="N10" i="87"/>
  <c r="O10" i="87"/>
  <c r="P10" i="87"/>
  <c r="D10" i="87"/>
  <c r="C10" i="87" l="1"/>
  <c r="D15" i="86"/>
  <c r="J33" i="88" l="1"/>
  <c r="K33" i="88"/>
  <c r="L33" i="88"/>
  <c r="M33" i="88"/>
  <c r="N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33" i="88" l="1"/>
  <c r="C12" i="84"/>
  <c r="C7" i="84"/>
  <c r="H21" i="81" l="1"/>
  <c r="G27" i="80" l="1"/>
  <c r="G26" i="80"/>
  <c r="G36" i="80"/>
  <c r="E9" i="37" l="1"/>
  <c r="J23" i="36" l="1"/>
  <c r="I23" i="36"/>
  <c r="K23" i="36" s="1"/>
  <c r="G23" i="36"/>
  <c r="F23" i="36"/>
  <c r="D21" i="36"/>
  <c r="F21" i="36"/>
  <c r="G21" i="36"/>
  <c r="I21" i="36"/>
  <c r="J21" i="36"/>
  <c r="C21" i="36"/>
  <c r="J16" i="36"/>
  <c r="I16" i="36"/>
  <c r="I24" i="36" s="1"/>
  <c r="G16" i="36"/>
  <c r="F16" i="36"/>
  <c r="C16" i="36"/>
  <c r="D16" i="36"/>
  <c r="J24" i="36" l="1"/>
  <c r="K24" i="36" s="1"/>
  <c r="K25" i="36" s="1"/>
  <c r="F24" i="36"/>
  <c r="G24" i="36"/>
  <c r="G25" i="36" s="1"/>
  <c r="I25" i="36"/>
  <c r="H23" i="36"/>
  <c r="H24" i="36" l="1"/>
  <c r="H25" i="36" s="1"/>
  <c r="J25" i="36"/>
  <c r="F25" i="36"/>
  <c r="K10" i="36"/>
  <c r="K11" i="36"/>
  <c r="K13" i="36"/>
  <c r="K15" i="36"/>
  <c r="K19" i="36"/>
  <c r="K21" i="36" s="1"/>
  <c r="K8" i="36"/>
  <c r="H10" i="36"/>
  <c r="H11" i="36"/>
  <c r="H13" i="36"/>
  <c r="H15" i="36"/>
  <c r="H19" i="36"/>
  <c r="H21" i="36" s="1"/>
  <c r="H8" i="36"/>
  <c r="E11" i="36"/>
  <c r="E12" i="36"/>
  <c r="E13" i="36"/>
  <c r="E15" i="36"/>
  <c r="E19" i="36"/>
  <c r="E21" i="36" s="1"/>
  <c r="E10" i="36"/>
  <c r="E16" i="36" l="1"/>
  <c r="K16" i="36"/>
  <c r="H16" i="36"/>
  <c r="H9" i="74"/>
  <c r="H10" i="74"/>
  <c r="H11" i="74"/>
  <c r="H12" i="74"/>
  <c r="H13" i="74"/>
  <c r="H14" i="74"/>
  <c r="H15" i="74"/>
  <c r="H16" i="74"/>
  <c r="H17" i="74"/>
  <c r="H18" i="74"/>
  <c r="H19" i="74"/>
  <c r="H20" i="74"/>
  <c r="H21" i="74"/>
  <c r="H8" i="74"/>
  <c r="C22" i="74"/>
  <c r="C15" i="69" l="1"/>
  <c r="E9" i="72" l="1"/>
  <c r="E10" i="72"/>
  <c r="E11" i="72"/>
  <c r="E12" i="72"/>
  <c r="E13" i="72"/>
  <c r="E14" i="72"/>
  <c r="E15" i="72"/>
  <c r="E16" i="72"/>
  <c r="E17" i="72"/>
  <c r="E18" i="72"/>
  <c r="E19" i="72"/>
  <c r="E20" i="72"/>
  <c r="E8" i="72"/>
  <c r="B2" i="71" l="1"/>
  <c r="G14" i="62" l="1"/>
  <c r="F14" i="62"/>
  <c r="C22" i="75" l="1"/>
  <c r="D14" i="62"/>
  <c r="C14" i="62"/>
  <c r="B1" i="89" l="1"/>
  <c r="B1" i="92" s="1"/>
  <c r="B1" i="88"/>
  <c r="B1" i="87"/>
  <c r="B1" i="86"/>
  <c r="B1" i="85"/>
  <c r="B1" i="84"/>
  <c r="B1" i="83"/>
  <c r="B1" i="82"/>
  <c r="B1" i="81"/>
  <c r="C21" i="82" l="1"/>
  <c r="D22" i="81"/>
  <c r="E22" i="81"/>
  <c r="F22" i="81"/>
  <c r="G22" i="81"/>
  <c r="C22" i="81"/>
  <c r="B2" i="89" l="1"/>
  <c r="B2" i="92" s="1"/>
  <c r="B2" i="88"/>
  <c r="B2" i="87"/>
  <c r="B2" i="86"/>
  <c r="B2" i="85"/>
  <c r="B2" i="84"/>
  <c r="B2" i="83"/>
  <c r="B2" i="82"/>
  <c r="B2" i="81"/>
  <c r="C10" i="85" l="1"/>
  <c r="C19" i="85" s="1"/>
  <c r="D12" i="84"/>
  <c r="D7" i="84"/>
  <c r="D19" i="84" s="1"/>
  <c r="H34" i="83"/>
  <c r="G34" i="83"/>
  <c r="F34" i="83"/>
  <c r="E34" i="83"/>
  <c r="D34" i="83"/>
  <c r="C34"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I34" i="83" l="1"/>
  <c r="C19" i="84"/>
  <c r="I21" i="82"/>
  <c r="H22" i="81"/>
  <c r="B2" i="80"/>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H7" i="37"/>
  <c r="G7" i="37"/>
  <c r="F7" i="37"/>
  <c r="F21" i="37" s="1"/>
  <c r="C7" i="37"/>
  <c r="G21" i="37" l="1"/>
  <c r="H21" i="37"/>
  <c r="I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E32" i="75" s="1"/>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H16" i="75" s="1"/>
  <c r="E17" i="75"/>
  <c r="E16" i="75" s="1"/>
  <c r="H15" i="75"/>
  <c r="E15" i="75"/>
  <c r="H14" i="75"/>
  <c r="E14" i="75"/>
  <c r="H13" i="75"/>
  <c r="E13" i="75"/>
  <c r="H12" i="75"/>
  <c r="E12" i="75"/>
  <c r="H11" i="75"/>
  <c r="E11" i="75"/>
  <c r="H10" i="75"/>
  <c r="E10" i="75"/>
  <c r="H9" i="75"/>
  <c r="E9" i="75"/>
  <c r="H8" i="75"/>
  <c r="E8" i="75"/>
  <c r="E19" i="75" l="1"/>
  <c r="H32" i="75"/>
  <c r="H7" i="75"/>
  <c r="H19" i="75"/>
  <c r="E7" i="75"/>
  <c r="H40" i="75"/>
  <c r="E40" i="75"/>
  <c r="G61" i="53"/>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<sst xmlns="http://schemas.openxmlformats.org/spreadsheetml/2006/main" count="1174" uniqueCount="784">
  <si>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</si>
  <si>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</si>
  <si>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</si>
  <si>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</si>
  <si>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</si>
  <si>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</si>
  <si>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</si>
  <si>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</si>
  <si>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</si>
  <si>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</si>
  <si>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</si>
  <si>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</si>
  <si>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</si>
  <si>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</si>
  <si>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</si>
  <si>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</si>
  <si>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</si>
  <si>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</si>
  <si>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</si>
  <si>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</si>
  <si>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</si>
  <si>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</si>
  <si>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</si>
  <si>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</si>
  <si>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</si>
  <si>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</si>
  <si>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</si>
  <si>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</si>
  <si>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</si>
  <si>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</si>
  <si>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</si>
  <si>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</si>
  <si>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</si>
  <si>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</si>
  <si>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</si>
  <si>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</si>
  <si>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</si>
  <si>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</si>
  <si>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</si>
  <si>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</si>
  <si>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</si>
  <si>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</si>
  <si>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</si>
  <si>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</si>
  <si>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</si>
  <si>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</si>
  <si>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</si>
  <si>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</si>
  <si>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</si>
  <si>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</si>
  <si>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</si>
  <si>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</si>
  <si>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</si>
  <si>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</si>
  <si>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</si>
  <si>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</si>
  <si>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</si>
  <si>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</si>
  <si>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</si>
  <si>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</si>
  <si>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</si>
  <si>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</si>
  <si>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</si>
  <si>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</si>
  <si>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</si>
  <si>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</si>
  <si>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</si>
  <si>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</si>
  <si>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</si>
  <si>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</si>
  <si>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</si>
  <si>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</si>
  <si>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</si>
  <si>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</si>
  <si>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</si>
  <si>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</si>
  <si>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</si>
  <si>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</si>
  <si>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</si>
  <si>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</si>
  <si>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</si>
  <si>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</si>
  <si>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</si>
  <si>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</si>
  <si>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</si>
  <si>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</si>
  <si>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</si>
  <si>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</si>
  <si>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</si>
  <si>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</si>
  <si>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</si>
  <si>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</si>
  <si>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</si>
  <si>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</si>
  <si>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</si>
  <si>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</si>
  <si>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</si>
  <si>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</si>
  <si>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</si>
  <si>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</si>
  <si>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</si>
  <si>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</si>
  <si>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</si>
  <si>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</si>
  <si>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</si>
  <si>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</si>
  <si>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</si>
  <si>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</si>
  <si>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</si>
  <si>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</si>
  <si>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</si>
  <si>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</si>
  <si>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</si>
  <si>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</si>
  <si>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</si>
  <si>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</si>
  <si>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</si>
  <si>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</si>
  <si>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</si>
  <si>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</si>
  <si>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</si>
  <si>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</si>
  <si>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</si>
  <si>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</si>
  <si>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</si>
  <si>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</si>
  <si>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</si>
  <si>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</si>
  <si>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</si>
  <si>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</si>
  <si>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</si>
  <si>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</si>
  <si>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</si>
  <si>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</si>
  <si>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</si>
  <si>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</si>
  <si>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</si>
  <si>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</si>
  <si>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</si>
  <si>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</si>
  <si>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</si>
  <si>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</si>
  <si>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</si>
  <si>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</si>
  <si>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</si>
  <si>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</si>
  <si>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</si>
  <si>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</si>
  <si>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</si>
  <si>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</si>
  <si>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</si>
  <si>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</si>
  <si>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</si>
  <si>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</si>
  <si>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</si>
  <si>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</si>
  <si>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</si>
  <si>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</si>
  <si>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</si>
  <si>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</si>
  <si>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</si>
  <si>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</si>
  <si>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</si>
  <si>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</si>
  <si>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</si>
  <si>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</si>
  <si>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</si>
  <si>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</si>
  <si>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</si>
  <si>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</si>
  <si>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</si>
  <si>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</si>
  <si>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</si>
  <si>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</si>
  <si>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</si>
  <si>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</si>
  <si>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</si>
  <si>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</si>
  <si>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</si>
  <si>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</si>
  <si>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</si>
  <si>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</si>
  <si>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</si>
  <si>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</si>
  <si>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</si>
  <si>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</si>
  <si>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</si>
  <si>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</si>
  <si>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</si>
  <si>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</si>
  <si>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</si>
  <si>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</si>
  <si>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</si>
  <si>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</si>
  <si>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</si>
  <si>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</si>
  <si>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</si>
  <si>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</si>
  <si>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</si>
  <si>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</si>
  <si>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</si>
  <si>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</si>
  <si>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</si>
  <si>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</si>
  <si>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</si>
  <si>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</si>
  <si>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</si>
  <si>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</si>
  <si>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</si>
  <si>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</si>
  <si>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</si>
  <si>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</si>
  <si>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</si>
  <si>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</si>
  <si>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</si>
  <si>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</si>
  <si>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</si>
  <si>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</si>
  <si>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</si>
  <si>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</si>
  <si>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</si>
  <si>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</si>
  <si>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</si>
  <si>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</si>
  <si>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</si>
  <si>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</si>
  <si>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</si>
  <si>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</si>
  <si>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</si>
  <si>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</si>
  <si>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</si>
  <si>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</si>
  <si>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</si>
  <si>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</si>
  <si>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</si>
  <si>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</si>
  <si>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</si>
  <si>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</si>
  <si>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</si>
  <si>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</si>
  <si>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</si>
  <si>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</si>
  <si>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</si>
  <si>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</si>
  <si>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</si>
  <si>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</si>
  <si>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</si>
  <si>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</si>
  <si>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</si>
  <si>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</si>
  <si>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</si>
  <si>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</si>
  <si>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</si>
  <si>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</si>
  <si>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</si>
  <si>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</si>
  <si>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</si>
  <si>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</si>
  <si>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</si>
  <si>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</si>
  <si>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</si>
  <si>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</si>
  <si>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</si>
  <si>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</si>
  <si>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</si>
  <si>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</si>
  <si>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</si>
  <si>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</si>
  <si>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</si>
  <si>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</si>
  <si>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</si>
  <si>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</si>
  <si>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</si>
  <si>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</si>
  <si>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</si>
  <si>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</si>
  <si>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</si>
  <si>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</si>
  <si>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</si>
  <si>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</si>
  <si>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</si>
  <si>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</si>
  <si>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</si>
  <si>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</si>
  <si>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</si>
  <si>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</si>
  <si>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</si>
  <si>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</si>
  <si>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</si>
  <si>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</si>
  <si>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</si>
  <si>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</si>
  <si>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</si>
  <si>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</si>
  <si>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</si>
  <si>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</si>
  <si>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</si>
  <si>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</si>
  <si>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</si>
  <si>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</si>
  <si>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</si>
  <si>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</si>
  <si>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</si>
  <si>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</si>
  <si>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</si>
  <si>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</si>
  <si>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</si>
  <si>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</si>
  <si>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</si>
  <si>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</si>
  <si>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</si>
  <si>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</si>
  <si>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</si>
  <si>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</si>
  <si>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</si>
  <si>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</si>
  <si>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</si>
  <si>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</si>
  <si>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</si>
  <si>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</si>
  <si>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</si>
  <si>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</si>
  <si>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</si>
  <si>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</si>
  <si>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</si>
  <si>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</si>
  <si>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</si>
  <si>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</si>
  <si>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</si>
  <si>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</si>
  <si>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</si>
  <si>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</si>
  <si>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</si>
  <si>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</si>
  <si>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</si>
  <si>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</si>
  <si>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</si>
  <si>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</si>
  <si>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</si>
  <si>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</si>
  <si>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</si>
  <si>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</si>
  <si>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</si>
  <si>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</si>
  <si>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</si>
  <si>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</si>
  <si>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</si>
  <si>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</si>
  <si>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</si>
  <si>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</si>
  <si>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</si>
  <si>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</si>
  <si>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</si>
  <si>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</si>
  <si>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</si>
  <si>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</si>
  <si>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</si>
  <si>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</si>
  <si>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</si>
  <si>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</si>
  <si>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</si>
  <si>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</si>
  <si>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</si>
  <si>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</si>
  <si>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</si>
  <si>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</si>
  <si>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</si>
  <si>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</si>
  <si>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</si>
  <si>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</si>
  <si>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</si>
  <si>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</si>
  <si>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</si>
  <si>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</si>
  <si>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</si>
  <si>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</si>
  <si>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</si>
  <si>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</si>
  <si>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</si>
  <si>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</si>
  <si>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</si>
  <si>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</si>
  <si>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</si>
  <si>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</si>
  <si>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</si>
  <si>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</si>
  <si>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</si>
  <si>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</si>
  <si>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</si>
  <si>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</si>
  <si>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</si>
  <si>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</si>
  <si>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</si>
  <si>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</si>
  <si>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</si>
  <si>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</si>
  <si>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</si>
  <si>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</si>
  <si>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</si>
  <si>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</si>
  <si>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</si>
  <si>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</si>
  <si>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</si>
  <si>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</si>
  <si>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</si>
  <si>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</si>
  <si>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</si>
  <si>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</si>
  <si>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</si>
  <si>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</si>
  <si>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</si>
  <si>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</si>
  <si>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</si>
  <si>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</si>
  <si>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</si>
  <si>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</si>
  <si>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</si>
  <si>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</si>
  <si>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</si>
  <si>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</si>
  <si>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</si>
  <si>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</si>
  <si>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</si>
  <si>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</si>
  <si>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</si>
  <si>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</si>
  <si>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</si>
  <si>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</si>
  <si>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</si>
  <si>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</si>
  <si>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</si>
  <si>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</si>
  <si>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</si>
  <si>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</si>
  <si>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</si>
  <si>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</si>
  <si>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</si>
  <si>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</si>
  <si>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</si>
  <si>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</si>
  <si>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</si>
  <si>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</si>
  <si>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</si>
  <si>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</si>
  <si>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</si>
  <si>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</si>
  <si>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</si>
  <si>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</si>
  <si>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</si>
  <si>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</si>
  <si>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</si>
  <si>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</si>
  <si>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</si>
  <si>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</si>
  <si>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</si>
  <si>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</si>
  <si>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</si>
  <si>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</si>
  <si>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</si>
  <si>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</si>
  <si>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</si>
  <si>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</si>
  <si>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</si>
  <si>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</si>
  <si>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</si>
  <si>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</si>
  <si>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</si>
  <si>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</si>
  <si>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</si>
  <si>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</si>
  <si>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</si>
  <si>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</si>
  <si>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</si>
  <si>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</si>
  <si>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</si>
  <si>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</si>
  <si>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</si>
  <si>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</si>
  <si>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</si>
  <si>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</si>
  <si>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</si>
  <si>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</si>
  <si>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</si>
  <si>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</si>
  <si>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</si>
  <si>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</si>
  <si>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</si>
  <si>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</si>
  <si>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</si>
  <si>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</si>
  <si>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</si>
  <si>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</si>
  <si>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</si>
  <si>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</si>
  <si>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</si>
  <si>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</si>
  <si>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</si>
  <si>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</si>
  <si>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</si>
  <si>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</si>
  <si>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</si>
  <si>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</si>
  <si>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</si>
  <si>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</si>
  <si>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</si>
  <si>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</si>
  <si>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</si>
  <si>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</si>
  <si>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</si>
  <si>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</si>
  <si>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</si>
  <si>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</si>
  <si>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</si>
  <si>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</si>
  <si>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</si>
  <si>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</si>
  <si>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</si>
  <si>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</si>
  <si>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</si>
  <si>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</si>
  <si>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</si>
  <si>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</si>
  <si>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</si>
  <si>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</si>
  <si>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</si>
  <si>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</si>
  <si>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</si>
  <si>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</si>
  <si>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</si>
  <si>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</si>
  <si>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</si>
  <si>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</si>
  <si>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</si>
  <si>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</si>
  <si>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</si>
  <si>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</si>
  <si>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</si>
  <si>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</si>
  <si>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</si>
  <si>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</si>
  <si>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</si>
  <si>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</si>
  <si>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</si>
  <si>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</si>
  <si>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</si>
  <si>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</si>
  <si>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</si>
  <si>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</si>
  <si>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</si>
  <si>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</si>
  <si>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</si>
  <si>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</si>
  <si>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</si>
  <si>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</si>
  <si>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</si>
  <si>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</si>
  <si>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</si>
  <si>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</si>
  <si>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</si>
  <si>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</si>
  <si>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</si>
  <si>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</si>
  <si>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</si>
  <si>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</si>
  <si>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</si>
  <si>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</si>
  <si>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</si>
  <si>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</si>
  <si>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</si>
  <si>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</si>
  <si>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</si>
  <si>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</si>
  <si>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</si>
  <si>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</si>
  <si>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</si>
  <si>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</si>
  <si>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</si>
  <si>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</si>
  <si>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</si>
  <si>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</si>
  <si>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</si>
  <si>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</si>
  <si>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</si>
  <si>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</si>
  <si>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</si>
  <si>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</si>
  <si>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</si>
  <si>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</si>
  <si>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</si>
  <si>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</si>
  <si>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</si>
  <si>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</si>
  <si>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</si>
  <si>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</si>
  <si>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</si>
  <si>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</si>
  <si>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</si>
  <si>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</si>
  <si>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</si>
  <si>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</si>
  <si>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</si>
  <si>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</si>
  <si>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</si>
  <si>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</si>
  <si>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</si>
  <si>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</si>
  <si>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</si>
  <si>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</si>
  <si>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</si>
  <si>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</si>
  <si>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</si>
  <si>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</si>
  <si>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</si>
  <si>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</si>
  <si>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</si>
  <si>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</si>
  <si>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</si>
  <si>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</si>
  <si>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</si>
  <si>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</si>
  <si>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</si>
  <si>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</si>
  <si>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</si>
  <si>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</si>
  <si>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</si>
  <si>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</si>
  <si>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</si>
  <si>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</si>
  <si>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</si>
  <si>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</si>
  <si>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</si>
  <si>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</si>
  <si>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</si>
  <si>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</si>
  <si>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</si>
  <si>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</si>
  <si>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</si>
  <si>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</si>
  <si>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</si>
  <si>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</si>
  <si>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</si>
  <si>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</si>
  <si>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</si>
  <si>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</si>
  <si>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</si>
  <si>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</si>
  <si>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</si>
  <si>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</si>
  <si>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</si>
  <si>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</si>
  <si>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</si>
  <si>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</si>
  <si>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</si>
  <si>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</si>
  <si>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</si>
  <si>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</si>
  <si>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</si>
  <si>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</si>
  <si>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</si>
  <si>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</si>
  <si>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</si>
  <si>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</si>
  <si>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</si>
  <si>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</si>
  <si>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</si>
  <si>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</si>
  <si>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</si>
  <si>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</si>
  <si>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</si>
  <si>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</si>
  <si>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</si>
  <si>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</si>
  <si>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</si>
  <si>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</si>
  <si>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</si>
  <si>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</si>
  <si>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</si>
  <si>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</si>
  <si>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</si>
  <si>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</si>
  <si>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</si>
  <si>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</si>
  <si>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</si>
  <si>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</si>
  <si>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</si>
  <si>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</si>
  <si>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</si>
  <si>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</si>
  <si>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</si>
  <si>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</si>
  <si>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</si>
  <si>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</si>
  <si>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</si>
  <si>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</si>
  <si>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</si>
  <si>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</si>
  <si>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</si>
  <si>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</si>
  <si>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</si>
  <si>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</si>
  <si>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</si>
  <si>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</si>
  <si>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</si>
  <si>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</si>
  <si>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</si>
  <si>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</si>
  <si>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</si>
  <si>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</si>
  <si>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</si>
  <si>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</si>
  <si>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</si>
  <si>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</si>
  <si>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</si>
  <si>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</si>
  <si>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</si>
  <si>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</si>
  <si>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</si>
  <si>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</si>
  <si>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</si>
  <si>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</si>
  <si>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</si>
  <si>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</si>
  <si>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</si>
  <si>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</si>
  <si>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</si>
  <si>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</si>
  <si>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</si>
  <si>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</si>
  <si>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</si>
  <si>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</si>
  <si>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</si>
  <si>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</si>
  <si>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</si>
  <si>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</si>
  <si>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</si>
  <si>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</si>
  <si>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</si>
  <si>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</si>
  <si>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</si>
  <si>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</si>
  <si>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</si>
  <si>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</si>
  <si>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</si>
  <si>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</si>
  <si>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</si>
  <si>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</si>
  <si>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</si>
  <si>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</si>
  <si>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</si>
  <si>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</si>
  <si>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</si>
  <si>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</si>
  <si>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</si>
  <si>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</si>
  <si>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</si>
  <si>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</si>
  <si>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</si>
  <si>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</si>
  <si>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</si>
  <si>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</si>
  <si>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</si>
  <si>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</si>
  <si>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</si>
  <si>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</si>
  <si>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</si>
  <si>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</si>
  <si>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</si>
  <si>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</si>
  <si>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</si>
  <si>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</si>
  <si>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</si>
  <si>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</si>
  <si>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</si>
  <si>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</si>
  <si>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</si>
  <si>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</si>
  <si>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</si>
  <si>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</si>
  <si>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</si>
  <si>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Agence Francaise de developpement</t>
  </si>
  <si>
    <t>Farah, Katia Chams (Netherlands)</t>
  </si>
  <si>
    <t>გიორგი ნადარეიშვილი</t>
  </si>
  <si>
    <t>რისკების დირექტორი</t>
  </si>
  <si>
    <t>ცხრილი 9 (Capital), 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</si>
</sst>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1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Fill="1" applyBorder="1" applyAlignment="1">
      <alignment horizontal="center" vertical="center"/>
    </xf>
    <xf numFmtId="0" fontId="4" fillId="0" borderId="100"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2"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2"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2"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9" fillId="0" borderId="102"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applyAlignment="1"/>
    <xf numFmtId="0" fontId="9" fillId="0" borderId="100" xfId="0" applyFont="1" applyBorder="1" applyAlignment="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2"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0"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166" fontId="115" fillId="36" borderId="87" xfId="21413"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6"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Fill="1" applyBorder="1" applyAlignment="1" applyProtection="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Fill="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164" fontId="116" fillId="0" borderId="0" xfId="0" applyNumberFormat="1" applyFont="1" applyFill="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Fill="1" applyBorder="1" applyAlignment="1">
      <alignment horizontal="left" vertical="center" wrapText="1"/>
    </xf>
    <xf numFmtId="164" fontId="119" fillId="0" borderId="87" xfId="0" applyNumberFormat="1" applyFont="1" applyBorder="1"/>
    <xf numFmtId="164" fontId="119" fillId="0" borderId="87" xfId="0" applyNumberFormat="1" applyFont="1" applyFill="1" applyBorder="1"/>
    <xf numFmtId="164" fontId="116" fillId="0" borderId="87" xfId="7" applyNumberFormat="1" applyFont="1" applyBorder="1" applyAlignment="1">
      <alignment horizontal="left" indent="1"/>
    </xf>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116" fillId="0" borderId="82" xfId="0" applyFont="1" applyBorder="1" applyAlignment="1">
      <alignment horizontal="center" vertical="center" wrapText="1"/>
    </xf>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Fill="1" applyBorder="1" applyAlignment="1">
      <alignment wrapText="1"/>
    </xf>
    <xf numFmtId="193" fontId="9" fillId="0" borderId="82" xfId="0" applyNumberFormat="1" applyFont="1" applyFill="1" applyBorder="1" applyAlignment="1" applyProtection="1">
      <alignment vertical="center"/>
      <protection locked="0"/>
    </xf>
    <xf numFmtId="0" fontId="115" fillId="0" borderId="0" xfId="11" applyFont="1"/>
    <xf numFmtId="0" fontId="117" fillId="0" borderId="0" xfId="11" applyFont="1"/>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4" fillId="0" borderId="87" xfId="20961" applyNumberFormat="1" applyFont="1" applyBorder="1"/>
    <xf numFmtId="43" fontId="124" fillId="0" borderId="87" xfId="7" applyNumberFormat="1" applyFont="1" applyBorder="1"/>
    <xf numFmtId="10" fontId="128" fillId="0" borderId="87" xfId="20961" applyNumberFormat="1" applyFont="1" applyBorder="1" applyAlignment="1">
      <alignment horizontal="center"/>
    </xf>
    <xf numFmtId="43" fontId="124" fillId="0" borderId="87" xfId="7" applyNumberFormat="1" applyFont="1" applyBorder="1" applyAlignment="1">
      <alignment horizontal="center"/>
    </xf>
    <xf numFmtId="43" fontId="124" fillId="0" borderId="82" xfId="7" applyNumberFormat="1" applyFont="1" applyBorder="1" applyAlignment="1">
      <alignment horizontal="center"/>
    </xf>
    <xf numFmtId="9" fontId="124" fillId="0" borderId="87" xfId="20961" applyNumberFormat="1" applyFont="1" applyBorder="1" applyAlignment="1">
      <alignment horizontal="center"/>
    </xf>
    <xf numFmtId="9" fontId="124" fillId="0" borderId="87" xfId="20961" applyNumberFormat="1" applyFont="1" applyBorder="1"/>
    <xf numFmtId="9" fontId="124" fillId="0" borderId="82" xfId="20961" applyNumberFormat="1" applyFont="1" applyBorder="1" applyAlignment="1">
      <alignment horizontal="center"/>
    </xf>
    <xf numFmtId="9" fontId="9" fillId="0" borderId="26" xfId="20961" applyNumberFormat="1" applyFont="1" applyFill="1" applyBorder="1" applyAlignment="1" applyProtection="1">
      <alignment vertical="center"/>
      <protection locked="0"/>
    </xf>
    <xf numFmtId="193" fontId="4" fillId="0" borderId="0" xfId="0" applyNumberFormat="1" applyFont="1"/>
    <xf numFmtId="164" fontId="6" fillId="0" borderId="87" xfId="7" applyNumberFormat="1" applyFont="1" applyBorder="1"/>
    <xf numFmtId="164" fontId="6" fillId="0" borderId="87" xfId="7" applyNumberFormat="1" applyFont="1" applyBorder="1" applyAlignment="1">
      <alignment vertical="center"/>
    </xf>
    <xf numFmtId="43" fontId="116" fillId="0" borderId="0" xfId="7" applyNumberFormat="1" applyFont="1"/>
    <xf numFmtId="43" fontId="116" fillId="0" borderId="0" xfId="0" applyNumberFormat="1" applyFont="1"/>
    <xf numFmtId="164" fontId="116" fillId="0" borderId="0" xfId="7" applyNumberFormat="1" applyFont="1"/>
    <xf numFmtId="43" fontId="119" fillId="0" borderId="0" xfId="0" applyNumberFormat="1" applyFont="1"/>
    <xf numFmtId="10" fontId="116" fillId="0" borderId="0" xfId="20961" applyNumberFormat="1" applyFont="1"/>
    <xf numFmtId="166" fontId="115" fillId="36" borderId="125" xfId="21413" applyFont="1" applyFill="1" applyBorder="1"/>
    <xf numFmtId="43" fontId="116" fillId="0" borderId="0" xfId="0" applyNumberFormat="1" applyFont="1" applyBorder="1"/>
    <xf numFmtId="164" fontId="4" fillId="0" borderId="100" xfId="7" applyNumberFormat="1" applyFont="1" applyFill="1" applyBorder="1" applyAlignment="1"/>
    <xf numFmtId="164" fontId="4" fillId="0" borderId="100" xfId="7" applyNumberFormat="1" applyFont="1" applyFill="1" applyBorder="1"/>
    <xf numFmtId="164" fontId="4" fillId="0" borderId="0" xfId="0" applyNumberFormat="1" applyFont="1"/>
    <xf numFmtId="194" fontId="115" fillId="36" borderId="125" xfId="21413" applyNumberFormat="1" applyFont="1" applyFill="1" applyBorder="1"/>
    <xf numFmtId="164" fontId="116" fillId="83" borderId="87" xfId="7" applyNumberFormat="1" applyFont="1" applyFill="1" applyBorder="1"/>
    <xf numFmtId="3" fontId="23" fillId="0" borderId="88" xfId="0" applyNumberFormat="1" applyFont="1" applyFill="1" applyBorder="1" applyAlignment="1">
      <alignment vertical="center" wrapText="1"/>
    </xf>
    <xf numFmtId="14" fontId="4" fillId="0" borderId="0" xfId="0" applyNumberFormat="1" applyFont="1" applyAlignment="1">
      <alignment horizontal="left"/>
    </xf>
    <xf numFmtId="193" fontId="107" fillId="0" borderId="3" xfId="0" applyNumberFormat="1" applyFont="1" applyBorder="1" applyAlignment="1"/>
    <xf numFmtId="193" fontId="107" fillId="0" borderId="8" xfId="0" applyNumberFormat="1" applyFont="1" applyBorder="1" applyAlignment="1"/>
    <xf numFmtId="43" fontId="107" fillId="0" borderId="3" xfId="7" applyFont="1" applyBorder="1" applyAlignment="1"/>
    <xf numFmtId="193" fontId="107" fillId="0" borderId="3" xfId="0" applyNumberFormat="1" applyFont="1" applyFill="1" applyBorder="1" applyAlignment="1"/>
    <xf numFmtId="193" fontId="107" fillId="36" borderId="26" xfId="0" applyNumberFormat="1" applyFont="1" applyFill="1" applyBorder="1"/>
    <xf numFmtId="193" fontId="9" fillId="0" borderId="87" xfId="0" applyNumberFormat="1" applyFont="1" applyFill="1" applyBorder="1" applyAlignment="1" applyProtection="1">
      <alignment vertical="center"/>
      <protection locked="0"/>
    </xf>
    <xf numFmtId="165" fontId="9" fillId="0" borderId="87" xfId="20961" applyNumberFormat="1" applyFont="1" applyFill="1" applyBorder="1" applyAlignment="1" applyProtection="1">
      <alignment vertical="center"/>
      <protection locked="0"/>
    </xf>
    <xf numFmtId="164" fontId="4" fillId="0" borderId="0" xfId="7" applyNumberFormat="1" applyFont="1" applyFill="1" applyBorder="1"/>
    <xf numFmtId="164" fontId="0" fillId="0" borderId="0" xfId="0" applyNumberFormat="1"/>
    <xf numFmtId="164" fontId="0" fillId="0" borderId="0" xfId="7" applyNumberFormat="1" applyFont="1"/>
    <xf numFmtId="164" fontId="3" fillId="0" borderId="0" xfId="7" applyNumberFormat="1" applyFont="1"/>
    <xf numFmtId="164" fontId="6" fillId="0" borderId="87" xfId="7" applyNumberFormat="1" applyFont="1" applyFill="1" applyBorder="1"/>
    <xf numFmtId="164" fontId="6" fillId="0" borderId="87" xfId="7" applyNumberFormat="1" applyFont="1" applyFill="1" applyBorder="1" applyAlignment="1">
      <alignment vertical="center"/>
    </xf>
    <xf numFmtId="0" fontId="4" fillId="84" borderId="77" xfId="0" applyFont="1" applyFill="1" applyBorder="1" applyAlignment="1">
      <alignment horizontal="center" vertical="center"/>
    </xf>
    <xf numFmtId="0" fontId="4" fillId="84" borderId="102" xfId="0" applyFont="1" applyFill="1" applyBorder="1" applyAlignment="1">
      <alignment horizontal="center"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9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09"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09"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99" xfId="0" applyFont="1" applyFill="1" applyBorder="1" applyAlignment="1">
      <alignment horizontal="center" vertical="center"/>
    </xf>
    <xf numFmtId="0" fontId="116" fillId="0" borderId="109"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99"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xf numFmtId="164" fontId="119" fillId="0" borderId="87" xfId="7" applyNumberFormat="1" applyFont="1" applyFill="1" applyBorder="1"/>
    <xf numFmtId="10" fontId="128" fillId="0" borderId="87" xfId="20961" applyNumberFormat="1" applyFont="1" applyFill="1" applyBorder="1" applyAlignment="1">
      <alignment horizontal="center"/>
    </xf>
    <xf numFmtId="43" fontId="128" fillId="0" borderId="87" xfId="7" applyNumberFormat="1" applyFont="1" applyFill="1" applyBorder="1" applyAlignment="1">
      <alignment horizont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2" t="s">
        <v>253</v>
      </c>
      <c r="C1" s="91"/>
    </row>
    <row r="2" spans="1:3" s="179" customFormat="1" ht="15.75">
      <c r="A2" s="225">
        <v>1</v>
      </c>
      <c r="B2" s="180" t="s">
        <v>254</v>
      </c>
      <c r="C2" s="599" t="s">
        <v>739</v>
      </c>
    </row>
    <row r="3" spans="1:3" s="179" customFormat="1" ht="15.75">
      <c r="A3" s="225">
        <v>2</v>
      </c>
      <c r="B3" s="181" t="s">
        <v>255</v>
      </c>
      <c r="C3" s="600" t="s">
        <v>740</v>
      </c>
    </row>
    <row r="4" spans="1:3" s="179" customFormat="1" ht="15.75">
      <c r="A4" s="225">
        <v>3</v>
      </c>
      <c r="B4" s="181" t="s">
        <v>256</v>
      </c>
      <c r="C4" s="600" t="s">
        <v>741</v>
      </c>
    </row>
    <row r="5" spans="1:3" s="179" customFormat="1" ht="15.75">
      <c r="A5" s="226">
        <v>4</v>
      </c>
      <c r="B5" s="184" t="s">
        <v>257</v>
      </c>
      <c r="C5" s="394" t="s">
        <v>742</v>
      </c>
    </row>
    <row r="6" spans="1:3" s="183" customFormat="1" ht="65.25" customHeight="1">
      <c r="A6" s="708" t="s">
        <v>370</v>
      </c>
      <c r="B6" s="709"/>
      <c r="C6" s="709"/>
    </row>
    <row r="7" spans="1:3">
      <c r="A7" s="388" t="s">
        <v>326</v>
      </c>
      <c r="B7" s="389" t="s">
        <v>258</v>
      </c>
    </row>
    <row r="8" spans="1:3">
      <c r="A8" s="390">
        <v>1</v>
      </c>
      <c r="B8" s="386" t="s">
        <v>223</v>
      </c>
    </row>
    <row r="9" spans="1:3">
      <c r="A9" s="390">
        <v>2</v>
      </c>
      <c r="B9" s="386" t="s">
        <v>259</v>
      </c>
    </row>
    <row r="10" spans="1:3">
      <c r="A10" s="390">
        <v>3</v>
      </c>
      <c r="B10" s="386" t="s">
        <v>260</v>
      </c>
    </row>
    <row r="11" spans="1:3">
      <c r="A11" s="390">
        <v>4</v>
      </c>
      <c r="B11" s="386" t="s">
        <v>261</v>
      </c>
      <c r="C11" s="178"/>
    </row>
    <row r="12" spans="1:3">
      <c r="A12" s="390">
        <v>5</v>
      </c>
      <c r="B12" s="386" t="s">
        <v>187</v>
      </c>
    </row>
    <row r="13" spans="1:3">
      <c r="A13" s="390">
        <v>6</v>
      </c>
      <c r="B13" s="391" t="s">
        <v>149</v>
      </c>
    </row>
    <row r="14" spans="1:3">
      <c r="A14" s="390">
        <v>7</v>
      </c>
      <c r="B14" s="386" t="s">
        <v>262</v>
      </c>
    </row>
    <row r="15" spans="1:3">
      <c r="A15" s="390">
        <v>8</v>
      </c>
      <c r="B15" s="386" t="s">
        <v>265</v>
      </c>
    </row>
    <row r="16" spans="1:3">
      <c r="A16" s="390">
        <v>9</v>
      </c>
      <c r="B16" s="386" t="s">
        <v>88</v>
      </c>
    </row>
    <row r="17" spans="1:2">
      <c r="A17" s="392" t="s">
        <v>417</v>
      </c>
      <c r="B17" s="386" t="s">
        <v>397</v>
      </c>
    </row>
    <row r="18" spans="1:2">
      <c r="A18" s="390">
        <v>10</v>
      </c>
      <c r="B18" s="386" t="s">
        <v>268</v>
      </c>
    </row>
    <row r="19" spans="1:2">
      <c r="A19" s="390">
        <v>11</v>
      </c>
      <c r="B19" s="391" t="s">
        <v>249</v>
      </c>
    </row>
    <row r="20" spans="1:2">
      <c r="A20" s="390">
        <v>12</v>
      </c>
      <c r="B20" s="391" t="s">
        <v>246</v>
      </c>
    </row>
    <row r="21" spans="1:2">
      <c r="A21" s="390">
        <v>13</v>
      </c>
      <c r="B21" s="393" t="s">
        <v>361</v>
      </c>
    </row>
    <row r="22" spans="1:2">
      <c r="A22" s="390">
        <v>14</v>
      </c>
      <c r="B22" s="394" t="s">
        <v>391</v>
      </c>
    </row>
    <row r="23" spans="1:2">
      <c r="A23" s="395">
        <v>15</v>
      </c>
      <c r="B23" s="391" t="s">
        <v>77</v>
      </c>
    </row>
    <row r="24" spans="1:2">
      <c r="A24" s="395">
        <v>15.1</v>
      </c>
      <c r="B24" s="386" t="s">
        <v>426</v>
      </c>
    </row>
    <row r="25" spans="1:2">
      <c r="A25" s="395">
        <v>16</v>
      </c>
      <c r="B25" s="386" t="s">
        <v>494</v>
      </c>
    </row>
    <row r="26" spans="1:2">
      <c r="A26" s="395">
        <v>17</v>
      </c>
      <c r="B26" s="386" t="s">
        <v>703</v>
      </c>
    </row>
    <row r="27" spans="1:2">
      <c r="A27" s="395">
        <v>18</v>
      </c>
      <c r="B27" s="386" t="s">
        <v>712</v>
      </c>
    </row>
    <row r="28" spans="1:2">
      <c r="A28" s="395">
        <v>19</v>
      </c>
      <c r="B28" s="386" t="s">
        <v>713</v>
      </c>
    </row>
    <row r="29" spans="1:2">
      <c r="A29" s="395">
        <v>20</v>
      </c>
      <c r="B29" s="394" t="s">
        <v>589</v>
      </c>
    </row>
    <row r="30" spans="1:2">
      <c r="A30" s="395">
        <v>21</v>
      </c>
      <c r="B30" s="386" t="s">
        <v>607</v>
      </c>
    </row>
    <row r="31" spans="1:2">
      <c r="A31" s="395">
        <v>22</v>
      </c>
      <c r="B31" s="585" t="s">
        <v>624</v>
      </c>
    </row>
    <row r="32" spans="1:2" ht="26.25">
      <c r="A32" s="395">
        <v>23</v>
      </c>
      <c r="B32" s="585" t="s">
        <v>704</v>
      </c>
    </row>
    <row r="33" spans="1:2">
      <c r="A33" s="395">
        <v>24</v>
      </c>
      <c r="B33" s="386" t="s">
        <v>705</v>
      </c>
    </row>
    <row r="34" spans="1:2">
      <c r="A34" s="395">
        <v>25</v>
      </c>
      <c r="B34" s="386" t="s">
        <v>706</v>
      </c>
    </row>
    <row r="35" spans="1:2">
      <c r="A35" s="390">
        <v>26</v>
      </c>
      <c r="B35" s="394"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Normal="100" workbookViewId="0">
      <pane xSplit="1" ySplit="5" topLeftCell="B6"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"კრედო ბანკი"</v>
      </c>
      <c r="D1" s="2"/>
      <c r="E1" s="2"/>
      <c r="F1" s="2"/>
    </row>
    <row r="2" spans="1:6" s="21" customFormat="1" ht="15.75" customHeight="1">
      <c r="A2" s="21" t="s">
        <v>189</v>
      </c>
      <c r="B2" s="692">
        <f>'1. key ratios'!B2</f>
        <v>44651</v>
      </c>
    </row>
    <row r="3" spans="1:6" s="21" customFormat="1" ht="15.75" customHeight="1"/>
    <row r="4" spans="1:6" ht="15.75" thickBot="1">
      <c r="A4" s="5" t="s">
        <v>335</v>
      </c>
      <c r="B4" s="59" t="s">
        <v>88</v>
      </c>
    </row>
    <row r="5" spans="1:6">
      <c r="A5" s="132" t="s">
        <v>26</v>
      </c>
      <c r="B5" s="133"/>
      <c r="C5" s="134" t="s">
        <v>27</v>
      </c>
    </row>
    <row r="6" spans="1:6">
      <c r="A6" s="135">
        <v>1</v>
      </c>
      <c r="B6" s="80" t="s">
        <v>28</v>
      </c>
      <c r="C6" s="265">
        <f>SUM(C7:C11)</f>
        <v>211929640.40000045</v>
      </c>
    </row>
    <row r="7" spans="1:6">
      <c r="A7" s="135">
        <v>2</v>
      </c>
      <c r="B7" s="77" t="s">
        <v>29</v>
      </c>
      <c r="C7" s="266">
        <v>5176780</v>
      </c>
    </row>
    <row r="8" spans="1:6">
      <c r="A8" s="135">
        <v>3</v>
      </c>
      <c r="B8" s="71" t="s">
        <v>30</v>
      </c>
      <c r="C8" s="266">
        <v>35305300.5</v>
      </c>
    </row>
    <row r="9" spans="1:6">
      <c r="A9" s="135">
        <v>4</v>
      </c>
      <c r="B9" s="71" t="s">
        <v>31</v>
      </c>
      <c r="C9" s="266">
        <v>396459</v>
      </c>
    </row>
    <row r="10" spans="1:6">
      <c r="A10" s="135">
        <v>5</v>
      </c>
      <c r="B10" s="71" t="s">
        <v>32</v>
      </c>
      <c r="C10" s="266"/>
    </row>
    <row r="11" spans="1:6">
      <c r="A11" s="135">
        <v>6</v>
      </c>
      <c r="B11" s="78" t="s">
        <v>33</v>
      </c>
      <c r="C11" s="266">
        <v>171051100.90000045</v>
      </c>
    </row>
    <row r="12" spans="1:6" s="4" customFormat="1">
      <c r="A12" s="135">
        <v>7</v>
      </c>
      <c r="B12" s="80" t="s">
        <v>34</v>
      </c>
      <c r="C12" s="267">
        <f>SUM(C13:C27)</f>
        <v>14440186.420000006</v>
      </c>
    </row>
    <row r="13" spans="1:6" s="4" customFormat="1">
      <c r="A13" s="135">
        <v>8</v>
      </c>
      <c r="B13" s="79" t="s">
        <v>35</v>
      </c>
      <c r="C13" s="268">
        <v>396459</v>
      </c>
    </row>
    <row r="14" spans="1:6" s="4" customFormat="1" ht="25.5">
      <c r="A14" s="135">
        <v>9</v>
      </c>
      <c r="B14" s="72" t="s">
        <v>36</v>
      </c>
      <c r="C14" s="268"/>
    </row>
    <row r="15" spans="1:6" s="4" customFormat="1">
      <c r="A15" s="135">
        <v>10</v>
      </c>
      <c r="B15" s="73" t="s">
        <v>37</v>
      </c>
      <c r="C15" s="268">
        <v>14043727.420000006</v>
      </c>
    </row>
    <row r="16" spans="1:6" s="4" customFormat="1">
      <c r="A16" s="135">
        <v>11</v>
      </c>
      <c r="B16" s="74" t="s">
        <v>38</v>
      </c>
      <c r="C16" s="268"/>
    </row>
    <row r="17" spans="1:3" s="4" customFormat="1">
      <c r="A17" s="135">
        <v>12</v>
      </c>
      <c r="B17" s="73" t="s">
        <v>39</v>
      </c>
      <c r="C17" s="268"/>
    </row>
    <row r="18" spans="1:3" s="4" customFormat="1">
      <c r="A18" s="135">
        <v>13</v>
      </c>
      <c r="B18" s="73" t="s">
        <v>40</v>
      </c>
      <c r="C18" s="268"/>
    </row>
    <row r="19" spans="1:3" s="4" customFormat="1">
      <c r="A19" s="135">
        <v>14</v>
      </c>
      <c r="B19" s="73" t="s">
        <v>41</v>
      </c>
      <c r="C19" s="268"/>
    </row>
    <row r="20" spans="1:3" s="4" customFormat="1" ht="25.5">
      <c r="A20" s="135">
        <v>15</v>
      </c>
      <c r="B20" s="73" t="s">
        <v>42</v>
      </c>
      <c r="C20" s="268"/>
    </row>
    <row r="21" spans="1:3" s="4" customFormat="1" ht="25.5">
      <c r="A21" s="135">
        <v>16</v>
      </c>
      <c r="B21" s="72" t="s">
        <v>43</v>
      </c>
      <c r="C21" s="268"/>
    </row>
    <row r="22" spans="1:3" s="4" customFormat="1">
      <c r="A22" s="135">
        <v>17</v>
      </c>
      <c r="B22" s="136" t="s">
        <v>44</v>
      </c>
      <c r="C22" s="268"/>
    </row>
    <row r="23" spans="1:3" s="4" customFormat="1" ht="25.5">
      <c r="A23" s="135">
        <v>18</v>
      </c>
      <c r="B23" s="72" t="s">
        <v>45</v>
      </c>
      <c r="C23" s="268"/>
    </row>
    <row r="24" spans="1:3" s="4" customFormat="1" ht="25.5">
      <c r="A24" s="135">
        <v>19</v>
      </c>
      <c r="B24" s="72" t="s">
        <v>46</v>
      </c>
      <c r="C24" s="268"/>
    </row>
    <row r="25" spans="1:3" s="4" customFormat="1" ht="25.5">
      <c r="A25" s="135">
        <v>20</v>
      </c>
      <c r="B25" s="75" t="s">
        <v>47</v>
      </c>
      <c r="C25" s="268"/>
    </row>
    <row r="26" spans="1:3" s="4" customFormat="1">
      <c r="A26" s="135">
        <v>21</v>
      </c>
      <c r="B26" s="75" t="s">
        <v>48</v>
      </c>
      <c r="C26" s="268"/>
    </row>
    <row r="27" spans="1:3" s="4" customFormat="1" ht="25.5">
      <c r="A27" s="135">
        <v>22</v>
      </c>
      <c r="B27" s="75" t="s">
        <v>49</v>
      </c>
      <c r="C27" s="268"/>
    </row>
    <row r="28" spans="1:3" s="4" customFormat="1">
      <c r="A28" s="135">
        <v>23</v>
      </c>
      <c r="B28" s="81" t="s">
        <v>23</v>
      </c>
      <c r="C28" s="267">
        <f>C6-C12</f>
        <v>197489453.98000044</v>
      </c>
    </row>
    <row r="29" spans="1:3" s="4" customFormat="1">
      <c r="A29" s="137"/>
      <c r="B29" s="76"/>
      <c r="C29" s="268"/>
    </row>
    <row r="30" spans="1:3" s="4" customFormat="1">
      <c r="A30" s="137">
        <v>24</v>
      </c>
      <c r="B30" s="81" t="s">
        <v>50</v>
      </c>
      <c r="C30" s="267">
        <f>C31+C34</f>
        <v>0</v>
      </c>
    </row>
    <row r="31" spans="1:3" s="4" customFormat="1">
      <c r="A31" s="137">
        <v>25</v>
      </c>
      <c r="B31" s="71" t="s">
        <v>51</v>
      </c>
      <c r="C31" s="269">
        <f>C32+C33</f>
        <v>0</v>
      </c>
    </row>
    <row r="32" spans="1:3" s="4" customFormat="1">
      <c r="A32" s="137">
        <v>26</v>
      </c>
      <c r="B32" s="176" t="s">
        <v>52</v>
      </c>
      <c r="C32" s="268"/>
    </row>
    <row r="33" spans="1:3" s="4" customFormat="1">
      <c r="A33" s="137">
        <v>27</v>
      </c>
      <c r="B33" s="176" t="s">
        <v>53</v>
      </c>
      <c r="C33" s="268"/>
    </row>
    <row r="34" spans="1:3" s="4" customFormat="1">
      <c r="A34" s="137">
        <v>28</v>
      </c>
      <c r="B34" s="71" t="s">
        <v>54</v>
      </c>
      <c r="C34" s="268"/>
    </row>
    <row r="35" spans="1:3" s="4" customFormat="1">
      <c r="A35" s="137">
        <v>29</v>
      </c>
      <c r="B35" s="81" t="s">
        <v>55</v>
      </c>
      <c r="C35" s="267">
        <f>SUM(C36:C40)</f>
        <v>0</v>
      </c>
    </row>
    <row r="36" spans="1:3" s="4" customFormat="1">
      <c r="A36" s="137">
        <v>30</v>
      </c>
      <c r="B36" s="72" t="s">
        <v>56</v>
      </c>
      <c r="C36" s="268"/>
    </row>
    <row r="37" spans="1:3" s="4" customFormat="1">
      <c r="A37" s="137">
        <v>31</v>
      </c>
      <c r="B37" s="73" t="s">
        <v>57</v>
      </c>
      <c r="C37" s="268"/>
    </row>
    <row r="38" spans="1:3" s="4" customFormat="1" ht="25.5">
      <c r="A38" s="137">
        <v>32</v>
      </c>
      <c r="B38" s="72" t="s">
        <v>58</v>
      </c>
      <c r="C38" s="268"/>
    </row>
    <row r="39" spans="1:3" s="4" customFormat="1" ht="25.5">
      <c r="A39" s="137">
        <v>33</v>
      </c>
      <c r="B39" s="72" t="s">
        <v>46</v>
      </c>
      <c r="C39" s="268"/>
    </row>
    <row r="40" spans="1:3" s="4" customFormat="1" ht="25.5">
      <c r="A40" s="137">
        <v>34</v>
      </c>
      <c r="B40" s="75" t="s">
        <v>59</v>
      </c>
      <c r="C40" s="268"/>
    </row>
    <row r="41" spans="1:3" s="4" customFormat="1">
      <c r="A41" s="137">
        <v>35</v>
      </c>
      <c r="B41" s="81" t="s">
        <v>24</v>
      </c>
      <c r="C41" s="267">
        <f>C30-C35</f>
        <v>0</v>
      </c>
    </row>
    <row r="42" spans="1:3" s="4" customFormat="1">
      <c r="A42" s="137"/>
      <c r="B42" s="76"/>
      <c r="C42" s="268"/>
    </row>
    <row r="43" spans="1:3" s="4" customFormat="1">
      <c r="A43" s="137">
        <v>36</v>
      </c>
      <c r="B43" s="82" t="s">
        <v>60</v>
      </c>
      <c r="C43" s="267">
        <f>SUM(C44:C46)</f>
        <v>84939997.512363985</v>
      </c>
    </row>
    <row r="44" spans="1:3" s="4" customFormat="1">
      <c r="A44" s="137">
        <v>37</v>
      </c>
      <c r="B44" s="71" t="s">
        <v>61</v>
      </c>
      <c r="C44" s="268">
        <v>68683356</v>
      </c>
    </row>
    <row r="45" spans="1:3" s="4" customFormat="1">
      <c r="A45" s="137">
        <v>38</v>
      </c>
      <c r="B45" s="71" t="s">
        <v>62</v>
      </c>
      <c r="C45" s="268"/>
    </row>
    <row r="46" spans="1:3" s="4" customFormat="1">
      <c r="A46" s="137">
        <v>39</v>
      </c>
      <c r="B46" s="71" t="s">
        <v>63</v>
      </c>
      <c r="C46" s="268">
        <v>16256641.512363989</v>
      </c>
    </row>
    <row r="47" spans="1:3" s="4" customFormat="1">
      <c r="A47" s="137">
        <v>40</v>
      </c>
      <c r="B47" s="82" t="s">
        <v>64</v>
      </c>
      <c r="C47" s="267">
        <f>SUM(C48:C51)</f>
        <v>0</v>
      </c>
    </row>
    <row r="48" spans="1:3" s="4" customFormat="1">
      <c r="A48" s="137">
        <v>41</v>
      </c>
      <c r="B48" s="72" t="s">
        <v>65</v>
      </c>
      <c r="C48" s="268"/>
    </row>
    <row r="49" spans="1:3" s="4" customFormat="1">
      <c r="A49" s="137">
        <v>42</v>
      </c>
      <c r="B49" s="73" t="s">
        <v>66</v>
      </c>
      <c r="C49" s="268"/>
    </row>
    <row r="50" spans="1:3" s="4" customFormat="1" ht="25.5">
      <c r="A50" s="137">
        <v>43</v>
      </c>
      <c r="B50" s="72" t="s">
        <v>67</v>
      </c>
      <c r="C50" s="268"/>
    </row>
    <row r="51" spans="1:3" s="4" customFormat="1" ht="25.5">
      <c r="A51" s="137">
        <v>44</v>
      </c>
      <c r="B51" s="72" t="s">
        <v>46</v>
      </c>
      <c r="C51" s="268"/>
    </row>
    <row r="52" spans="1:3" s="4" customFormat="1" ht="15.75" thickBot="1">
      <c r="A52" s="138">
        <v>45</v>
      </c>
      <c r="B52" s="139" t="s">
        <v>25</v>
      </c>
      <c r="C52" s="270">
        <f>C43-C47</f>
        <v>84939997.512363985</v>
      </c>
    </row>
    <row r="55" spans="1:3">
      <c r="B55" s="2"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C15" sqref="C15:C17"/>
    </sheetView>
  </sheetViews>
  <sheetFormatPr defaultColWidth="9.140625" defaultRowHeight="12.75"/>
  <cols>
    <col min="1" max="1" width="10.85546875" style="335" bestFit="1" customWidth="1"/>
    <col min="2" max="2" width="59" style="335" customWidth="1"/>
    <col min="3" max="3" width="16.7109375" style="335" bestFit="1" customWidth="1"/>
    <col min="4" max="4" width="22.140625" style="335" customWidth="1"/>
    <col min="5" max="16384" width="9.140625" style="335"/>
  </cols>
  <sheetData>
    <row r="1" spans="1:4" ht="15">
      <c r="A1" s="17" t="s">
        <v>188</v>
      </c>
      <c r="B1" s="16" t="str">
        <f>Info!C2</f>
        <v>სს "კრედო ბანკი"</v>
      </c>
    </row>
    <row r="2" spans="1:4" s="21" customFormat="1" ht="15.75" customHeight="1">
      <c r="A2" s="21" t="s">
        <v>189</v>
      </c>
      <c r="B2" s="469">
        <f>'1. key ratios'!B2</f>
        <v>44651</v>
      </c>
    </row>
    <row r="3" spans="1:4" s="21" customFormat="1" ht="15.75" customHeight="1"/>
    <row r="4" spans="1:4" ht="13.5" thickBot="1">
      <c r="A4" s="336" t="s">
        <v>396</v>
      </c>
      <c r="B4" s="373" t="s">
        <v>397</v>
      </c>
    </row>
    <row r="5" spans="1:4" s="374" customFormat="1">
      <c r="A5" s="725" t="s">
        <v>398</v>
      </c>
      <c r="B5" s="726"/>
      <c r="C5" s="363" t="s">
        <v>399</v>
      </c>
      <c r="D5" s="364" t="s">
        <v>400</v>
      </c>
    </row>
    <row r="6" spans="1:4" s="375" customFormat="1">
      <c r="A6" s="365">
        <v>1</v>
      </c>
      <c r="B6" s="366" t="s">
        <v>401</v>
      </c>
      <c r="C6" s="366"/>
      <c r="D6" s="367"/>
    </row>
    <row r="7" spans="1:4" s="375" customFormat="1">
      <c r="A7" s="368" t="s">
        <v>402</v>
      </c>
      <c r="B7" s="369" t="s">
        <v>403</v>
      </c>
      <c r="C7" s="424">
        <v>4.4999999999999998E-2</v>
      </c>
      <c r="D7" s="609">
        <f>C7*'5. RWA'!$C$13</f>
        <v>74553245.666518778</v>
      </c>
    </row>
    <row r="8" spans="1:4" s="375" customFormat="1">
      <c r="A8" s="368" t="s">
        <v>404</v>
      </c>
      <c r="B8" s="369" t="s">
        <v>405</v>
      </c>
      <c r="C8" s="425">
        <v>0.06</v>
      </c>
      <c r="D8" s="609">
        <f>C8*'5. RWA'!$C$13</f>
        <v>99404327.55535838</v>
      </c>
    </row>
    <row r="9" spans="1:4" s="375" customFormat="1">
      <c r="A9" s="368" t="s">
        <v>406</v>
      </c>
      <c r="B9" s="369" t="s">
        <v>407</v>
      </c>
      <c r="C9" s="425">
        <v>0.08</v>
      </c>
      <c r="D9" s="609">
        <f>C9*'5. RWA'!$C$13</f>
        <v>132539103.40714452</v>
      </c>
    </row>
    <row r="10" spans="1:4" s="375" customFormat="1">
      <c r="A10" s="365" t="s">
        <v>408</v>
      </c>
      <c r="B10" s="366" t="s">
        <v>409</v>
      </c>
      <c r="C10" s="426"/>
      <c r="D10" s="422"/>
    </row>
    <row r="11" spans="1:4" s="376" customFormat="1">
      <c r="A11" s="370" t="s">
        <v>410</v>
      </c>
      <c r="B11" s="371" t="s">
        <v>472</v>
      </c>
      <c r="C11" s="427">
        <v>2.5000000000000001E-2</v>
      </c>
      <c r="D11" s="610">
        <f>C11*'5. RWA'!$C$13</f>
        <v>41418469.814732663</v>
      </c>
    </row>
    <row r="12" spans="1:4" s="376" customFormat="1">
      <c r="A12" s="370" t="s">
        <v>411</v>
      </c>
      <c r="B12" s="371" t="s">
        <v>412</v>
      </c>
      <c r="C12" s="427">
        <v>0</v>
      </c>
      <c r="D12" s="610">
        <f>C12*'5. RWA'!$C$13</f>
        <v>0</v>
      </c>
    </row>
    <row r="13" spans="1:4" s="376" customFormat="1">
      <c r="A13" s="370" t="s">
        <v>413</v>
      </c>
      <c r="B13" s="371" t="s">
        <v>414</v>
      </c>
      <c r="C13" s="427">
        <v>0</v>
      </c>
      <c r="D13" s="610">
        <f>C13*'5. RWA'!$C$13</f>
        <v>0</v>
      </c>
    </row>
    <row r="14" spans="1:4" s="375" customFormat="1">
      <c r="A14" s="365" t="s">
        <v>415</v>
      </c>
      <c r="B14" s="366" t="s">
        <v>470</v>
      </c>
      <c r="C14" s="428"/>
      <c r="D14" s="422"/>
    </row>
    <row r="15" spans="1:4" s="375" customFormat="1">
      <c r="A15" s="387" t="s">
        <v>418</v>
      </c>
      <c r="B15" s="371" t="s">
        <v>471</v>
      </c>
      <c r="C15" s="427">
        <v>1.418666416344473E-2</v>
      </c>
      <c r="D15" s="610">
        <f>C15*'5. RWA'!$C$13</f>
        <v>23503596.857015405</v>
      </c>
    </row>
    <row r="16" spans="1:4" s="375" customFormat="1">
      <c r="A16" s="387" t="s">
        <v>419</v>
      </c>
      <c r="B16" s="371" t="s">
        <v>421</v>
      </c>
      <c r="C16" s="427">
        <v>1.8924996647470618E-2</v>
      </c>
      <c r="D16" s="610">
        <f>C16*'5. RWA'!$C$13</f>
        <v>31353776.095487144</v>
      </c>
    </row>
    <row r="17" spans="1:6" s="375" customFormat="1">
      <c r="A17" s="387" t="s">
        <v>420</v>
      </c>
      <c r="B17" s="371" t="s">
        <v>468</v>
      </c>
      <c r="C17" s="427">
        <v>3.0833328863294162E-2</v>
      </c>
      <c r="D17" s="610">
        <f>C17*'5. RWA'!$C$13</f>
        <v>51082772.032482982</v>
      </c>
    </row>
    <row r="18" spans="1:6" s="374" customFormat="1">
      <c r="A18" s="727" t="s">
        <v>469</v>
      </c>
      <c r="B18" s="728"/>
      <c r="C18" s="429" t="s">
        <v>399</v>
      </c>
      <c r="D18" s="423" t="s">
        <v>400</v>
      </c>
    </row>
    <row r="19" spans="1:6" s="375" customFormat="1">
      <c r="A19" s="372">
        <v>4</v>
      </c>
      <c r="B19" s="371" t="s">
        <v>23</v>
      </c>
      <c r="C19" s="427">
        <f>C7+C11+C12+C13+C15</f>
        <v>8.4186664163444738E-2</v>
      </c>
      <c r="D19" s="609">
        <f>C19*'5. RWA'!$C$13</f>
        <v>139475312.33826685</v>
      </c>
    </row>
    <row r="20" spans="1:6" s="375" customFormat="1">
      <c r="A20" s="372">
        <v>5</v>
      </c>
      <c r="B20" s="371" t="s">
        <v>89</v>
      </c>
      <c r="C20" s="427">
        <f>C8+C11+C12+C13+C16</f>
        <v>0.10392499664747061</v>
      </c>
      <c r="D20" s="609">
        <f>C20*'5. RWA'!$C$13</f>
        <v>172176573.46557817</v>
      </c>
    </row>
    <row r="21" spans="1:6" s="375" customFormat="1" ht="13.5" thickBot="1">
      <c r="A21" s="377" t="s">
        <v>416</v>
      </c>
      <c r="B21" s="378" t="s">
        <v>88</v>
      </c>
      <c r="C21" s="430">
        <f>C9+C11+C12+C13+C17</f>
        <v>0.13583332886329416</v>
      </c>
      <c r="D21" s="611">
        <f>C21*'5. RWA'!$C$13</f>
        <v>225040345.25436014</v>
      </c>
    </row>
    <row r="22" spans="1:6">
      <c r="F22" s="336"/>
    </row>
    <row r="23" spans="1:6" ht="63.75">
      <c r="B23" s="23"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33" activePane="bottomRight" state="frozen"/>
      <selection pane="topRight" activeCell="B1" sqref="B1"/>
      <selection pane="bottomLeft" activeCell="A5" sqref="A5"/>
      <selection pane="bottomRight" activeCell="C38" sqref="C38:C44"/>
    </sheetView>
  </sheetViews>
  <sheetFormatPr defaultRowHeight="15.75"/>
  <cols>
    <col min="1" max="1" width="10.7109375" style="67" customWidth="1"/>
    <col min="2" max="2" width="91.85546875" style="67" customWidth="1"/>
    <col min="3" max="3" width="53.140625" style="67" customWidth="1"/>
    <col min="4" max="4" width="32.28515625" style="67" customWidth="1"/>
    <col min="5" max="5" width="9.42578125" customWidth="1"/>
  </cols>
  <sheetData>
    <row r="1" spans="1:6">
      <c r="A1" s="17" t="s">
        <v>188</v>
      </c>
      <c r="B1" s="19" t="str">
        <f>Info!C2</f>
        <v>სს "კრედო ბანკი"</v>
      </c>
      <c r="E1" s="2"/>
      <c r="F1" s="2"/>
    </row>
    <row r="2" spans="1:6" s="21" customFormat="1" ht="15.75" customHeight="1">
      <c r="A2" s="21" t="s">
        <v>189</v>
      </c>
      <c r="B2" s="469">
        <f>'1. key ratios'!B2</f>
        <v>44651</v>
      </c>
    </row>
    <row r="3" spans="1:6" s="21" customFormat="1" ht="15.75" customHeight="1">
      <c r="A3" s="26"/>
    </row>
    <row r="4" spans="1:6" s="21" customFormat="1" ht="15.75" customHeight="1" thickBot="1">
      <c r="A4" s="21" t="s">
        <v>336</v>
      </c>
      <c r="B4" s="199" t="s">
        <v>268</v>
      </c>
      <c r="D4" s="201" t="s">
        <v>93</v>
      </c>
    </row>
    <row r="5" spans="1:6" ht="38.25">
      <c r="A5" s="150" t="s">
        <v>26</v>
      </c>
      <c r="B5" s="151" t="s">
        <v>231</v>
      </c>
      <c r="C5" s="152" t="s">
        <v>236</v>
      </c>
      <c r="D5" s="200" t="s">
        <v>269</v>
      </c>
    </row>
    <row r="6" spans="1:6">
      <c r="A6" s="140">
        <v>1</v>
      </c>
      <c r="B6" s="83" t="s">
        <v>154</v>
      </c>
      <c r="C6" s="271">
        <v>62774950.380000003</v>
      </c>
      <c r="D6" s="141"/>
      <c r="E6" s="8"/>
    </row>
    <row r="7" spans="1:6">
      <c r="A7" s="140">
        <v>2</v>
      </c>
      <c r="B7" s="84" t="s">
        <v>155</v>
      </c>
      <c r="C7" s="272">
        <v>90967070.800000012</v>
      </c>
      <c r="D7" s="142"/>
      <c r="E7" s="8"/>
    </row>
    <row r="8" spans="1:6">
      <c r="A8" s="140">
        <v>3</v>
      </c>
      <c r="B8" s="84" t="s">
        <v>156</v>
      </c>
      <c r="C8" s="272">
        <v>21388958.439999998</v>
      </c>
      <c r="D8" s="142"/>
      <c r="E8" s="8"/>
    </row>
    <row r="9" spans="1:6">
      <c r="A9" s="140">
        <v>4</v>
      </c>
      <c r="B9" s="84" t="s">
        <v>185</v>
      </c>
      <c r="C9" s="272">
        <v>0</v>
      </c>
      <c r="D9" s="142"/>
      <c r="E9" s="8"/>
    </row>
    <row r="10" spans="1:6">
      <c r="A10" s="140">
        <v>5</v>
      </c>
      <c r="B10" s="84" t="s">
        <v>157</v>
      </c>
      <c r="C10" s="272">
        <v>50990421.810000002</v>
      </c>
      <c r="D10" s="142"/>
      <c r="E10" s="8"/>
    </row>
    <row r="11" spans="1:6">
      <c r="A11" s="140">
        <v>6.1</v>
      </c>
      <c r="B11" s="84" t="s">
        <v>158</v>
      </c>
      <c r="C11" s="273">
        <v>1516808740.1743999</v>
      </c>
      <c r="D11" s="143"/>
      <c r="E11" s="9"/>
    </row>
    <row r="12" spans="1:6">
      <c r="A12" s="140">
        <v>6.2</v>
      </c>
      <c r="B12" s="85" t="s">
        <v>159</v>
      </c>
      <c r="C12" s="273">
        <v>-67904789.52260001</v>
      </c>
      <c r="D12" s="143"/>
      <c r="E12" s="9"/>
    </row>
    <row r="13" spans="1:6">
      <c r="A13" s="140" t="s">
        <v>368</v>
      </c>
      <c r="B13" s="86" t="s">
        <v>369</v>
      </c>
      <c r="C13" s="273">
        <v>-27008430.235300001</v>
      </c>
      <c r="D13" s="227" t="s">
        <v>743</v>
      </c>
      <c r="E13" s="9"/>
    </row>
    <row r="14" spans="1:6">
      <c r="A14" s="140" t="s">
        <v>492</v>
      </c>
      <c r="B14" s="86" t="s">
        <v>481</v>
      </c>
      <c r="C14" s="273"/>
      <c r="D14" s="143"/>
      <c r="E14" s="9"/>
    </row>
    <row r="15" spans="1:6">
      <c r="A15" s="140">
        <v>6</v>
      </c>
      <c r="B15" s="84" t="s">
        <v>160</v>
      </c>
      <c r="C15" s="279">
        <f>C11+C12</f>
        <v>1448903950.6517999</v>
      </c>
      <c r="D15" s="143"/>
      <c r="E15" s="8"/>
    </row>
    <row r="16" spans="1:6">
      <c r="A16" s="140">
        <v>7</v>
      </c>
      <c r="B16" s="84" t="s">
        <v>161</v>
      </c>
      <c r="C16" s="272">
        <v>29156664.439999994</v>
      </c>
      <c r="D16" s="142"/>
      <c r="E16" s="8"/>
    </row>
    <row r="17" spans="1:5">
      <c r="A17" s="140">
        <v>8</v>
      </c>
      <c r="B17" s="84" t="s">
        <v>162</v>
      </c>
      <c r="C17" s="272">
        <v>1974350.3299999994</v>
      </c>
      <c r="D17" s="142"/>
      <c r="E17" s="8"/>
    </row>
    <row r="18" spans="1:5">
      <c r="A18" s="140">
        <v>9</v>
      </c>
      <c r="B18" s="84" t="s">
        <v>163</v>
      </c>
      <c r="C18" s="272">
        <v>0</v>
      </c>
      <c r="D18" s="142"/>
      <c r="E18" s="8"/>
    </row>
    <row r="19" spans="1:5">
      <c r="A19" s="140">
        <v>9.1</v>
      </c>
      <c r="B19" s="86" t="s">
        <v>245</v>
      </c>
      <c r="C19" s="273"/>
      <c r="D19" s="142"/>
      <c r="E19" s="8"/>
    </row>
    <row r="20" spans="1:5">
      <c r="A20" s="140">
        <v>9.1999999999999993</v>
      </c>
      <c r="B20" s="86" t="s">
        <v>235</v>
      </c>
      <c r="C20" s="273"/>
      <c r="D20" s="142"/>
      <c r="E20" s="8"/>
    </row>
    <row r="21" spans="1:5">
      <c r="A21" s="140">
        <v>9.3000000000000007</v>
      </c>
      <c r="B21" s="86" t="s">
        <v>234</v>
      </c>
      <c r="C21" s="273"/>
      <c r="D21" s="142"/>
      <c r="E21" s="8"/>
    </row>
    <row r="22" spans="1:5">
      <c r="A22" s="140">
        <v>10</v>
      </c>
      <c r="B22" s="84" t="s">
        <v>164</v>
      </c>
      <c r="C22" s="272">
        <v>40190762.060000002</v>
      </c>
      <c r="D22" s="142"/>
      <c r="E22" s="8"/>
    </row>
    <row r="23" spans="1:5">
      <c r="A23" s="140">
        <v>10.1</v>
      </c>
      <c r="B23" s="86" t="s">
        <v>233</v>
      </c>
      <c r="C23" s="272">
        <v>14043727.420000006</v>
      </c>
      <c r="D23" s="227" t="s">
        <v>744</v>
      </c>
      <c r="E23" s="8"/>
    </row>
    <row r="24" spans="1:5">
      <c r="A24" s="140">
        <v>11</v>
      </c>
      <c r="B24" s="87" t="s">
        <v>165</v>
      </c>
      <c r="C24" s="272">
        <v>40484380.699999996</v>
      </c>
      <c r="D24" s="144"/>
      <c r="E24" s="8"/>
    </row>
    <row r="25" spans="1:5">
      <c r="A25" s="140">
        <v>12</v>
      </c>
      <c r="B25" s="89" t="s">
        <v>166</v>
      </c>
      <c r="C25" s="275">
        <f>SUM(C6:C10,C15:C18,C22,C24)</f>
        <v>1786831509.6118</v>
      </c>
      <c r="D25" s="145"/>
      <c r="E25" s="7"/>
    </row>
    <row r="26" spans="1:5">
      <c r="A26" s="140">
        <v>13</v>
      </c>
      <c r="B26" s="84" t="s">
        <v>167</v>
      </c>
      <c r="C26" s="276">
        <v>0</v>
      </c>
      <c r="D26" s="146"/>
      <c r="E26" s="8"/>
    </row>
    <row r="27" spans="1:5">
      <c r="A27" s="140">
        <v>14</v>
      </c>
      <c r="B27" s="84" t="s">
        <v>168</v>
      </c>
      <c r="C27" s="272">
        <v>74057449.690800756</v>
      </c>
      <c r="D27" s="142"/>
      <c r="E27" s="8"/>
    </row>
    <row r="28" spans="1:5">
      <c r="A28" s="140">
        <v>15</v>
      </c>
      <c r="B28" s="84" t="s">
        <v>169</v>
      </c>
      <c r="C28" s="272">
        <v>27186937.150599957</v>
      </c>
      <c r="D28" s="142"/>
      <c r="E28" s="8"/>
    </row>
    <row r="29" spans="1:5">
      <c r="A29" s="140">
        <v>16</v>
      </c>
      <c r="B29" s="84" t="s">
        <v>170</v>
      </c>
      <c r="C29" s="272">
        <v>334412965.8665998</v>
      </c>
      <c r="D29" s="142"/>
      <c r="E29" s="8"/>
    </row>
    <row r="30" spans="1:5">
      <c r="A30" s="140">
        <v>17</v>
      </c>
      <c r="B30" s="84" t="s">
        <v>171</v>
      </c>
      <c r="C30" s="272">
        <v>0</v>
      </c>
      <c r="D30" s="142"/>
      <c r="E30" s="8"/>
    </row>
    <row r="31" spans="1:5">
      <c r="A31" s="140">
        <v>18</v>
      </c>
      <c r="B31" s="84" t="s">
        <v>172</v>
      </c>
      <c r="C31" s="272">
        <v>944018545.06985676</v>
      </c>
      <c r="D31" s="142"/>
      <c r="E31" s="8"/>
    </row>
    <row r="32" spans="1:5">
      <c r="A32" s="140">
        <v>19</v>
      </c>
      <c r="B32" s="84" t="s">
        <v>173</v>
      </c>
      <c r="C32" s="272">
        <v>30430364</v>
      </c>
      <c r="D32" s="142"/>
      <c r="E32" s="8"/>
    </row>
    <row r="33" spans="1:5">
      <c r="A33" s="140">
        <v>20</v>
      </c>
      <c r="B33" s="84" t="s">
        <v>95</v>
      </c>
      <c r="C33" s="272">
        <v>87441378.109999999</v>
      </c>
      <c r="D33" s="142"/>
      <c r="E33" s="8"/>
    </row>
    <row r="34" spans="1:5">
      <c r="A34" s="595">
        <v>20.100000000000001</v>
      </c>
      <c r="B34" s="88" t="s">
        <v>715</v>
      </c>
      <c r="C34" s="274"/>
      <c r="D34" s="144"/>
      <c r="E34" s="8"/>
    </row>
    <row r="35" spans="1:5">
      <c r="A35" s="140">
        <v>21</v>
      </c>
      <c r="B35" s="87" t="s">
        <v>174</v>
      </c>
      <c r="C35" s="274">
        <v>77354230</v>
      </c>
      <c r="D35" s="144"/>
      <c r="E35" s="8"/>
    </row>
    <row r="36" spans="1:5">
      <c r="A36" s="140">
        <v>21.1</v>
      </c>
      <c r="B36" s="88" t="s">
        <v>714</v>
      </c>
      <c r="C36" s="277">
        <v>68683356</v>
      </c>
      <c r="D36" s="227" t="s">
        <v>745</v>
      </c>
      <c r="E36" s="8"/>
    </row>
    <row r="37" spans="1:5">
      <c r="A37" s="140">
        <v>22</v>
      </c>
      <c r="B37" s="89" t="s">
        <v>175</v>
      </c>
      <c r="C37" s="275">
        <f>SUM(C26:C35)</f>
        <v>1574901869.8878572</v>
      </c>
      <c r="D37" s="145"/>
      <c r="E37" s="7"/>
    </row>
    <row r="38" spans="1:5">
      <c r="A38" s="140">
        <v>23</v>
      </c>
      <c r="B38" s="87" t="s">
        <v>176</v>
      </c>
      <c r="C38" s="272">
        <v>5176780</v>
      </c>
      <c r="D38" s="227" t="s">
        <v>746</v>
      </c>
      <c r="E38" s="8"/>
    </row>
    <row r="39" spans="1:5">
      <c r="A39" s="140">
        <v>24</v>
      </c>
      <c r="B39" s="87" t="s">
        <v>177</v>
      </c>
      <c r="C39" s="272"/>
      <c r="D39" s="142"/>
      <c r="E39" s="8"/>
    </row>
    <row r="40" spans="1:5">
      <c r="A40" s="140">
        <v>25</v>
      </c>
      <c r="B40" s="87" t="s">
        <v>232</v>
      </c>
      <c r="C40" s="272"/>
      <c r="D40" s="142"/>
      <c r="E40" s="8"/>
    </row>
    <row r="41" spans="1:5">
      <c r="A41" s="140">
        <v>26</v>
      </c>
      <c r="B41" s="87" t="s">
        <v>179</v>
      </c>
      <c r="C41" s="272">
        <v>35305300.5</v>
      </c>
      <c r="D41" s="227" t="s">
        <v>783</v>
      </c>
      <c r="E41" s="8"/>
    </row>
    <row r="42" spans="1:5">
      <c r="A42" s="140">
        <v>27</v>
      </c>
      <c r="B42" s="87" t="s">
        <v>180</v>
      </c>
      <c r="C42" s="272"/>
      <c r="D42" s="142"/>
      <c r="E42" s="8"/>
    </row>
    <row r="43" spans="1:5">
      <c r="A43" s="140">
        <v>28</v>
      </c>
      <c r="B43" s="87" t="s">
        <v>181</v>
      </c>
      <c r="C43" s="272">
        <v>171051100.90000045</v>
      </c>
      <c r="D43" s="227" t="s">
        <v>747</v>
      </c>
      <c r="E43" s="8"/>
    </row>
    <row r="44" spans="1:5">
      <c r="A44" s="140">
        <v>29</v>
      </c>
      <c r="B44" s="87" t="s">
        <v>35</v>
      </c>
      <c r="C44" s="272">
        <v>396459</v>
      </c>
      <c r="D44" s="227" t="s">
        <v>748</v>
      </c>
      <c r="E44" s="8"/>
    </row>
    <row r="45" spans="1:5" ht="16.5" thickBot="1">
      <c r="A45" s="147">
        <v>30</v>
      </c>
      <c r="B45" s="148" t="s">
        <v>182</v>
      </c>
      <c r="C45" s="278">
        <f>SUM(C38:C44)</f>
        <v>211929640.40000045</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75" zoomScaleNormal="75" workbookViewId="0">
      <pane xSplit="2" ySplit="7" topLeftCell="D17" activePane="bottomRight" state="frozen"/>
      <selection pane="topRight" activeCell="C1" sqref="C1"/>
      <selection pane="bottomLeft" activeCell="A8" sqref="A8"/>
      <selection pane="bottomRight" activeCell="C8" sqref="C8:R22"/>
    </sheetView>
  </sheetViews>
  <sheetFormatPr defaultColWidth="9.140625" defaultRowHeight="12.75"/>
  <cols>
    <col min="1" max="1" width="10.5703125" style="2" bestFit="1" customWidth="1"/>
    <col min="2" max="2" width="27.28515625" style="2" customWidth="1"/>
    <col min="3" max="3" width="11.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1.28515625" style="2" bestFit="1" customWidth="1"/>
    <col min="14" max="14" width="13.28515625" style="2" bestFit="1" customWidth="1"/>
    <col min="15" max="15" width="10.710937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188</v>
      </c>
      <c r="B1" s="335" t="str">
        <f>Info!C2</f>
        <v>სს "კრედო ბანკი"</v>
      </c>
    </row>
    <row r="2" spans="1:19">
      <c r="A2" s="2" t="s">
        <v>189</v>
      </c>
      <c r="B2" s="469">
        <f>'1. key ratios'!B2</f>
        <v>44651</v>
      </c>
    </row>
    <row r="4" spans="1:19" ht="102.75" thickBot="1">
      <c r="A4" s="66" t="s">
        <v>337</v>
      </c>
      <c r="B4" s="306" t="s">
        <v>358</v>
      </c>
    </row>
    <row r="5" spans="1:19">
      <c r="A5" s="129"/>
      <c r="B5" s="131"/>
      <c r="C5" s="115" t="s">
        <v>0</v>
      </c>
      <c r="D5" s="115" t="s">
        <v>1</v>
      </c>
      <c r="E5" s="115" t="s">
        <v>2</v>
      </c>
      <c r="F5" s="115" t="s">
        <v>3</v>
      </c>
      <c r="G5" s="115" t="s">
        <v>4</v>
      </c>
      <c r="H5" s="115" t="s">
        <v>5</v>
      </c>
      <c r="I5" s="115" t="s">
        <v>237</v>
      </c>
      <c r="J5" s="115" t="s">
        <v>238</v>
      </c>
      <c r="K5" s="115" t="s">
        <v>239</v>
      </c>
      <c r="L5" s="115" t="s">
        <v>240</v>
      </c>
      <c r="M5" s="115" t="s">
        <v>241</v>
      </c>
      <c r="N5" s="115" t="s">
        <v>242</v>
      </c>
      <c r="O5" s="115" t="s">
        <v>345</v>
      </c>
      <c r="P5" s="115" t="s">
        <v>346</v>
      </c>
      <c r="Q5" s="115" t="s">
        <v>347</v>
      </c>
      <c r="R5" s="298" t="s">
        <v>348</v>
      </c>
      <c r="S5" s="116" t="s">
        <v>349</v>
      </c>
    </row>
    <row r="6" spans="1:19" ht="46.5" customHeight="1">
      <c r="A6" s="154"/>
      <c r="B6" s="733" t="s">
        <v>350</v>
      </c>
      <c r="C6" s="731">
        <v>0</v>
      </c>
      <c r="D6" s="732"/>
      <c r="E6" s="731">
        <v>0.2</v>
      </c>
      <c r="F6" s="732"/>
      <c r="G6" s="731">
        <v>0.35</v>
      </c>
      <c r="H6" s="732"/>
      <c r="I6" s="731">
        <v>0.5</v>
      </c>
      <c r="J6" s="732"/>
      <c r="K6" s="731">
        <v>0.75</v>
      </c>
      <c r="L6" s="732"/>
      <c r="M6" s="731">
        <v>1</v>
      </c>
      <c r="N6" s="732"/>
      <c r="O6" s="731">
        <v>1.5</v>
      </c>
      <c r="P6" s="732"/>
      <c r="Q6" s="731">
        <v>2.5</v>
      </c>
      <c r="R6" s="732"/>
      <c r="S6" s="729" t="s">
        <v>250</v>
      </c>
    </row>
    <row r="7" spans="1:19">
      <c r="A7" s="154"/>
      <c r="B7" s="734"/>
      <c r="C7" s="305" t="s">
        <v>343</v>
      </c>
      <c r="D7" s="305" t="s">
        <v>344</v>
      </c>
      <c r="E7" s="305" t="s">
        <v>343</v>
      </c>
      <c r="F7" s="305" t="s">
        <v>344</v>
      </c>
      <c r="G7" s="305" t="s">
        <v>343</v>
      </c>
      <c r="H7" s="305" t="s">
        <v>344</v>
      </c>
      <c r="I7" s="305" t="s">
        <v>343</v>
      </c>
      <c r="J7" s="305" t="s">
        <v>344</v>
      </c>
      <c r="K7" s="305" t="s">
        <v>343</v>
      </c>
      <c r="L7" s="305" t="s">
        <v>344</v>
      </c>
      <c r="M7" s="305" t="s">
        <v>343</v>
      </c>
      <c r="N7" s="305" t="s">
        <v>344</v>
      </c>
      <c r="O7" s="305" t="s">
        <v>343</v>
      </c>
      <c r="P7" s="305" t="s">
        <v>344</v>
      </c>
      <c r="Q7" s="305" t="s">
        <v>343</v>
      </c>
      <c r="R7" s="305" t="s">
        <v>344</v>
      </c>
      <c r="S7" s="730"/>
    </row>
    <row r="8" spans="1:19" s="158" customFormat="1" ht="63.75">
      <c r="A8" s="119">
        <v>1</v>
      </c>
      <c r="B8" s="72" t="s">
        <v>216</v>
      </c>
      <c r="C8" s="693">
        <v>98220695.789999992</v>
      </c>
      <c r="D8" s="693"/>
      <c r="E8" s="693"/>
      <c r="F8" s="694"/>
      <c r="G8" s="693"/>
      <c r="H8" s="693"/>
      <c r="I8" s="693"/>
      <c r="J8" s="693"/>
      <c r="K8" s="693"/>
      <c r="L8" s="693"/>
      <c r="M8" s="693">
        <v>18162513.710000001</v>
      </c>
      <c r="N8" s="693"/>
      <c r="O8" s="693"/>
      <c r="P8" s="693"/>
      <c r="Q8" s="693"/>
      <c r="R8" s="694"/>
      <c r="S8" s="310">
        <f>$C$6*SUM(C8:D8)+$E$6*SUM(E8:F8)+$G$6*SUM(G8:H8)+$I$6*SUM(I8:J8)+$K$6*SUM(K8:L8)+$M$6*SUM(M8:N8)+$O$6*SUM(O8:P8)+$Q$6*SUM(Q8:R8)</f>
        <v>18162513.710000001</v>
      </c>
    </row>
    <row r="9" spans="1:19" s="158" customFormat="1" ht="76.5">
      <c r="A9" s="119">
        <v>2</v>
      </c>
      <c r="B9" s="72" t="s">
        <v>217</v>
      </c>
      <c r="C9" s="695"/>
      <c r="D9" s="693"/>
      <c r="E9" s="693"/>
      <c r="F9" s="693"/>
      <c r="G9" s="693"/>
      <c r="H9" s="693"/>
      <c r="I9" s="693"/>
      <c r="J9" s="693"/>
      <c r="K9" s="693"/>
      <c r="L9" s="693"/>
      <c r="M9" s="693"/>
      <c r="N9" s="693"/>
      <c r="O9" s="693"/>
      <c r="P9" s="693"/>
      <c r="Q9" s="693"/>
      <c r="R9" s="694"/>
      <c r="S9" s="310">
        <f t="shared" ref="S9:S21" si="0">$C$6*SUM(C9:D9)+$E$6*SUM(E9:F9)+$G$6*SUM(G9:H9)+$I$6*SUM(I9:J9)+$K$6*SUM(K9:L9)+$M$6*SUM(M9:N9)+$O$6*SUM(O9:P9)+$Q$6*SUM(Q9:R9)</f>
        <v>0</v>
      </c>
    </row>
    <row r="10" spans="1:19" s="158" customFormat="1" ht="38.25">
      <c r="A10" s="119">
        <v>3</v>
      </c>
      <c r="B10" s="72" t="s">
        <v>218</v>
      </c>
      <c r="C10" s="693">
        <v>26155693.719999999</v>
      </c>
      <c r="D10" s="693"/>
      <c r="E10" s="693"/>
      <c r="F10" s="693"/>
      <c r="G10" s="693"/>
      <c r="H10" s="693"/>
      <c r="I10" s="693"/>
      <c r="J10" s="693"/>
      <c r="K10" s="693"/>
      <c r="L10" s="693"/>
      <c r="M10" s="693"/>
      <c r="N10" s="693"/>
      <c r="O10" s="693"/>
      <c r="P10" s="693"/>
      <c r="Q10" s="693"/>
      <c r="R10" s="694"/>
      <c r="S10" s="310">
        <f t="shared" si="0"/>
        <v>0</v>
      </c>
    </row>
    <row r="11" spans="1:19" s="158" customFormat="1" ht="51">
      <c r="A11" s="119">
        <v>4</v>
      </c>
      <c r="B11" s="72" t="s">
        <v>219</v>
      </c>
      <c r="C11" s="693"/>
      <c r="D11" s="693"/>
      <c r="E11" s="693"/>
      <c r="F11" s="693"/>
      <c r="G11" s="693"/>
      <c r="H11" s="693"/>
      <c r="I11" s="693"/>
      <c r="J11" s="693"/>
      <c r="K11" s="693"/>
      <c r="L11" s="693"/>
      <c r="M11" s="693"/>
      <c r="N11" s="693"/>
      <c r="O11" s="693"/>
      <c r="P11" s="693"/>
      <c r="Q11" s="693"/>
      <c r="R11" s="694"/>
      <c r="S11" s="310">
        <f t="shared" si="0"/>
        <v>0</v>
      </c>
    </row>
    <row r="12" spans="1:19" s="158" customFormat="1" ht="38.25">
      <c r="A12" s="119">
        <v>5</v>
      </c>
      <c r="B12" s="72" t="s">
        <v>220</v>
      </c>
      <c r="C12" s="693"/>
      <c r="D12" s="693"/>
      <c r="E12" s="693"/>
      <c r="F12" s="693"/>
      <c r="G12" s="693"/>
      <c r="H12" s="693"/>
      <c r="I12" s="693"/>
      <c r="J12" s="693"/>
      <c r="K12" s="693"/>
      <c r="L12" s="693"/>
      <c r="M12" s="693"/>
      <c r="N12" s="693"/>
      <c r="O12" s="693"/>
      <c r="P12" s="693"/>
      <c r="Q12" s="693"/>
      <c r="R12" s="694"/>
      <c r="S12" s="310">
        <f t="shared" si="0"/>
        <v>0</v>
      </c>
    </row>
    <row r="13" spans="1:19" s="158" customFormat="1" ht="38.25">
      <c r="A13" s="119">
        <v>6</v>
      </c>
      <c r="B13" s="72" t="s">
        <v>221</v>
      </c>
      <c r="C13" s="693"/>
      <c r="D13" s="693"/>
      <c r="E13" s="696">
        <v>1620381.91</v>
      </c>
      <c r="F13" s="696"/>
      <c r="G13" s="696"/>
      <c r="H13" s="696"/>
      <c r="I13" s="696">
        <v>19763701.210000001</v>
      </c>
      <c r="J13" s="696"/>
      <c r="K13" s="696"/>
      <c r="L13" s="696"/>
      <c r="M13" s="696">
        <v>3858.7</v>
      </c>
      <c r="N13" s="693"/>
      <c r="O13" s="693"/>
      <c r="P13" s="693"/>
      <c r="Q13" s="693"/>
      <c r="R13" s="694"/>
      <c r="S13" s="310">
        <f t="shared" si="0"/>
        <v>10209785.686999999</v>
      </c>
    </row>
    <row r="14" spans="1:19" s="158" customFormat="1" ht="38.25">
      <c r="A14" s="119">
        <v>7</v>
      </c>
      <c r="B14" s="72" t="s">
        <v>73</v>
      </c>
      <c r="C14" s="693"/>
      <c r="D14" s="693"/>
      <c r="E14" s="693"/>
      <c r="F14" s="693"/>
      <c r="G14" s="693"/>
      <c r="H14" s="693"/>
      <c r="I14" s="693"/>
      <c r="J14" s="693"/>
      <c r="K14" s="693"/>
      <c r="L14" s="693"/>
      <c r="M14" s="693">
        <v>6535524.4094610168</v>
      </c>
      <c r="N14" s="693"/>
      <c r="O14" s="693"/>
      <c r="P14" s="693"/>
      <c r="Q14" s="693"/>
      <c r="R14" s="694"/>
      <c r="S14" s="310">
        <f t="shared" si="0"/>
        <v>6535524.4094610168</v>
      </c>
    </row>
    <row r="15" spans="1:19" s="158" customFormat="1" ht="25.5">
      <c r="A15" s="119">
        <v>8</v>
      </c>
      <c r="B15" s="72" t="s">
        <v>74</v>
      </c>
      <c r="C15" s="693"/>
      <c r="D15" s="693"/>
      <c r="E15" s="693"/>
      <c r="F15" s="693"/>
      <c r="G15" s="693"/>
      <c r="H15" s="693"/>
      <c r="I15" s="693"/>
      <c r="J15" s="693"/>
      <c r="K15" s="693">
        <v>1343724176.2560971</v>
      </c>
      <c r="L15" s="693">
        <v>34728427.93</v>
      </c>
      <c r="M15" s="693"/>
      <c r="N15" s="693"/>
      <c r="O15" s="693"/>
      <c r="P15" s="693"/>
      <c r="Q15" s="693"/>
      <c r="R15" s="694"/>
      <c r="S15" s="310">
        <f t="shared" si="0"/>
        <v>1033839453.1395729</v>
      </c>
    </row>
    <row r="16" spans="1:19" s="158" customFormat="1" ht="63.75">
      <c r="A16" s="119">
        <v>9</v>
      </c>
      <c r="B16" s="72" t="s">
        <v>75</v>
      </c>
      <c r="C16" s="693"/>
      <c r="D16" s="693"/>
      <c r="E16" s="693"/>
      <c r="F16" s="693"/>
      <c r="G16" s="693"/>
      <c r="H16" s="693"/>
      <c r="I16" s="693"/>
      <c r="J16" s="693"/>
      <c r="K16" s="693"/>
      <c r="L16" s="693"/>
      <c r="M16" s="693"/>
      <c r="N16" s="693"/>
      <c r="O16" s="693"/>
      <c r="P16" s="693"/>
      <c r="Q16" s="693"/>
      <c r="R16" s="694"/>
      <c r="S16" s="310">
        <f t="shared" si="0"/>
        <v>0</v>
      </c>
    </row>
    <row r="17" spans="1:19" s="158" customFormat="1" ht="25.5">
      <c r="A17" s="119">
        <v>10</v>
      </c>
      <c r="B17" s="72" t="s">
        <v>69</v>
      </c>
      <c r="C17" s="693"/>
      <c r="D17" s="693"/>
      <c r="E17" s="693"/>
      <c r="F17" s="693"/>
      <c r="G17" s="693"/>
      <c r="H17" s="693"/>
      <c r="I17" s="693"/>
      <c r="J17" s="693"/>
      <c r="K17" s="693"/>
      <c r="L17" s="693"/>
      <c r="M17" s="693">
        <v>7412558.980604019</v>
      </c>
      <c r="N17" s="693"/>
      <c r="O17" s="693">
        <v>1311369.9968783779</v>
      </c>
      <c r="P17" s="693"/>
      <c r="Q17" s="693"/>
      <c r="R17" s="694"/>
      <c r="S17" s="310">
        <f t="shared" si="0"/>
        <v>9379613.9759215862</v>
      </c>
    </row>
    <row r="18" spans="1:19" s="158" customFormat="1" ht="38.25">
      <c r="A18" s="119">
        <v>11</v>
      </c>
      <c r="B18" s="72" t="s">
        <v>70</v>
      </c>
      <c r="C18" s="693"/>
      <c r="D18" s="693"/>
      <c r="E18" s="693"/>
      <c r="F18" s="693"/>
      <c r="G18" s="693"/>
      <c r="H18" s="693"/>
      <c r="I18" s="693"/>
      <c r="J18" s="693"/>
      <c r="K18" s="693"/>
      <c r="L18" s="693"/>
      <c r="M18" s="693">
        <v>95814253.935388923</v>
      </c>
      <c r="N18" s="693"/>
      <c r="O18" s="693">
        <v>49690767.462016419</v>
      </c>
      <c r="P18" s="693"/>
      <c r="Q18" s="693"/>
      <c r="R18" s="694"/>
      <c r="S18" s="310">
        <f t="shared" si="0"/>
        <v>170350405.12841356</v>
      </c>
    </row>
    <row r="19" spans="1:19" s="158" customFormat="1" ht="38.25">
      <c r="A19" s="119">
        <v>12</v>
      </c>
      <c r="B19" s="72" t="s">
        <v>71</v>
      </c>
      <c r="C19" s="693"/>
      <c r="D19" s="693"/>
      <c r="E19" s="693"/>
      <c r="F19" s="693"/>
      <c r="G19" s="693"/>
      <c r="H19" s="693"/>
      <c r="I19" s="693"/>
      <c r="J19" s="693"/>
      <c r="K19" s="693"/>
      <c r="L19" s="693"/>
      <c r="M19" s="693"/>
      <c r="N19" s="693"/>
      <c r="O19" s="693"/>
      <c r="P19" s="693"/>
      <c r="Q19" s="693"/>
      <c r="R19" s="694"/>
      <c r="S19" s="310">
        <f t="shared" si="0"/>
        <v>0</v>
      </c>
    </row>
    <row r="20" spans="1:19" s="158" customFormat="1" ht="25.5">
      <c r="A20" s="119">
        <v>13</v>
      </c>
      <c r="B20" s="72" t="s">
        <v>72</v>
      </c>
      <c r="C20" s="693"/>
      <c r="D20" s="693"/>
      <c r="E20" s="693"/>
      <c r="F20" s="693"/>
      <c r="G20" s="693"/>
      <c r="H20" s="693"/>
      <c r="I20" s="693"/>
      <c r="J20" s="693"/>
      <c r="K20" s="693"/>
      <c r="L20" s="693"/>
      <c r="M20" s="693"/>
      <c r="N20" s="693"/>
      <c r="O20" s="693"/>
      <c r="P20" s="693"/>
      <c r="Q20" s="693"/>
      <c r="R20" s="694"/>
      <c r="S20" s="310">
        <f t="shared" si="0"/>
        <v>0</v>
      </c>
    </row>
    <row r="21" spans="1:19" s="158" customFormat="1">
      <c r="A21" s="119">
        <v>14</v>
      </c>
      <c r="B21" s="72" t="s">
        <v>248</v>
      </c>
      <c r="C21" s="693">
        <v>62774950.380000003</v>
      </c>
      <c r="D21" s="693"/>
      <c r="E21" s="693"/>
      <c r="F21" s="693"/>
      <c r="G21" s="693"/>
      <c r="H21" s="693"/>
      <c r="I21" s="693"/>
      <c r="J21" s="693"/>
      <c r="K21" s="693"/>
      <c r="L21" s="693"/>
      <c r="M21" s="693">
        <v>67795357.629999995</v>
      </c>
      <c r="N21" s="693"/>
      <c r="O21" s="693"/>
      <c r="P21" s="693"/>
      <c r="Q21" s="693">
        <v>810408.24</v>
      </c>
      <c r="R21" s="694"/>
      <c r="S21" s="310">
        <f t="shared" si="0"/>
        <v>69821378.229999989</v>
      </c>
    </row>
    <row r="22" spans="1:19" ht="13.5" thickBot="1">
      <c r="A22" s="101"/>
      <c r="B22" s="160" t="s">
        <v>68</v>
      </c>
      <c r="C22" s="697">
        <f>SUM(C8:C21)</f>
        <v>187151339.88999999</v>
      </c>
      <c r="D22" s="697">
        <f t="shared" ref="D22:S22" si="1">SUM(D8:D21)</f>
        <v>0</v>
      </c>
      <c r="E22" s="697">
        <f t="shared" si="1"/>
        <v>1620381.91</v>
      </c>
      <c r="F22" s="697">
        <f t="shared" si="1"/>
        <v>0</v>
      </c>
      <c r="G22" s="697">
        <f t="shared" si="1"/>
        <v>0</v>
      </c>
      <c r="H22" s="697">
        <f t="shared" si="1"/>
        <v>0</v>
      </c>
      <c r="I22" s="697">
        <f t="shared" si="1"/>
        <v>19763701.210000001</v>
      </c>
      <c r="J22" s="697">
        <f t="shared" si="1"/>
        <v>0</v>
      </c>
      <c r="K22" s="697">
        <f t="shared" si="1"/>
        <v>1343724176.2560971</v>
      </c>
      <c r="L22" s="697">
        <f t="shared" si="1"/>
        <v>34728427.93</v>
      </c>
      <c r="M22" s="697">
        <f t="shared" si="1"/>
        <v>195724067.36545396</v>
      </c>
      <c r="N22" s="697">
        <f t="shared" si="1"/>
        <v>0</v>
      </c>
      <c r="O22" s="697">
        <f t="shared" si="1"/>
        <v>51002137.458894797</v>
      </c>
      <c r="P22" s="697">
        <f t="shared" si="1"/>
        <v>0</v>
      </c>
      <c r="Q22" s="697">
        <f t="shared" si="1"/>
        <v>810408.24</v>
      </c>
      <c r="R22" s="697">
        <f t="shared" si="1"/>
        <v>0</v>
      </c>
      <c r="S22" s="612">
        <f t="shared" si="1"/>
        <v>1318298674.2803688</v>
      </c>
    </row>
    <row r="24" spans="1:19">
      <c r="S24" s="688"/>
    </row>
    <row r="26" spans="1:19">
      <c r="S26" s="68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35" t="str">
        <f>Info!C2</f>
        <v>სს "კრედო ბანკი"</v>
      </c>
    </row>
    <row r="2" spans="1:22">
      <c r="A2" s="2" t="s">
        <v>189</v>
      </c>
      <c r="B2" s="469">
        <f>'1. key ratios'!B2</f>
        <v>44651</v>
      </c>
    </row>
    <row r="4" spans="1:22" ht="27.75" thickBot="1">
      <c r="A4" s="2" t="s">
        <v>338</v>
      </c>
      <c r="B4" s="307" t="s">
        <v>359</v>
      </c>
      <c r="V4" s="201" t="s">
        <v>93</v>
      </c>
    </row>
    <row r="5" spans="1:22">
      <c r="A5" s="99"/>
      <c r="B5" s="100"/>
      <c r="C5" s="735" t="s">
        <v>198</v>
      </c>
      <c r="D5" s="736"/>
      <c r="E5" s="736"/>
      <c r="F5" s="736"/>
      <c r="G5" s="736"/>
      <c r="H5" s="736"/>
      <c r="I5" s="736"/>
      <c r="J5" s="736"/>
      <c r="K5" s="736"/>
      <c r="L5" s="737"/>
      <c r="M5" s="735" t="s">
        <v>199</v>
      </c>
      <c r="N5" s="736"/>
      <c r="O5" s="736"/>
      <c r="P5" s="736"/>
      <c r="Q5" s="736"/>
      <c r="R5" s="736"/>
      <c r="S5" s="737"/>
      <c r="T5" s="740" t="s">
        <v>357</v>
      </c>
      <c r="U5" s="740" t="s">
        <v>356</v>
      </c>
      <c r="V5" s="738" t="s">
        <v>200</v>
      </c>
    </row>
    <row r="6" spans="1:22" s="66" customFormat="1" ht="140.25">
      <c r="A6" s="117"/>
      <c r="B6" s="177"/>
      <c r="C6" s="97" t="s">
        <v>201</v>
      </c>
      <c r="D6" s="96" t="s">
        <v>202</v>
      </c>
      <c r="E6" s="93" t="s">
        <v>203</v>
      </c>
      <c r="F6" s="308" t="s">
        <v>351</v>
      </c>
      <c r="G6" s="96" t="s">
        <v>204</v>
      </c>
      <c r="H6" s="96" t="s">
        <v>205</v>
      </c>
      <c r="I6" s="96" t="s">
        <v>206</v>
      </c>
      <c r="J6" s="96" t="s">
        <v>247</v>
      </c>
      <c r="K6" s="96" t="s">
        <v>207</v>
      </c>
      <c r="L6" s="98" t="s">
        <v>208</v>
      </c>
      <c r="M6" s="97" t="s">
        <v>209</v>
      </c>
      <c r="N6" s="96" t="s">
        <v>210</v>
      </c>
      <c r="O6" s="96" t="s">
        <v>211</v>
      </c>
      <c r="P6" s="96" t="s">
        <v>212</v>
      </c>
      <c r="Q6" s="96" t="s">
        <v>213</v>
      </c>
      <c r="R6" s="96" t="s">
        <v>214</v>
      </c>
      <c r="S6" s="98" t="s">
        <v>215</v>
      </c>
      <c r="T6" s="741"/>
      <c r="U6" s="741"/>
      <c r="V6" s="739"/>
    </row>
    <row r="7" spans="1:22" s="158" customFormat="1">
      <c r="A7" s="159">
        <v>1</v>
      </c>
      <c r="B7" s="157" t="s">
        <v>216</v>
      </c>
      <c r="C7" s="282"/>
      <c r="D7" s="280"/>
      <c r="E7" s="280"/>
      <c r="F7" s="280"/>
      <c r="G7" s="280"/>
      <c r="H7" s="280"/>
      <c r="I7" s="280"/>
      <c r="J7" s="280"/>
      <c r="K7" s="280"/>
      <c r="L7" s="283"/>
      <c r="M7" s="282"/>
      <c r="N7" s="280"/>
      <c r="O7" s="280"/>
      <c r="P7" s="280"/>
      <c r="Q7" s="280"/>
      <c r="R7" s="280"/>
      <c r="S7" s="283"/>
      <c r="T7" s="302"/>
      <c r="U7" s="301"/>
      <c r="V7" s="284">
        <f>SUM(C7:S7)</f>
        <v>0</v>
      </c>
    </row>
    <row r="8" spans="1:22" s="158" customFormat="1">
      <c r="A8" s="159">
        <v>2</v>
      </c>
      <c r="B8" s="157" t="s">
        <v>217</v>
      </c>
      <c r="C8" s="282"/>
      <c r="D8" s="280"/>
      <c r="E8" s="280"/>
      <c r="F8" s="280"/>
      <c r="G8" s="280"/>
      <c r="H8" s="280"/>
      <c r="I8" s="280"/>
      <c r="J8" s="280"/>
      <c r="K8" s="280"/>
      <c r="L8" s="283"/>
      <c r="M8" s="282"/>
      <c r="N8" s="280"/>
      <c r="O8" s="280"/>
      <c r="P8" s="280"/>
      <c r="Q8" s="280"/>
      <c r="R8" s="280"/>
      <c r="S8" s="283"/>
      <c r="T8" s="301"/>
      <c r="U8" s="301"/>
      <c r="V8" s="284">
        <f t="shared" ref="V8:V20" si="0">SUM(C8:S8)</f>
        <v>0</v>
      </c>
    </row>
    <row r="9" spans="1:22" s="158" customFormat="1">
      <c r="A9" s="159">
        <v>3</v>
      </c>
      <c r="B9" s="157" t="s">
        <v>218</v>
      </c>
      <c r="C9" s="282"/>
      <c r="D9" s="280"/>
      <c r="E9" s="280"/>
      <c r="F9" s="280"/>
      <c r="G9" s="280"/>
      <c r="H9" s="280"/>
      <c r="I9" s="280"/>
      <c r="J9" s="280"/>
      <c r="K9" s="280"/>
      <c r="L9" s="283"/>
      <c r="M9" s="282"/>
      <c r="N9" s="280"/>
      <c r="O9" s="280"/>
      <c r="P9" s="280"/>
      <c r="Q9" s="280"/>
      <c r="R9" s="280"/>
      <c r="S9" s="283"/>
      <c r="T9" s="301"/>
      <c r="U9" s="301"/>
      <c r="V9" s="284">
        <f>SUM(C9:S9)</f>
        <v>0</v>
      </c>
    </row>
    <row r="10" spans="1:22" s="158" customFormat="1">
      <c r="A10" s="159">
        <v>4</v>
      </c>
      <c r="B10" s="157" t="s">
        <v>219</v>
      </c>
      <c r="C10" s="282"/>
      <c r="D10" s="280"/>
      <c r="E10" s="280"/>
      <c r="F10" s="280"/>
      <c r="G10" s="280"/>
      <c r="H10" s="280"/>
      <c r="I10" s="280"/>
      <c r="J10" s="280"/>
      <c r="K10" s="280"/>
      <c r="L10" s="283"/>
      <c r="M10" s="282"/>
      <c r="N10" s="280"/>
      <c r="O10" s="280"/>
      <c r="P10" s="280"/>
      <c r="Q10" s="280"/>
      <c r="R10" s="280"/>
      <c r="S10" s="283"/>
      <c r="T10" s="301"/>
      <c r="U10" s="301"/>
      <c r="V10" s="284">
        <f t="shared" si="0"/>
        <v>0</v>
      </c>
    </row>
    <row r="11" spans="1:22" s="158" customFormat="1">
      <c r="A11" s="159">
        <v>5</v>
      </c>
      <c r="B11" s="157" t="s">
        <v>220</v>
      </c>
      <c r="C11" s="282"/>
      <c r="D11" s="280"/>
      <c r="E11" s="280"/>
      <c r="F11" s="280"/>
      <c r="G11" s="280"/>
      <c r="H11" s="280"/>
      <c r="I11" s="280"/>
      <c r="J11" s="280"/>
      <c r="K11" s="280"/>
      <c r="L11" s="283"/>
      <c r="M11" s="282"/>
      <c r="N11" s="280"/>
      <c r="O11" s="280"/>
      <c r="P11" s="280"/>
      <c r="Q11" s="280"/>
      <c r="R11" s="280"/>
      <c r="S11" s="283"/>
      <c r="T11" s="301"/>
      <c r="U11" s="301"/>
      <c r="V11" s="284">
        <f t="shared" si="0"/>
        <v>0</v>
      </c>
    </row>
    <row r="12" spans="1:22" s="158" customFormat="1">
      <c r="A12" s="159">
        <v>6</v>
      </c>
      <c r="B12" s="157" t="s">
        <v>221</v>
      </c>
      <c r="C12" s="282"/>
      <c r="D12" s="280"/>
      <c r="E12" s="280"/>
      <c r="F12" s="280"/>
      <c r="G12" s="280"/>
      <c r="H12" s="280"/>
      <c r="I12" s="280"/>
      <c r="J12" s="280"/>
      <c r="K12" s="280"/>
      <c r="L12" s="283"/>
      <c r="M12" s="282"/>
      <c r="N12" s="280"/>
      <c r="O12" s="280"/>
      <c r="P12" s="280"/>
      <c r="Q12" s="280"/>
      <c r="R12" s="280"/>
      <c r="S12" s="283"/>
      <c r="T12" s="301"/>
      <c r="U12" s="301"/>
      <c r="V12" s="284">
        <f t="shared" si="0"/>
        <v>0</v>
      </c>
    </row>
    <row r="13" spans="1:22" s="158" customFormat="1">
      <c r="A13" s="159">
        <v>7</v>
      </c>
      <c r="B13" s="157" t="s">
        <v>73</v>
      </c>
      <c r="C13" s="282"/>
      <c r="D13" s="280"/>
      <c r="E13" s="280"/>
      <c r="F13" s="280"/>
      <c r="G13" s="280"/>
      <c r="H13" s="280"/>
      <c r="I13" s="280"/>
      <c r="J13" s="280"/>
      <c r="K13" s="280"/>
      <c r="L13" s="283"/>
      <c r="M13" s="282"/>
      <c r="N13" s="280"/>
      <c r="O13" s="280"/>
      <c r="P13" s="280"/>
      <c r="Q13" s="280"/>
      <c r="R13" s="280"/>
      <c r="S13" s="283"/>
      <c r="T13" s="301"/>
      <c r="U13" s="301"/>
      <c r="V13" s="284">
        <f t="shared" si="0"/>
        <v>0</v>
      </c>
    </row>
    <row r="14" spans="1:22" s="158" customFormat="1">
      <c r="A14" s="159">
        <v>8</v>
      </c>
      <c r="B14" s="157" t="s">
        <v>74</v>
      </c>
      <c r="C14" s="282"/>
      <c r="D14" s="280"/>
      <c r="E14" s="280"/>
      <c r="F14" s="280"/>
      <c r="G14" s="280"/>
      <c r="H14" s="280"/>
      <c r="I14" s="280"/>
      <c r="J14" s="280"/>
      <c r="K14" s="280"/>
      <c r="L14" s="283"/>
      <c r="M14" s="282"/>
      <c r="N14" s="280"/>
      <c r="O14" s="280"/>
      <c r="P14" s="280"/>
      <c r="Q14" s="280"/>
      <c r="R14" s="280"/>
      <c r="S14" s="283"/>
      <c r="T14" s="301"/>
      <c r="U14" s="301"/>
      <c r="V14" s="284">
        <f t="shared" si="0"/>
        <v>0</v>
      </c>
    </row>
    <row r="15" spans="1:22" s="158" customFormat="1">
      <c r="A15" s="159">
        <v>9</v>
      </c>
      <c r="B15" s="157" t="s">
        <v>75</v>
      </c>
      <c r="C15" s="282"/>
      <c r="D15" s="280"/>
      <c r="E15" s="280"/>
      <c r="F15" s="280"/>
      <c r="G15" s="280"/>
      <c r="H15" s="280"/>
      <c r="I15" s="280"/>
      <c r="J15" s="280"/>
      <c r="K15" s="280"/>
      <c r="L15" s="283"/>
      <c r="M15" s="282"/>
      <c r="N15" s="280"/>
      <c r="O15" s="280"/>
      <c r="P15" s="280"/>
      <c r="Q15" s="280"/>
      <c r="R15" s="280"/>
      <c r="S15" s="283"/>
      <c r="T15" s="301"/>
      <c r="U15" s="301"/>
      <c r="V15" s="284">
        <f t="shared" si="0"/>
        <v>0</v>
      </c>
    </row>
    <row r="16" spans="1:22" s="158" customFormat="1">
      <c r="A16" s="159">
        <v>10</v>
      </c>
      <c r="B16" s="157" t="s">
        <v>69</v>
      </c>
      <c r="C16" s="282"/>
      <c r="D16" s="280"/>
      <c r="E16" s="280"/>
      <c r="F16" s="280"/>
      <c r="G16" s="280"/>
      <c r="H16" s="280"/>
      <c r="I16" s="280"/>
      <c r="J16" s="280"/>
      <c r="K16" s="280"/>
      <c r="L16" s="283"/>
      <c r="M16" s="282"/>
      <c r="N16" s="280"/>
      <c r="O16" s="280"/>
      <c r="P16" s="280"/>
      <c r="Q16" s="280"/>
      <c r="R16" s="280"/>
      <c r="S16" s="283"/>
      <c r="T16" s="301"/>
      <c r="U16" s="301"/>
      <c r="V16" s="284">
        <f t="shared" si="0"/>
        <v>0</v>
      </c>
    </row>
    <row r="17" spans="1:22" s="158" customFormat="1">
      <c r="A17" s="159">
        <v>11</v>
      </c>
      <c r="B17" s="157" t="s">
        <v>70</v>
      </c>
      <c r="C17" s="282"/>
      <c r="D17" s="280"/>
      <c r="E17" s="280"/>
      <c r="F17" s="280"/>
      <c r="G17" s="280"/>
      <c r="H17" s="280"/>
      <c r="I17" s="280"/>
      <c r="J17" s="280"/>
      <c r="K17" s="280"/>
      <c r="L17" s="283"/>
      <c r="M17" s="282"/>
      <c r="N17" s="280"/>
      <c r="O17" s="280"/>
      <c r="P17" s="280"/>
      <c r="Q17" s="280"/>
      <c r="R17" s="280"/>
      <c r="S17" s="283"/>
      <c r="T17" s="301"/>
      <c r="U17" s="301"/>
      <c r="V17" s="284">
        <f t="shared" si="0"/>
        <v>0</v>
      </c>
    </row>
    <row r="18" spans="1:22" s="158" customFormat="1">
      <c r="A18" s="159">
        <v>12</v>
      </c>
      <c r="B18" s="157" t="s">
        <v>71</v>
      </c>
      <c r="C18" s="282"/>
      <c r="D18" s="280"/>
      <c r="E18" s="280"/>
      <c r="F18" s="280"/>
      <c r="G18" s="280"/>
      <c r="H18" s="280"/>
      <c r="I18" s="280"/>
      <c r="J18" s="280"/>
      <c r="K18" s="280"/>
      <c r="L18" s="283"/>
      <c r="M18" s="282"/>
      <c r="N18" s="280"/>
      <c r="O18" s="280"/>
      <c r="P18" s="280"/>
      <c r="Q18" s="280"/>
      <c r="R18" s="280"/>
      <c r="S18" s="283"/>
      <c r="T18" s="301"/>
      <c r="U18" s="301"/>
      <c r="V18" s="284">
        <f t="shared" si="0"/>
        <v>0</v>
      </c>
    </row>
    <row r="19" spans="1:22" s="158" customFormat="1">
      <c r="A19" s="159">
        <v>13</v>
      </c>
      <c r="B19" s="157" t="s">
        <v>72</v>
      </c>
      <c r="C19" s="282"/>
      <c r="D19" s="280"/>
      <c r="E19" s="280"/>
      <c r="F19" s="280"/>
      <c r="G19" s="280"/>
      <c r="H19" s="280"/>
      <c r="I19" s="280"/>
      <c r="J19" s="280"/>
      <c r="K19" s="280"/>
      <c r="L19" s="283"/>
      <c r="M19" s="282"/>
      <c r="N19" s="280"/>
      <c r="O19" s="280"/>
      <c r="P19" s="280"/>
      <c r="Q19" s="280"/>
      <c r="R19" s="280"/>
      <c r="S19" s="283"/>
      <c r="T19" s="301"/>
      <c r="U19" s="301"/>
      <c r="V19" s="284">
        <f t="shared" si="0"/>
        <v>0</v>
      </c>
    </row>
    <row r="20" spans="1:22" s="158" customFormat="1">
      <c r="A20" s="159">
        <v>14</v>
      </c>
      <c r="B20" s="157" t="s">
        <v>248</v>
      </c>
      <c r="C20" s="282"/>
      <c r="D20" s="280"/>
      <c r="E20" s="280"/>
      <c r="F20" s="280"/>
      <c r="G20" s="280"/>
      <c r="H20" s="280"/>
      <c r="I20" s="280"/>
      <c r="J20" s="280"/>
      <c r="K20" s="280"/>
      <c r="L20" s="283"/>
      <c r="M20" s="282"/>
      <c r="N20" s="280"/>
      <c r="O20" s="280"/>
      <c r="P20" s="280"/>
      <c r="Q20" s="280"/>
      <c r="R20" s="280"/>
      <c r="S20" s="283"/>
      <c r="T20" s="301"/>
      <c r="U20" s="301"/>
      <c r="V20" s="284">
        <f t="shared" si="0"/>
        <v>0</v>
      </c>
    </row>
    <row r="21" spans="1:22" ht="13.5" thickBot="1">
      <c r="A21" s="101"/>
      <c r="B21" s="102" t="s">
        <v>68</v>
      </c>
      <c r="C21" s="285">
        <f>SUM(C7:C20)</f>
        <v>0</v>
      </c>
      <c r="D21" s="281">
        <f t="shared" ref="D21:V21" si="1">SUM(D7:D20)</f>
        <v>0</v>
      </c>
      <c r="E21" s="281">
        <f t="shared" si="1"/>
        <v>0</v>
      </c>
      <c r="F21" s="281">
        <f t="shared" si="1"/>
        <v>0</v>
      </c>
      <c r="G21" s="281">
        <f t="shared" si="1"/>
        <v>0</v>
      </c>
      <c r="H21" s="281">
        <f t="shared" si="1"/>
        <v>0</v>
      </c>
      <c r="I21" s="281">
        <f t="shared" si="1"/>
        <v>0</v>
      </c>
      <c r="J21" s="281">
        <f t="shared" si="1"/>
        <v>0</v>
      </c>
      <c r="K21" s="281">
        <f t="shared" si="1"/>
        <v>0</v>
      </c>
      <c r="L21" s="286">
        <f t="shared" si="1"/>
        <v>0</v>
      </c>
      <c r="M21" s="285">
        <f t="shared" si="1"/>
        <v>0</v>
      </c>
      <c r="N21" s="281">
        <f t="shared" si="1"/>
        <v>0</v>
      </c>
      <c r="O21" s="281">
        <f t="shared" si="1"/>
        <v>0</v>
      </c>
      <c r="P21" s="281">
        <f t="shared" si="1"/>
        <v>0</v>
      </c>
      <c r="Q21" s="281">
        <f t="shared" si="1"/>
        <v>0</v>
      </c>
      <c r="R21" s="281">
        <f t="shared" si="1"/>
        <v>0</v>
      </c>
      <c r="S21" s="286">
        <f t="shared" si="1"/>
        <v>0</v>
      </c>
      <c r="T21" s="286">
        <f>SUM(T7:T20)</f>
        <v>0</v>
      </c>
      <c r="U21" s="286">
        <f t="shared" si="1"/>
        <v>0</v>
      </c>
      <c r="V21" s="287">
        <f t="shared" si="1"/>
        <v>0</v>
      </c>
    </row>
    <row r="24" spans="1:22">
      <c r="A24" s="18"/>
      <c r="B24" s="18"/>
      <c r="C24" s="70"/>
      <c r="D24" s="70"/>
      <c r="E24" s="70"/>
    </row>
    <row r="25" spans="1:22">
      <c r="A25" s="94"/>
      <c r="B25" s="94"/>
      <c r="C25" s="18"/>
      <c r="D25" s="70"/>
      <c r="E25" s="70"/>
    </row>
    <row r="26" spans="1:22">
      <c r="A26" s="94"/>
      <c r="B26" s="95"/>
      <c r="C26" s="18"/>
      <c r="D26" s="70"/>
      <c r="E26" s="70"/>
    </row>
    <row r="27" spans="1:22">
      <c r="A27" s="94"/>
      <c r="B27" s="94"/>
      <c r="C27" s="18"/>
      <c r="D27" s="70"/>
      <c r="E27" s="70"/>
    </row>
    <row r="28" spans="1:22">
      <c r="A28" s="94"/>
      <c r="B28" s="95"/>
      <c r="C28" s="18"/>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35" t="str">
        <f>Info!C2</f>
        <v>სს "კრედო ბანკი"</v>
      </c>
    </row>
    <row r="2" spans="1:9">
      <c r="A2" s="2" t="s">
        <v>189</v>
      </c>
      <c r="B2" s="469">
        <f>'1. key ratios'!B2</f>
        <v>44651</v>
      </c>
    </row>
    <row r="4" spans="1:9" ht="13.5" thickBot="1">
      <c r="A4" s="2" t="s">
        <v>339</v>
      </c>
      <c r="B4" s="304" t="s">
        <v>360</v>
      </c>
    </row>
    <row r="5" spans="1:9">
      <c r="A5" s="99"/>
      <c r="B5" s="155"/>
      <c r="C5" s="161" t="s">
        <v>0</v>
      </c>
      <c r="D5" s="161" t="s">
        <v>1</v>
      </c>
      <c r="E5" s="161" t="s">
        <v>2</v>
      </c>
      <c r="F5" s="161" t="s">
        <v>3</v>
      </c>
      <c r="G5" s="299" t="s">
        <v>4</v>
      </c>
      <c r="H5" s="162" t="s">
        <v>5</v>
      </c>
      <c r="I5" s="24"/>
    </row>
    <row r="6" spans="1:9" ht="15" customHeight="1">
      <c r="A6" s="154"/>
      <c r="B6" s="22"/>
      <c r="C6" s="742" t="s">
        <v>352</v>
      </c>
      <c r="D6" s="746" t="s">
        <v>362</v>
      </c>
      <c r="E6" s="747"/>
      <c r="F6" s="742" t="s">
        <v>363</v>
      </c>
      <c r="G6" s="742" t="s">
        <v>364</v>
      </c>
      <c r="H6" s="744" t="s">
        <v>354</v>
      </c>
      <c r="I6" s="24"/>
    </row>
    <row r="7" spans="1:9" ht="76.5">
      <c r="A7" s="154"/>
      <c r="B7" s="22"/>
      <c r="C7" s="743"/>
      <c r="D7" s="303" t="s">
        <v>355</v>
      </c>
      <c r="E7" s="303" t="s">
        <v>353</v>
      </c>
      <c r="F7" s="743"/>
      <c r="G7" s="743"/>
      <c r="H7" s="745"/>
      <c r="I7" s="24"/>
    </row>
    <row r="8" spans="1:9">
      <c r="A8" s="90">
        <v>1</v>
      </c>
      <c r="B8" s="72" t="s">
        <v>216</v>
      </c>
      <c r="C8" s="288">
        <v>116383209.5</v>
      </c>
      <c r="D8" s="289"/>
      <c r="E8" s="288"/>
      <c r="F8" s="288">
        <v>18162513.710000001</v>
      </c>
      <c r="G8" s="300">
        <v>18162513.710000001</v>
      </c>
      <c r="H8" s="309">
        <f>IFERROR(G8/(C8+E8),"")</f>
        <v>0.15605785222824603</v>
      </c>
    </row>
    <row r="9" spans="1:9" ht="21" customHeight="1">
      <c r="A9" s="90">
        <v>2</v>
      </c>
      <c r="B9" s="72" t="s">
        <v>217</v>
      </c>
      <c r="C9" s="288"/>
      <c r="D9" s="289"/>
      <c r="E9" s="288"/>
      <c r="F9" s="288"/>
      <c r="G9" s="300"/>
      <c r="H9" s="309" t="str">
        <f t="shared" ref="H9:H21" si="0">IFERROR(G9/(C9+E9),"")</f>
        <v/>
      </c>
    </row>
    <row r="10" spans="1:9">
      <c r="A10" s="90">
        <v>3</v>
      </c>
      <c r="B10" s="72" t="s">
        <v>218</v>
      </c>
      <c r="C10" s="288">
        <v>26155693.719999999</v>
      </c>
      <c r="D10" s="289"/>
      <c r="E10" s="288"/>
      <c r="F10" s="288"/>
      <c r="G10" s="300"/>
      <c r="H10" s="309">
        <f t="shared" si="0"/>
        <v>0</v>
      </c>
    </row>
    <row r="11" spans="1:9">
      <c r="A11" s="90">
        <v>4</v>
      </c>
      <c r="B11" s="72" t="s">
        <v>219</v>
      </c>
      <c r="C11" s="288"/>
      <c r="D11" s="289"/>
      <c r="E11" s="288"/>
      <c r="F11" s="288"/>
      <c r="G11" s="300"/>
      <c r="H11" s="309" t="str">
        <f t="shared" si="0"/>
        <v/>
      </c>
    </row>
    <row r="12" spans="1:9">
      <c r="A12" s="90">
        <v>5</v>
      </c>
      <c r="B12" s="72" t="s">
        <v>220</v>
      </c>
      <c r="C12" s="288"/>
      <c r="D12" s="289"/>
      <c r="E12" s="288"/>
      <c r="F12" s="288"/>
      <c r="G12" s="300"/>
      <c r="H12" s="309" t="str">
        <f t="shared" si="0"/>
        <v/>
      </c>
    </row>
    <row r="13" spans="1:9">
      <c r="A13" s="90">
        <v>6</v>
      </c>
      <c r="B13" s="72" t="s">
        <v>221</v>
      </c>
      <c r="C13" s="288">
        <v>21387941.82</v>
      </c>
      <c r="D13" s="289"/>
      <c r="E13" s="288"/>
      <c r="F13" s="288">
        <v>10209785.686999999</v>
      </c>
      <c r="G13" s="300">
        <v>10209785.686999999</v>
      </c>
      <c r="H13" s="309">
        <f t="shared" si="0"/>
        <v>0.47736176640674999</v>
      </c>
    </row>
    <row r="14" spans="1:9">
      <c r="A14" s="90">
        <v>7</v>
      </c>
      <c r="B14" s="72" t="s">
        <v>73</v>
      </c>
      <c r="C14" s="288">
        <v>6535524.4094610168</v>
      </c>
      <c r="D14" s="289"/>
      <c r="E14" s="288"/>
      <c r="F14" s="289">
        <v>6535524.4094610168</v>
      </c>
      <c r="G14" s="347">
        <v>6535524.4094610168</v>
      </c>
      <c r="H14" s="309">
        <f t="shared" si="0"/>
        <v>1</v>
      </c>
    </row>
    <row r="15" spans="1:9">
      <c r="A15" s="90">
        <v>8</v>
      </c>
      <c r="B15" s="72" t="s">
        <v>74</v>
      </c>
      <c r="C15" s="289">
        <v>1343724176.2560971</v>
      </c>
      <c r="D15" s="289">
        <v>34728427.93</v>
      </c>
      <c r="E15" s="288">
        <v>10625116.875</v>
      </c>
      <c r="F15" s="289">
        <v>1015761969.848325</v>
      </c>
      <c r="G15" s="347">
        <v>1015761969.848325</v>
      </c>
      <c r="H15" s="309">
        <f t="shared" si="0"/>
        <v>0.75000000000000167</v>
      </c>
    </row>
    <row r="16" spans="1:9">
      <c r="A16" s="90">
        <v>9</v>
      </c>
      <c r="B16" s="72" t="s">
        <v>75</v>
      </c>
      <c r="C16" s="288"/>
      <c r="D16" s="289"/>
      <c r="E16" s="288"/>
      <c r="F16" s="289"/>
      <c r="G16" s="347"/>
      <c r="H16" s="309" t="str">
        <f t="shared" si="0"/>
        <v/>
      </c>
    </row>
    <row r="17" spans="1:8">
      <c r="A17" s="90">
        <v>10</v>
      </c>
      <c r="B17" s="72" t="s">
        <v>69</v>
      </c>
      <c r="C17" s="288">
        <v>8723928.9774823971</v>
      </c>
      <c r="D17" s="289"/>
      <c r="E17" s="288"/>
      <c r="F17" s="289">
        <v>9379613.9759215862</v>
      </c>
      <c r="G17" s="347">
        <v>9379613.9759215862</v>
      </c>
      <c r="H17" s="309">
        <f t="shared" si="0"/>
        <v>1.0751593691479604</v>
      </c>
    </row>
    <row r="18" spans="1:8">
      <c r="A18" s="90">
        <v>11</v>
      </c>
      <c r="B18" s="72" t="s">
        <v>70</v>
      </c>
      <c r="C18" s="288">
        <v>145505021.39740533</v>
      </c>
      <c r="D18" s="289"/>
      <c r="E18" s="288"/>
      <c r="F18" s="289">
        <v>170350405.12841356</v>
      </c>
      <c r="G18" s="347">
        <v>170350405.12841356</v>
      </c>
      <c r="H18" s="309">
        <f t="shared" si="0"/>
        <v>1.1707527581687383</v>
      </c>
    </row>
    <row r="19" spans="1:8">
      <c r="A19" s="90">
        <v>12</v>
      </c>
      <c r="B19" s="72" t="s">
        <v>71</v>
      </c>
      <c r="C19" s="288"/>
      <c r="D19" s="289"/>
      <c r="E19" s="288"/>
      <c r="F19" s="289"/>
      <c r="G19" s="347"/>
      <c r="H19" s="309" t="str">
        <f t="shared" si="0"/>
        <v/>
      </c>
    </row>
    <row r="20" spans="1:8">
      <c r="A20" s="90">
        <v>13</v>
      </c>
      <c r="B20" s="72" t="s">
        <v>72</v>
      </c>
      <c r="C20" s="288"/>
      <c r="D20" s="289"/>
      <c r="E20" s="288"/>
      <c r="F20" s="289"/>
      <c r="G20" s="347"/>
      <c r="H20" s="309" t="str">
        <f t="shared" si="0"/>
        <v/>
      </c>
    </row>
    <row r="21" spans="1:8">
      <c r="A21" s="90">
        <v>14</v>
      </c>
      <c r="B21" s="72" t="s">
        <v>248</v>
      </c>
      <c r="C21" s="288">
        <v>131380716.25</v>
      </c>
      <c r="D21" s="289"/>
      <c r="E21" s="288"/>
      <c r="F21" s="289">
        <v>69821378.230000004</v>
      </c>
      <c r="G21" s="347">
        <v>69821378.230000004</v>
      </c>
      <c r="H21" s="309">
        <f t="shared" si="0"/>
        <v>0.53144312364030066</v>
      </c>
    </row>
    <row r="22" spans="1:8" ht="13.5" thickBot="1">
      <c r="A22" s="156"/>
      <c r="B22" s="163" t="s">
        <v>68</v>
      </c>
      <c r="C22" s="281">
        <f>SUM(C8:C21)</f>
        <v>1799796212.3304458</v>
      </c>
      <c r="D22" s="281">
        <f>SUM(D8:D21)</f>
        <v>34728427.93</v>
      </c>
      <c r="E22" s="281">
        <f>SUM(E8:E21)</f>
        <v>10625116.875</v>
      </c>
      <c r="F22" s="281">
        <f>SUM(F8:F21)</f>
        <v>1300221190.9891212</v>
      </c>
      <c r="G22" s="281">
        <f>SUM(G8:G21)</f>
        <v>1300221190.9891212</v>
      </c>
      <c r="H22" s="613">
        <f>G22/(C22+E22)</f>
        <v>0.71818707060845322</v>
      </c>
    </row>
    <row r="24" spans="1:8">
      <c r="F24" s="676"/>
    </row>
    <row r="25" spans="1:8">
      <c r="F25" s="676"/>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A11" sqref="A11:A13"/>
    </sheetView>
  </sheetViews>
  <sheetFormatPr defaultColWidth="9.140625" defaultRowHeight="12.75"/>
  <cols>
    <col min="1" max="1" width="10.5703125" style="335" bestFit="1" customWidth="1"/>
    <col min="2" max="2" width="84" style="335" customWidth="1"/>
    <col min="3" max="11" width="12.7109375" style="335" customWidth="1"/>
    <col min="12" max="16384" width="9.140625" style="335"/>
  </cols>
  <sheetData>
    <row r="1" spans="1:11">
      <c r="A1" s="335" t="s">
        <v>188</v>
      </c>
      <c r="B1" s="335" t="str">
        <f>Info!C2</f>
        <v>სს "კრედო ბანკი"</v>
      </c>
    </row>
    <row r="2" spans="1:11">
      <c r="A2" s="335" t="s">
        <v>189</v>
      </c>
      <c r="B2" s="469">
        <f>'1. key ratios'!B2</f>
        <v>44651</v>
      </c>
      <c r="C2" s="336"/>
      <c r="D2" s="336"/>
    </row>
    <row r="3" spans="1:11">
      <c r="B3" s="336"/>
      <c r="C3" s="336"/>
      <c r="D3" s="336"/>
    </row>
    <row r="4" spans="1:11" ht="13.5" thickBot="1">
      <c r="A4" s="335" t="s">
        <v>392</v>
      </c>
      <c r="B4" s="304" t="s">
        <v>391</v>
      </c>
      <c r="C4" s="336"/>
      <c r="D4" s="336"/>
    </row>
    <row r="5" spans="1:11" ht="30" customHeight="1">
      <c r="A5" s="751"/>
      <c r="B5" s="752"/>
      <c r="C5" s="749" t="s">
        <v>423</v>
      </c>
      <c r="D5" s="749"/>
      <c r="E5" s="749"/>
      <c r="F5" s="749" t="s">
        <v>424</v>
      </c>
      <c r="G5" s="749"/>
      <c r="H5" s="749"/>
      <c r="I5" s="749" t="s">
        <v>425</v>
      </c>
      <c r="J5" s="749"/>
      <c r="K5" s="750"/>
    </row>
    <row r="6" spans="1:11">
      <c r="A6" s="333"/>
      <c r="B6" s="334"/>
      <c r="C6" s="337" t="s">
        <v>27</v>
      </c>
      <c r="D6" s="337" t="s">
        <v>96</v>
      </c>
      <c r="E6" s="337" t="s">
        <v>68</v>
      </c>
      <c r="F6" s="337" t="s">
        <v>27</v>
      </c>
      <c r="G6" s="337" t="s">
        <v>96</v>
      </c>
      <c r="H6" s="337" t="s">
        <v>68</v>
      </c>
      <c r="I6" s="337" t="s">
        <v>27</v>
      </c>
      <c r="J6" s="337" t="s">
        <v>96</v>
      </c>
      <c r="K6" s="338" t="s">
        <v>68</v>
      </c>
    </row>
    <row r="7" spans="1:11">
      <c r="A7" s="339" t="s">
        <v>371</v>
      </c>
      <c r="B7" s="332"/>
      <c r="C7" s="332"/>
      <c r="D7" s="332"/>
      <c r="E7" s="332"/>
      <c r="F7" s="332"/>
      <c r="G7" s="332"/>
      <c r="H7" s="332"/>
      <c r="I7" s="332"/>
      <c r="J7" s="332"/>
      <c r="K7" s="340"/>
    </row>
    <row r="8" spans="1:11">
      <c r="A8" s="706">
        <v>1</v>
      </c>
      <c r="B8" s="316" t="s">
        <v>371</v>
      </c>
      <c r="C8" s="314"/>
      <c r="D8" s="314"/>
      <c r="E8" s="314"/>
      <c r="F8" s="616">
        <v>97160677.737562001</v>
      </c>
      <c r="G8" s="616">
        <v>72028506.586987197</v>
      </c>
      <c r="H8" s="616">
        <f>F8+G8</f>
        <v>169189184.3245492</v>
      </c>
      <c r="I8" s="616">
        <v>101254457.30070572</v>
      </c>
      <c r="J8" s="616">
        <v>40879466.173811764</v>
      </c>
      <c r="K8" s="617">
        <f>I8+J8</f>
        <v>142133923.47451746</v>
      </c>
    </row>
    <row r="9" spans="1:11">
      <c r="A9" s="339" t="s">
        <v>372</v>
      </c>
      <c r="B9" s="332"/>
      <c r="C9" s="332"/>
      <c r="D9" s="332"/>
      <c r="E9" s="332"/>
      <c r="F9" s="332"/>
      <c r="G9" s="332"/>
      <c r="H9" s="616"/>
      <c r="I9" s="332"/>
      <c r="J9" s="332"/>
      <c r="K9" s="617"/>
    </row>
    <row r="10" spans="1:11">
      <c r="A10" s="707">
        <v>2</v>
      </c>
      <c r="B10" s="317" t="s">
        <v>373</v>
      </c>
      <c r="C10" s="498">
        <v>164329876.25097412</v>
      </c>
      <c r="D10" s="614">
        <v>69322931.882341266</v>
      </c>
      <c r="E10" s="614">
        <f>C10+D10</f>
        <v>233652808.13331538</v>
      </c>
      <c r="F10" s="614">
        <v>36697762.91395887</v>
      </c>
      <c r="G10" s="614">
        <v>20426253.895302381</v>
      </c>
      <c r="H10" s="616">
        <f t="shared" ref="H10:H19" si="0">F10+G10</f>
        <v>57124016.809261248</v>
      </c>
      <c r="I10" s="614">
        <v>5565631.9162153676</v>
      </c>
      <c r="J10" s="614">
        <v>3384094.1797726192</v>
      </c>
      <c r="K10" s="617">
        <f t="shared" ref="K10:K19" si="1">I10+J10</f>
        <v>8949726.0959879868</v>
      </c>
    </row>
    <row r="11" spans="1:11">
      <c r="A11" s="707">
        <v>3</v>
      </c>
      <c r="B11" s="317" t="s">
        <v>374</v>
      </c>
      <c r="C11" s="498">
        <v>178071524.36773726</v>
      </c>
      <c r="D11" s="614">
        <v>8479274.1148184631</v>
      </c>
      <c r="E11" s="614">
        <f t="shared" ref="E11:E19" si="2">C11+D11</f>
        <v>186550798.48255572</v>
      </c>
      <c r="F11" s="614">
        <v>41291434.001326986</v>
      </c>
      <c r="G11" s="614">
        <v>5980443.0880638277</v>
      </c>
      <c r="H11" s="616">
        <f t="shared" si="0"/>
        <v>47271877.089390814</v>
      </c>
      <c r="I11" s="614">
        <v>29555199.65916881</v>
      </c>
      <c r="J11" s="614">
        <v>5436224.7063751686</v>
      </c>
      <c r="K11" s="617">
        <f t="shared" si="1"/>
        <v>34991424.365543976</v>
      </c>
    </row>
    <row r="12" spans="1:11">
      <c r="A12" s="707">
        <v>4</v>
      </c>
      <c r="B12" s="317" t="s">
        <v>375</v>
      </c>
      <c r="C12" s="498">
        <v>40000000</v>
      </c>
      <c r="D12" s="614">
        <v>0</v>
      </c>
      <c r="E12" s="614">
        <f t="shared" si="2"/>
        <v>40000000</v>
      </c>
      <c r="F12" s="614">
        <v>0</v>
      </c>
      <c r="G12" s="614">
        <v>0</v>
      </c>
      <c r="H12" s="616"/>
      <c r="I12" s="614">
        <v>0</v>
      </c>
      <c r="J12" s="614">
        <v>0</v>
      </c>
      <c r="K12" s="617"/>
    </row>
    <row r="13" spans="1:11">
      <c r="A13" s="707">
        <v>5</v>
      </c>
      <c r="B13" s="317" t="s">
        <v>376</v>
      </c>
      <c r="C13" s="498">
        <v>27415661.783702176</v>
      </c>
      <c r="D13" s="614">
        <v>4445151.8671265664</v>
      </c>
      <c r="E13" s="614">
        <f t="shared" si="2"/>
        <v>31860813.650828741</v>
      </c>
      <c r="F13" s="614">
        <v>8224698.5351106524</v>
      </c>
      <c r="G13" s="614">
        <v>1333545.5601379699</v>
      </c>
      <c r="H13" s="616">
        <f t="shared" si="0"/>
        <v>9558244.0952486228</v>
      </c>
      <c r="I13" s="614">
        <v>1370783.0891851089</v>
      </c>
      <c r="J13" s="614">
        <v>222257.59335632832</v>
      </c>
      <c r="K13" s="617">
        <f t="shared" si="1"/>
        <v>1593040.6825414372</v>
      </c>
    </row>
    <row r="14" spans="1:11">
      <c r="A14" s="341">
        <v>6</v>
      </c>
      <c r="B14" s="317" t="s">
        <v>390</v>
      </c>
      <c r="C14" s="498"/>
      <c r="D14" s="614"/>
      <c r="E14" s="614"/>
      <c r="F14" s="614">
        <v>0</v>
      </c>
      <c r="G14" s="614">
        <v>0</v>
      </c>
      <c r="H14" s="616"/>
      <c r="I14" s="614">
        <v>0</v>
      </c>
      <c r="J14" s="614">
        <v>0</v>
      </c>
      <c r="K14" s="617"/>
    </row>
    <row r="15" spans="1:11">
      <c r="A15" s="707">
        <v>7</v>
      </c>
      <c r="B15" s="317" t="s">
        <v>377</v>
      </c>
      <c r="C15" s="498">
        <v>7470367.0989239775</v>
      </c>
      <c r="D15" s="614">
        <v>2733021.6683259984</v>
      </c>
      <c r="E15" s="614">
        <f t="shared" si="2"/>
        <v>10203388.767249975</v>
      </c>
      <c r="F15" s="614">
        <v>7470367.0989239775</v>
      </c>
      <c r="G15" s="614">
        <v>2733021.6683259984</v>
      </c>
      <c r="H15" s="616">
        <f t="shared" si="0"/>
        <v>10203388.767249975</v>
      </c>
      <c r="I15" s="614">
        <v>7470367.0989239775</v>
      </c>
      <c r="J15" s="614">
        <v>2733021.6683259984</v>
      </c>
      <c r="K15" s="617">
        <f t="shared" si="1"/>
        <v>10203388.767249975</v>
      </c>
    </row>
    <row r="16" spans="1:11">
      <c r="A16" s="341">
        <v>8</v>
      </c>
      <c r="B16" s="319" t="s">
        <v>378</v>
      </c>
      <c r="C16" s="618">
        <f t="shared" ref="C16:K16" si="3">SUM(C10:C15)</f>
        <v>417287429.50133753</v>
      </c>
      <c r="D16" s="618">
        <f t="shared" si="3"/>
        <v>84980379.532612309</v>
      </c>
      <c r="E16" s="618">
        <f t="shared" si="3"/>
        <v>502267809.03394979</v>
      </c>
      <c r="F16" s="618">
        <f t="shared" si="3"/>
        <v>93684262.549320489</v>
      </c>
      <c r="G16" s="618">
        <f t="shared" si="3"/>
        <v>30473264.211830176</v>
      </c>
      <c r="H16" s="618">
        <f t="shared" si="3"/>
        <v>124157526.76115066</v>
      </c>
      <c r="I16" s="618">
        <f t="shared" si="3"/>
        <v>43961981.76349327</v>
      </c>
      <c r="J16" s="618">
        <f t="shared" si="3"/>
        <v>11775598.147830114</v>
      </c>
      <c r="K16" s="618">
        <f t="shared" si="3"/>
        <v>55737579.911323383</v>
      </c>
    </row>
    <row r="17" spans="1:11">
      <c r="A17" s="339" t="s">
        <v>379</v>
      </c>
      <c r="B17" s="332"/>
      <c r="C17" s="615"/>
      <c r="D17" s="615"/>
      <c r="E17" s="614"/>
      <c r="F17" s="615"/>
      <c r="G17" s="615"/>
      <c r="H17" s="616"/>
      <c r="I17" s="615"/>
      <c r="J17" s="615"/>
      <c r="K17" s="617"/>
    </row>
    <row r="18" spans="1:11">
      <c r="A18" s="341">
        <v>9</v>
      </c>
      <c r="B18" s="317" t="s">
        <v>380</v>
      </c>
      <c r="C18" s="498"/>
      <c r="D18" s="614"/>
      <c r="E18" s="614"/>
      <c r="F18" s="614"/>
      <c r="G18" s="614"/>
      <c r="H18" s="616"/>
      <c r="I18" s="614"/>
      <c r="J18" s="614"/>
      <c r="K18" s="617"/>
    </row>
    <row r="19" spans="1:11">
      <c r="A19" s="707">
        <v>10</v>
      </c>
      <c r="B19" s="317" t="s">
        <v>381</v>
      </c>
      <c r="C19" s="498">
        <v>65497845.305977114</v>
      </c>
      <c r="D19" s="614">
        <v>879230.46571715095</v>
      </c>
      <c r="E19" s="614">
        <f t="shared" si="2"/>
        <v>66377075.771694265</v>
      </c>
      <c r="F19" s="614">
        <v>32748922.652988557</v>
      </c>
      <c r="G19" s="614">
        <v>439615.23285857547</v>
      </c>
      <c r="H19" s="616">
        <f t="shared" si="0"/>
        <v>33188537.885847133</v>
      </c>
      <c r="I19" s="614">
        <v>70199322.093628988</v>
      </c>
      <c r="J19" s="614">
        <v>32686284.628717333</v>
      </c>
      <c r="K19" s="617">
        <f t="shared" si="1"/>
        <v>102885606.72234632</v>
      </c>
    </row>
    <row r="20" spans="1:11">
      <c r="A20" s="341">
        <v>11</v>
      </c>
      <c r="B20" s="317" t="s">
        <v>382</v>
      </c>
      <c r="C20" s="317"/>
      <c r="D20" s="318"/>
      <c r="E20" s="318"/>
      <c r="F20" s="318"/>
      <c r="G20" s="318"/>
      <c r="H20" s="318"/>
      <c r="I20" s="318"/>
      <c r="J20" s="318"/>
      <c r="K20" s="342"/>
    </row>
    <row r="21" spans="1:11" ht="13.5" thickBot="1">
      <c r="A21" s="220">
        <v>12</v>
      </c>
      <c r="B21" s="343" t="s">
        <v>383</v>
      </c>
      <c r="C21" s="619">
        <f>SUM(C18:C20)</f>
        <v>65497845.305977114</v>
      </c>
      <c r="D21" s="619">
        <f t="shared" ref="D21:K21" si="4">SUM(D18:D20)</f>
        <v>879230.46571715095</v>
      </c>
      <c r="E21" s="619">
        <f t="shared" si="4"/>
        <v>66377075.771694265</v>
      </c>
      <c r="F21" s="619">
        <f t="shared" si="4"/>
        <v>32748922.652988557</v>
      </c>
      <c r="G21" s="619">
        <f t="shared" si="4"/>
        <v>439615.23285857547</v>
      </c>
      <c r="H21" s="619">
        <f t="shared" si="4"/>
        <v>33188537.885847133</v>
      </c>
      <c r="I21" s="619">
        <f t="shared" si="4"/>
        <v>70199322.093628988</v>
      </c>
      <c r="J21" s="619">
        <f t="shared" si="4"/>
        <v>32686284.628717333</v>
      </c>
      <c r="K21" s="619">
        <f t="shared" si="4"/>
        <v>102885606.72234632</v>
      </c>
    </row>
    <row r="22" spans="1:11" ht="38.25" customHeight="1" thickBot="1">
      <c r="A22" s="330"/>
      <c r="B22" s="331"/>
      <c r="C22" s="331"/>
      <c r="D22" s="331"/>
      <c r="E22" s="331"/>
      <c r="F22" s="748" t="s">
        <v>384</v>
      </c>
      <c r="G22" s="749"/>
      <c r="H22" s="749"/>
      <c r="I22" s="748" t="s">
        <v>385</v>
      </c>
      <c r="J22" s="749"/>
      <c r="K22" s="750"/>
    </row>
    <row r="23" spans="1:11" ht="13.5" thickBot="1">
      <c r="A23" s="323">
        <v>13</v>
      </c>
      <c r="B23" s="320" t="s">
        <v>371</v>
      </c>
      <c r="C23" s="329"/>
      <c r="D23" s="329"/>
      <c r="E23" s="329"/>
      <c r="F23" s="620">
        <f>F8</f>
        <v>97160677.737562001</v>
      </c>
      <c r="G23" s="620">
        <f>G8</f>
        <v>72028506.586987197</v>
      </c>
      <c r="H23" s="621">
        <f>F23+G23</f>
        <v>169189184.3245492</v>
      </c>
      <c r="I23" s="620">
        <f>I8</f>
        <v>101254457.30070572</v>
      </c>
      <c r="J23" s="620">
        <f>J8</f>
        <v>40879466.173811764</v>
      </c>
      <c r="K23" s="622">
        <f>I23+J23</f>
        <v>142133923.47451746</v>
      </c>
    </row>
    <row r="24" spans="1:11" ht="13.5" thickBot="1">
      <c r="A24" s="324">
        <v>14</v>
      </c>
      <c r="B24" s="321" t="s">
        <v>386</v>
      </c>
      <c r="C24" s="344"/>
      <c r="D24" s="327"/>
      <c r="E24" s="328"/>
      <c r="F24" s="623">
        <f>MAX(F16-F21,F16*0.25)</f>
        <v>60935339.896331936</v>
      </c>
      <c r="G24" s="623">
        <f>MAX(G16-G21,G16*0.25)</f>
        <v>30033648.978971601</v>
      </c>
      <c r="H24" s="621">
        <f>F24+G24</f>
        <v>90968988.875303537</v>
      </c>
      <c r="I24" s="623">
        <f>MAX(I16-I21,I16*0.25)</f>
        <v>10990495.440873317</v>
      </c>
      <c r="J24" s="623">
        <f>MAX(J16-J21,J16*0.25)</f>
        <v>2943899.5369575284</v>
      </c>
      <c r="K24" s="622">
        <f>I24+J24</f>
        <v>13934394.977830846</v>
      </c>
    </row>
    <row r="25" spans="1:11" ht="13.5" thickBot="1">
      <c r="A25" s="325">
        <v>15</v>
      </c>
      <c r="B25" s="322" t="s">
        <v>387</v>
      </c>
      <c r="C25" s="326"/>
      <c r="D25" s="326"/>
      <c r="E25" s="326"/>
      <c r="F25" s="624">
        <f t="shared" ref="F25:K25" si="5">F23/F24</f>
        <v>1.5944881558527366</v>
      </c>
      <c r="G25" s="624">
        <f t="shared" si="5"/>
        <v>2.3982602526059611</v>
      </c>
      <c r="H25" s="624">
        <f t="shared" si="5"/>
        <v>1.859855610316463</v>
      </c>
      <c r="I25" s="624">
        <f t="shared" si="5"/>
        <v>9.2129110871693261</v>
      </c>
      <c r="J25" s="624">
        <f t="shared" si="5"/>
        <v>13.886162099152344</v>
      </c>
      <c r="K25" s="625">
        <f t="shared" si="5"/>
        <v>10.200222090779524</v>
      </c>
    </row>
    <row r="28" spans="1:11" ht="38.25">
      <c r="B28" s="23" t="s">
        <v>422</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188</v>
      </c>
      <c r="B1" s="67" t="str">
        <f>Info!C2</f>
        <v>სს "კრედო ბანკი"</v>
      </c>
    </row>
    <row r="2" spans="1:14" ht="14.25" customHeight="1">
      <c r="A2" s="67" t="s">
        <v>189</v>
      </c>
      <c r="B2" s="469">
        <f>'1. key ratios'!B2</f>
        <v>44651</v>
      </c>
    </row>
    <row r="3" spans="1:14" ht="14.25" customHeight="1"/>
    <row r="4" spans="1:14" ht="15.75" thickBot="1">
      <c r="A4" s="2" t="s">
        <v>340</v>
      </c>
      <c r="B4" s="92" t="s">
        <v>77</v>
      </c>
    </row>
    <row r="5" spans="1:14" s="25" customFormat="1" ht="12.75">
      <c r="A5" s="172"/>
      <c r="B5" s="173"/>
      <c r="C5" s="174" t="s">
        <v>0</v>
      </c>
      <c r="D5" s="174" t="s">
        <v>1</v>
      </c>
      <c r="E5" s="174" t="s">
        <v>2</v>
      </c>
      <c r="F5" s="174" t="s">
        <v>3</v>
      </c>
      <c r="G5" s="174" t="s">
        <v>4</v>
      </c>
      <c r="H5" s="174" t="s">
        <v>5</v>
      </c>
      <c r="I5" s="174" t="s">
        <v>237</v>
      </c>
      <c r="J5" s="174" t="s">
        <v>238</v>
      </c>
      <c r="K5" s="174" t="s">
        <v>239</v>
      </c>
      <c r="L5" s="174" t="s">
        <v>240</v>
      </c>
      <c r="M5" s="174" t="s">
        <v>241</v>
      </c>
      <c r="N5" s="175" t="s">
        <v>242</v>
      </c>
    </row>
    <row r="6" spans="1:14" ht="45">
      <c r="A6" s="164"/>
      <c r="B6" s="104"/>
      <c r="C6" s="105" t="s">
        <v>87</v>
      </c>
      <c r="D6" s="106" t="s">
        <v>76</v>
      </c>
      <c r="E6" s="107" t="s">
        <v>86</v>
      </c>
      <c r="F6" s="108">
        <v>0</v>
      </c>
      <c r="G6" s="108">
        <v>0.2</v>
      </c>
      <c r="H6" s="108">
        <v>0.35</v>
      </c>
      <c r="I6" s="108">
        <v>0.5</v>
      </c>
      <c r="J6" s="108">
        <v>0.75</v>
      </c>
      <c r="K6" s="108">
        <v>1</v>
      </c>
      <c r="L6" s="108">
        <v>1.5</v>
      </c>
      <c r="M6" s="108">
        <v>2.5</v>
      </c>
      <c r="N6" s="165" t="s">
        <v>77</v>
      </c>
    </row>
    <row r="7" spans="1:14">
      <c r="A7" s="166">
        <v>1</v>
      </c>
      <c r="B7" s="109" t="s">
        <v>78</v>
      </c>
      <c r="C7" s="290">
        <f>SUM(C8:C13)</f>
        <v>15506500</v>
      </c>
      <c r="D7" s="104"/>
      <c r="E7" s="293">
        <f t="shared" ref="E7:M7" si="0">SUM(E8:E13)</f>
        <v>310130</v>
      </c>
      <c r="F7" s="290">
        <f>SUM(F8:F13)</f>
        <v>0</v>
      </c>
      <c r="G7" s="290">
        <f t="shared" si="0"/>
        <v>0</v>
      </c>
      <c r="H7" s="290">
        <f t="shared" si="0"/>
        <v>0</v>
      </c>
      <c r="I7" s="290">
        <f t="shared" si="0"/>
        <v>0</v>
      </c>
      <c r="J7" s="290">
        <f t="shared" si="0"/>
        <v>0</v>
      </c>
      <c r="K7" s="290">
        <f t="shared" si="0"/>
        <v>310130</v>
      </c>
      <c r="L7" s="290">
        <f t="shared" si="0"/>
        <v>0</v>
      </c>
      <c r="M7" s="290">
        <f t="shared" si="0"/>
        <v>0</v>
      </c>
      <c r="N7" s="167">
        <f>SUM(N8:N13)</f>
        <v>310130</v>
      </c>
    </row>
    <row r="8" spans="1:14">
      <c r="A8" s="166">
        <v>1.1000000000000001</v>
      </c>
      <c r="B8" s="110" t="s">
        <v>79</v>
      </c>
      <c r="C8" s="291">
        <v>15506500</v>
      </c>
      <c r="D8" s="111">
        <v>0.02</v>
      </c>
      <c r="E8" s="293">
        <f>C8*D8</f>
        <v>310130</v>
      </c>
      <c r="F8" s="291"/>
      <c r="G8" s="291"/>
      <c r="H8" s="291"/>
      <c r="I8" s="291"/>
      <c r="J8" s="291"/>
      <c r="K8" s="291">
        <v>310130</v>
      </c>
      <c r="L8" s="291"/>
      <c r="M8" s="291"/>
      <c r="N8" s="167">
        <f>SUMPRODUCT($F$6:$M$6,F8:M8)</f>
        <v>310130</v>
      </c>
    </row>
    <row r="9" spans="1:14">
      <c r="A9" s="166">
        <v>1.2</v>
      </c>
      <c r="B9" s="110" t="s">
        <v>80</v>
      </c>
      <c r="C9" s="291"/>
      <c r="D9" s="111">
        <v>0.05</v>
      </c>
      <c r="E9" s="293">
        <f>C9*D9</f>
        <v>0</v>
      </c>
      <c r="F9" s="291"/>
      <c r="G9" s="291"/>
      <c r="H9" s="291"/>
      <c r="I9" s="291"/>
      <c r="J9" s="291"/>
      <c r="K9" s="291"/>
      <c r="L9" s="291"/>
      <c r="M9" s="291"/>
      <c r="N9" s="167">
        <f t="shared" ref="N9:N12" si="1">SUMPRODUCT($F$6:$M$6,F9:M9)</f>
        <v>0</v>
      </c>
    </row>
    <row r="10" spans="1:14">
      <c r="A10" s="166">
        <v>1.3</v>
      </c>
      <c r="B10" s="110" t="s">
        <v>81</v>
      </c>
      <c r="C10" s="291">
        <v>0</v>
      </c>
      <c r="D10" s="111">
        <v>0.08</v>
      </c>
      <c r="E10" s="293">
        <f>C10*D10</f>
        <v>0</v>
      </c>
      <c r="F10" s="291"/>
      <c r="G10" s="291"/>
      <c r="H10" s="291"/>
      <c r="I10" s="291"/>
      <c r="J10" s="291"/>
      <c r="K10" s="291"/>
      <c r="L10" s="291"/>
      <c r="M10" s="291"/>
      <c r="N10" s="167">
        <f>SUMPRODUCT($F$6:$M$6,F10:M10)</f>
        <v>0</v>
      </c>
    </row>
    <row r="11" spans="1:14">
      <c r="A11" s="166">
        <v>1.4</v>
      </c>
      <c r="B11" s="110" t="s">
        <v>82</v>
      </c>
      <c r="C11" s="291">
        <v>0</v>
      </c>
      <c r="D11" s="111">
        <v>0.11</v>
      </c>
      <c r="E11" s="293">
        <f>C11*D11</f>
        <v>0</v>
      </c>
      <c r="F11" s="291"/>
      <c r="G11" s="291"/>
      <c r="H11" s="291"/>
      <c r="I11" s="291"/>
      <c r="J11" s="291"/>
      <c r="K11" s="291"/>
      <c r="L11" s="291"/>
      <c r="M11" s="291"/>
      <c r="N11" s="167">
        <f t="shared" si="1"/>
        <v>0</v>
      </c>
    </row>
    <row r="12" spans="1:14">
      <c r="A12" s="166">
        <v>1.5</v>
      </c>
      <c r="B12" s="110" t="s">
        <v>83</v>
      </c>
      <c r="C12" s="291">
        <v>0</v>
      </c>
      <c r="D12" s="111">
        <v>0.14000000000000001</v>
      </c>
      <c r="E12" s="293">
        <f>C12*D12</f>
        <v>0</v>
      </c>
      <c r="F12" s="291"/>
      <c r="G12" s="291"/>
      <c r="H12" s="291"/>
      <c r="I12" s="291"/>
      <c r="J12" s="291"/>
      <c r="K12" s="291"/>
      <c r="L12" s="291"/>
      <c r="M12" s="291"/>
      <c r="N12" s="167">
        <f t="shared" si="1"/>
        <v>0</v>
      </c>
    </row>
    <row r="13" spans="1:14">
      <c r="A13" s="166">
        <v>1.6</v>
      </c>
      <c r="B13" s="112" t="s">
        <v>84</v>
      </c>
      <c r="C13" s="291">
        <v>0</v>
      </c>
      <c r="D13" s="113"/>
      <c r="E13" s="291"/>
      <c r="F13" s="291"/>
      <c r="G13" s="291"/>
      <c r="H13" s="291"/>
      <c r="I13" s="291"/>
      <c r="J13" s="291"/>
      <c r="K13" s="291"/>
      <c r="L13" s="291"/>
      <c r="M13" s="291"/>
      <c r="N13" s="167">
        <f>SUMPRODUCT($F$6:$M$6,F13:M13)</f>
        <v>0</v>
      </c>
    </row>
    <row r="14" spans="1:14">
      <c r="A14" s="166">
        <v>2</v>
      </c>
      <c r="B14" s="114" t="s">
        <v>85</v>
      </c>
      <c r="C14" s="290">
        <f>SUM(C15:C20)</f>
        <v>0</v>
      </c>
      <c r="D14" s="104"/>
      <c r="E14" s="293">
        <f t="shared" ref="E14:M14" si="2">SUM(E15:E20)</f>
        <v>0</v>
      </c>
      <c r="F14" s="291">
        <f t="shared" si="2"/>
        <v>0</v>
      </c>
      <c r="G14" s="291">
        <f t="shared" si="2"/>
        <v>0</v>
      </c>
      <c r="H14" s="291">
        <f t="shared" si="2"/>
        <v>0</v>
      </c>
      <c r="I14" s="291">
        <f t="shared" si="2"/>
        <v>0</v>
      </c>
      <c r="J14" s="291">
        <f t="shared" si="2"/>
        <v>0</v>
      </c>
      <c r="K14" s="291">
        <f t="shared" si="2"/>
        <v>0</v>
      </c>
      <c r="L14" s="291">
        <f t="shared" si="2"/>
        <v>0</v>
      </c>
      <c r="M14" s="291">
        <f t="shared" si="2"/>
        <v>0</v>
      </c>
      <c r="N14" s="167">
        <f>SUM(N15:N20)</f>
        <v>0</v>
      </c>
    </row>
    <row r="15" spans="1:14">
      <c r="A15" s="166">
        <v>2.1</v>
      </c>
      <c r="B15" s="112" t="s">
        <v>79</v>
      </c>
      <c r="C15" s="291"/>
      <c r="D15" s="111">
        <v>5.0000000000000001E-3</v>
      </c>
      <c r="E15" s="293">
        <f>C15*D15</f>
        <v>0</v>
      </c>
      <c r="F15" s="291"/>
      <c r="G15" s="291"/>
      <c r="H15" s="291"/>
      <c r="I15" s="291"/>
      <c r="J15" s="291"/>
      <c r="K15" s="291"/>
      <c r="L15" s="291"/>
      <c r="M15" s="291"/>
      <c r="N15" s="167">
        <f>SUMPRODUCT($F$6:$M$6,F15:M15)</f>
        <v>0</v>
      </c>
    </row>
    <row r="16" spans="1:14">
      <c r="A16" s="166">
        <v>2.2000000000000002</v>
      </c>
      <c r="B16" s="112" t="s">
        <v>80</v>
      </c>
      <c r="C16" s="291"/>
      <c r="D16" s="111">
        <v>0.01</v>
      </c>
      <c r="E16" s="293">
        <f>C16*D16</f>
        <v>0</v>
      </c>
      <c r="F16" s="291"/>
      <c r="G16" s="291"/>
      <c r="H16" s="291"/>
      <c r="I16" s="291"/>
      <c r="J16" s="291"/>
      <c r="K16" s="291"/>
      <c r="L16" s="291"/>
      <c r="M16" s="291"/>
      <c r="N16" s="167">
        <f t="shared" ref="N16:N20" si="3">SUMPRODUCT($F$6:$M$6,F16:M16)</f>
        <v>0</v>
      </c>
    </row>
    <row r="17" spans="1:14">
      <c r="A17" s="166">
        <v>2.2999999999999998</v>
      </c>
      <c r="B17" s="112" t="s">
        <v>81</v>
      </c>
      <c r="C17" s="291"/>
      <c r="D17" s="111">
        <v>0.02</v>
      </c>
      <c r="E17" s="293">
        <f>C17*D17</f>
        <v>0</v>
      </c>
      <c r="F17" s="291"/>
      <c r="G17" s="291"/>
      <c r="H17" s="291"/>
      <c r="I17" s="291"/>
      <c r="J17" s="291"/>
      <c r="K17" s="291"/>
      <c r="L17" s="291"/>
      <c r="M17" s="291"/>
      <c r="N17" s="167">
        <f t="shared" si="3"/>
        <v>0</v>
      </c>
    </row>
    <row r="18" spans="1:14">
      <c r="A18" s="166">
        <v>2.4</v>
      </c>
      <c r="B18" s="112" t="s">
        <v>82</v>
      </c>
      <c r="C18" s="291"/>
      <c r="D18" s="111">
        <v>0.03</v>
      </c>
      <c r="E18" s="293">
        <f>C18*D18</f>
        <v>0</v>
      </c>
      <c r="F18" s="291"/>
      <c r="G18" s="291"/>
      <c r="H18" s="291"/>
      <c r="I18" s="291"/>
      <c r="J18" s="291"/>
      <c r="K18" s="291"/>
      <c r="L18" s="291"/>
      <c r="M18" s="291"/>
      <c r="N18" s="167">
        <f t="shared" si="3"/>
        <v>0</v>
      </c>
    </row>
    <row r="19" spans="1:14">
      <c r="A19" s="166">
        <v>2.5</v>
      </c>
      <c r="B19" s="112" t="s">
        <v>83</v>
      </c>
      <c r="C19" s="291"/>
      <c r="D19" s="111">
        <v>0.04</v>
      </c>
      <c r="E19" s="293">
        <f>C19*D19</f>
        <v>0</v>
      </c>
      <c r="F19" s="291"/>
      <c r="G19" s="291"/>
      <c r="H19" s="291"/>
      <c r="I19" s="291"/>
      <c r="J19" s="291"/>
      <c r="K19" s="291"/>
      <c r="L19" s="291"/>
      <c r="M19" s="291"/>
      <c r="N19" s="167">
        <f t="shared" si="3"/>
        <v>0</v>
      </c>
    </row>
    <row r="20" spans="1:14">
      <c r="A20" s="166">
        <v>2.6</v>
      </c>
      <c r="B20" s="112" t="s">
        <v>84</v>
      </c>
      <c r="C20" s="291"/>
      <c r="D20" s="113"/>
      <c r="E20" s="294"/>
      <c r="F20" s="291"/>
      <c r="G20" s="291"/>
      <c r="H20" s="291"/>
      <c r="I20" s="291"/>
      <c r="J20" s="291"/>
      <c r="K20" s="291"/>
      <c r="L20" s="291"/>
      <c r="M20" s="291"/>
      <c r="N20" s="167">
        <f t="shared" si="3"/>
        <v>0</v>
      </c>
    </row>
    <row r="21" spans="1:14" ht="15.75" thickBot="1">
      <c r="A21" s="168">
        <v>3</v>
      </c>
      <c r="B21" s="169" t="s">
        <v>68</v>
      </c>
      <c r="C21" s="292">
        <f>C14+C7</f>
        <v>15506500</v>
      </c>
      <c r="D21" s="170"/>
      <c r="E21" s="295">
        <f>E14+E7</f>
        <v>310130</v>
      </c>
      <c r="F21" s="296">
        <f>F7+F14</f>
        <v>0</v>
      </c>
      <c r="G21" s="296">
        <f t="shared" ref="G21:L21" si="4">G7+G14</f>
        <v>0</v>
      </c>
      <c r="H21" s="296">
        <f t="shared" si="4"/>
        <v>0</v>
      </c>
      <c r="I21" s="296">
        <f t="shared" si="4"/>
        <v>0</v>
      </c>
      <c r="J21" s="296">
        <f t="shared" si="4"/>
        <v>0</v>
      </c>
      <c r="K21" s="296">
        <f t="shared" si="4"/>
        <v>310130</v>
      </c>
      <c r="L21" s="296">
        <f t="shared" si="4"/>
        <v>0</v>
      </c>
      <c r="M21" s="296">
        <f>M7+M14</f>
        <v>0</v>
      </c>
      <c r="N21" s="171">
        <f>N14+N7</f>
        <v>310130</v>
      </c>
    </row>
    <row r="22" spans="1:14">
      <c r="E22" s="297"/>
      <c r="F22" s="297"/>
      <c r="G22" s="297"/>
      <c r="H22" s="297"/>
      <c r="I22" s="297"/>
      <c r="J22" s="297"/>
      <c r="K22" s="297"/>
      <c r="L22" s="297"/>
      <c r="M22" s="29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4" workbookViewId="0">
      <selection activeCell="C28" sqref="C28:C29"/>
    </sheetView>
  </sheetViews>
  <sheetFormatPr defaultRowHeight="15"/>
  <cols>
    <col min="1" max="1" width="11.42578125" customWidth="1"/>
    <col min="2" max="2" width="76.85546875" style="4" customWidth="1"/>
    <col min="3" max="3" width="22.85546875" customWidth="1"/>
  </cols>
  <sheetData>
    <row r="1" spans="1:3">
      <c r="A1" s="335" t="s">
        <v>188</v>
      </c>
      <c r="B1" t="str">
        <f>Info!C2</f>
        <v>სს "კრედო ბანკი"</v>
      </c>
    </row>
    <row r="2" spans="1:3">
      <c r="A2" s="335" t="s">
        <v>189</v>
      </c>
      <c r="B2" s="469">
        <f>'1. key ratios'!B2</f>
        <v>44651</v>
      </c>
    </row>
    <row r="3" spans="1:3">
      <c r="A3" s="335"/>
      <c r="B3"/>
    </row>
    <row r="4" spans="1:3">
      <c r="A4" s="335" t="s">
        <v>467</v>
      </c>
      <c r="B4" t="s">
        <v>426</v>
      </c>
    </row>
    <row r="5" spans="1:3">
      <c r="A5" s="397"/>
      <c r="B5" s="397" t="s">
        <v>427</v>
      </c>
      <c r="C5" s="409"/>
    </row>
    <row r="6" spans="1:3">
      <c r="A6" s="398">
        <v>1</v>
      </c>
      <c r="B6" s="410" t="s">
        <v>479</v>
      </c>
      <c r="C6" s="411">
        <v>1813839939.7504458</v>
      </c>
    </row>
    <row r="7" spans="1:3">
      <c r="A7" s="398">
        <v>2</v>
      </c>
      <c r="B7" s="410" t="s">
        <v>428</v>
      </c>
      <c r="C7" s="411">
        <v>-14440186.420000006</v>
      </c>
    </row>
    <row r="8" spans="1:3">
      <c r="A8" s="399">
        <v>3</v>
      </c>
      <c r="B8" s="412" t="s">
        <v>429</v>
      </c>
      <c r="C8" s="413">
        <f>C6+C7</f>
        <v>1799399753.3304458</v>
      </c>
    </row>
    <row r="9" spans="1:3">
      <c r="A9" s="400"/>
      <c r="B9" s="400" t="s">
        <v>430</v>
      </c>
      <c r="C9" s="414"/>
    </row>
    <row r="10" spans="1:3">
      <c r="A10" s="401">
        <v>4</v>
      </c>
      <c r="B10" s="415" t="s">
        <v>431</v>
      </c>
      <c r="C10" s="411"/>
    </row>
    <row r="11" spans="1:3">
      <c r="A11" s="401">
        <v>5</v>
      </c>
      <c r="B11" s="416" t="s">
        <v>432</v>
      </c>
      <c r="C11" s="411"/>
    </row>
    <row r="12" spans="1:3">
      <c r="A12" s="401" t="s">
        <v>433</v>
      </c>
      <c r="B12" s="410" t="s">
        <v>434</v>
      </c>
      <c r="C12" s="413">
        <f>'15. CCR'!E21</f>
        <v>310130</v>
      </c>
    </row>
    <row r="13" spans="1:3">
      <c r="A13" s="402">
        <v>6</v>
      </c>
      <c r="B13" s="417" t="s">
        <v>435</v>
      </c>
      <c r="C13" s="411"/>
    </row>
    <row r="14" spans="1:3">
      <c r="A14" s="402">
        <v>7</v>
      </c>
      <c r="B14" s="418" t="s">
        <v>436</v>
      </c>
      <c r="C14" s="411"/>
    </row>
    <row r="15" spans="1:3">
      <c r="A15" s="403">
        <v>8</v>
      </c>
      <c r="B15" s="410" t="s">
        <v>437</v>
      </c>
      <c r="C15" s="411"/>
    </row>
    <row r="16" spans="1:3" ht="24">
      <c r="A16" s="402">
        <v>9</v>
      </c>
      <c r="B16" s="418" t="s">
        <v>438</v>
      </c>
      <c r="C16" s="411"/>
    </row>
    <row r="17" spans="1:3">
      <c r="A17" s="402">
        <v>10</v>
      </c>
      <c r="B17" s="418" t="s">
        <v>439</v>
      </c>
      <c r="C17" s="411"/>
    </row>
    <row r="18" spans="1:3">
      <c r="A18" s="404">
        <v>11</v>
      </c>
      <c r="B18" s="419" t="s">
        <v>440</v>
      </c>
      <c r="C18" s="413">
        <f>SUM(C10:C17)</f>
        <v>310130</v>
      </c>
    </row>
    <row r="19" spans="1:3">
      <c r="A19" s="400"/>
      <c r="B19" s="400" t="s">
        <v>441</v>
      </c>
      <c r="C19" s="420"/>
    </row>
    <row r="20" spans="1:3">
      <c r="A20" s="402">
        <v>12</v>
      </c>
      <c r="B20" s="415" t="s">
        <v>442</v>
      </c>
      <c r="C20" s="411"/>
    </row>
    <row r="21" spans="1:3">
      <c r="A21" s="402">
        <v>13</v>
      </c>
      <c r="B21" s="415" t="s">
        <v>443</v>
      </c>
      <c r="C21" s="411"/>
    </row>
    <row r="22" spans="1:3">
      <c r="A22" s="402">
        <v>14</v>
      </c>
      <c r="B22" s="415" t="s">
        <v>444</v>
      </c>
      <c r="C22" s="411"/>
    </row>
    <row r="23" spans="1:3" ht="24">
      <c r="A23" s="402" t="s">
        <v>445</v>
      </c>
      <c r="B23" s="415" t="s">
        <v>446</v>
      </c>
      <c r="C23" s="411"/>
    </row>
    <row r="24" spans="1:3">
      <c r="A24" s="402">
        <v>15</v>
      </c>
      <c r="B24" s="415" t="s">
        <v>447</v>
      </c>
      <c r="C24" s="411"/>
    </row>
    <row r="25" spans="1:3">
      <c r="A25" s="402" t="s">
        <v>448</v>
      </c>
      <c r="B25" s="410" t="s">
        <v>449</v>
      </c>
      <c r="C25" s="411"/>
    </row>
    <row r="26" spans="1:3">
      <c r="A26" s="404">
        <v>16</v>
      </c>
      <c r="B26" s="419" t="s">
        <v>450</v>
      </c>
      <c r="C26" s="413">
        <f>SUM(C20:C25)</f>
        <v>0</v>
      </c>
    </row>
    <row r="27" spans="1:3">
      <c r="A27" s="400"/>
      <c r="B27" s="400" t="s">
        <v>451</v>
      </c>
      <c r="C27" s="414"/>
    </row>
    <row r="28" spans="1:3">
      <c r="A28" s="401">
        <v>17</v>
      </c>
      <c r="B28" s="410" t="s">
        <v>452</v>
      </c>
      <c r="C28" s="411">
        <v>34728427.93</v>
      </c>
    </row>
    <row r="29" spans="1:3">
      <c r="A29" s="401">
        <v>18</v>
      </c>
      <c r="B29" s="410" t="s">
        <v>453</v>
      </c>
      <c r="C29" s="411">
        <v>-24103311.055</v>
      </c>
    </row>
    <row r="30" spans="1:3">
      <c r="A30" s="404">
        <v>19</v>
      </c>
      <c r="B30" s="419" t="s">
        <v>454</v>
      </c>
      <c r="C30" s="413">
        <f>C28+C29</f>
        <v>10625116.875</v>
      </c>
    </row>
    <row r="31" spans="1:3">
      <c r="A31" s="405"/>
      <c r="B31" s="400" t="s">
        <v>455</v>
      </c>
      <c r="C31" s="414"/>
    </row>
    <row r="32" spans="1:3">
      <c r="A32" s="401" t="s">
        <v>456</v>
      </c>
      <c r="B32" s="415" t="s">
        <v>457</v>
      </c>
      <c r="C32" s="421"/>
    </row>
    <row r="33" spans="1:3">
      <c r="A33" s="401" t="s">
        <v>458</v>
      </c>
      <c r="B33" s="416" t="s">
        <v>459</v>
      </c>
      <c r="C33" s="421"/>
    </row>
    <row r="34" spans="1:3">
      <c r="A34" s="400"/>
      <c r="B34" s="400" t="s">
        <v>460</v>
      </c>
      <c r="C34" s="414"/>
    </row>
    <row r="35" spans="1:3">
      <c r="A35" s="404">
        <v>20</v>
      </c>
      <c r="B35" s="419" t="s">
        <v>89</v>
      </c>
      <c r="C35" s="413">
        <f>'1. key ratios'!C9</f>
        <v>197489453.98000044</v>
      </c>
    </row>
    <row r="36" spans="1:3">
      <c r="A36" s="404">
        <v>21</v>
      </c>
      <c r="B36" s="419" t="s">
        <v>461</v>
      </c>
      <c r="C36" s="413">
        <f>C8+C18+C26+C30</f>
        <v>1810335000.2054458</v>
      </c>
    </row>
    <row r="37" spans="1:3">
      <c r="A37" s="406"/>
      <c r="B37" s="406" t="s">
        <v>426</v>
      </c>
      <c r="C37" s="414"/>
    </row>
    <row r="38" spans="1:3">
      <c r="A38" s="404">
        <v>22</v>
      </c>
      <c r="B38" s="419" t="s">
        <v>426</v>
      </c>
      <c r="C38" s="626">
        <f>IFERROR(C35/C36,0)</f>
        <v>0.10909000486517045</v>
      </c>
    </row>
    <row r="39" spans="1:3">
      <c r="A39" s="406"/>
      <c r="B39" s="406" t="s">
        <v>462</v>
      </c>
      <c r="C39" s="414"/>
    </row>
    <row r="40" spans="1:3">
      <c r="A40" s="407" t="s">
        <v>463</v>
      </c>
      <c r="B40" s="415" t="s">
        <v>464</v>
      </c>
      <c r="C40" s="421"/>
    </row>
    <row r="41" spans="1:3">
      <c r="A41" s="408" t="s">
        <v>465</v>
      </c>
      <c r="B41" s="416" t="s">
        <v>466</v>
      </c>
      <c r="C41" s="421"/>
    </row>
    <row r="43" spans="1:3">
      <c r="B43" s="432"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zoomScale="90" zoomScaleNormal="90" workbookViewId="0">
      <pane xSplit="2" ySplit="6" topLeftCell="C29" activePane="bottomRight" state="frozen"/>
      <selection pane="topRight" activeCell="C1" sqref="C1"/>
      <selection pane="bottomLeft" activeCell="A7" sqref="A7"/>
      <selection pane="bottomRight" activeCell="G39" activeCellId="2" sqref="G21 G37 G39"/>
    </sheetView>
  </sheetViews>
  <sheetFormatPr defaultRowHeight="15"/>
  <cols>
    <col min="1" max="1" width="9.85546875" style="335" bestFit="1" customWidth="1"/>
    <col min="2" max="2" width="82.5703125" style="23" customWidth="1"/>
    <col min="3" max="7" width="17.5703125" style="335" customWidth="1"/>
    <col min="9" max="9" width="17.7109375" bestFit="1" customWidth="1"/>
  </cols>
  <sheetData>
    <row r="1" spans="1:9">
      <c r="A1" s="335" t="s">
        <v>188</v>
      </c>
      <c r="B1" s="335" t="str">
        <f>Info!C2</f>
        <v>სს "კრედო ბანკი"</v>
      </c>
    </row>
    <row r="2" spans="1:9">
      <c r="A2" s="335" t="s">
        <v>189</v>
      </c>
      <c r="B2" s="469">
        <f>'1. key ratios'!B2</f>
        <v>44651</v>
      </c>
    </row>
    <row r="3" spans="1:9">
      <c r="B3" s="469"/>
    </row>
    <row r="4" spans="1:9" ht="15.75" thickBot="1">
      <c r="A4" s="335" t="s">
        <v>529</v>
      </c>
      <c r="B4" s="472" t="s">
        <v>494</v>
      </c>
    </row>
    <row r="5" spans="1:9">
      <c r="A5" s="473"/>
      <c r="B5" s="474"/>
      <c r="C5" s="753" t="s">
        <v>495</v>
      </c>
      <c r="D5" s="753"/>
      <c r="E5" s="753"/>
      <c r="F5" s="753"/>
      <c r="G5" s="754" t="s">
        <v>496</v>
      </c>
    </row>
    <row r="6" spans="1:9">
      <c r="A6" s="475"/>
      <c r="B6" s="476"/>
      <c r="C6" s="477" t="s">
        <v>497</v>
      </c>
      <c r="D6" s="478" t="s">
        <v>498</v>
      </c>
      <c r="E6" s="478" t="s">
        <v>499</v>
      </c>
      <c r="F6" s="478" t="s">
        <v>500</v>
      </c>
      <c r="G6" s="755"/>
    </row>
    <row r="7" spans="1:9">
      <c r="A7" s="479"/>
      <c r="B7" s="480" t="s">
        <v>501</v>
      </c>
      <c r="C7" s="481"/>
      <c r="D7" s="481"/>
      <c r="E7" s="481"/>
      <c r="F7" s="481"/>
      <c r="G7" s="482"/>
    </row>
    <row r="8" spans="1:9">
      <c r="A8" s="483">
        <v>1</v>
      </c>
      <c r="B8" s="484" t="s">
        <v>502</v>
      </c>
      <c r="C8" s="677">
        <f>SUM(C9:C10)</f>
        <v>197489453.98000044</v>
      </c>
      <c r="D8" s="677">
        <f>SUM(D9:D10)</f>
        <v>0</v>
      </c>
      <c r="E8" s="677">
        <f>SUM(E9:E10)</f>
        <v>0</v>
      </c>
      <c r="F8" s="677">
        <f>SUM(F9:F10)</f>
        <v>716496527</v>
      </c>
      <c r="G8" s="492">
        <f>SUM(G9:G10)</f>
        <v>913985980.9800005</v>
      </c>
    </row>
    <row r="9" spans="1:9">
      <c r="A9" s="483">
        <v>2</v>
      </c>
      <c r="B9" s="487" t="s">
        <v>88</v>
      </c>
      <c r="C9" s="485">
        <v>197489453.98000044</v>
      </c>
      <c r="D9" s="485"/>
      <c r="E9" s="485"/>
      <c r="F9" s="485">
        <v>68683356</v>
      </c>
      <c r="G9" s="486">
        <f>SUM(C9:F9)</f>
        <v>266172809.98000044</v>
      </c>
    </row>
    <row r="10" spans="1:9">
      <c r="A10" s="483">
        <v>3</v>
      </c>
      <c r="B10" s="487" t="s">
        <v>503</v>
      </c>
      <c r="C10" s="488"/>
      <c r="D10" s="488"/>
      <c r="E10" s="488"/>
      <c r="F10" s="485">
        <f>572335163+61000212+5806922+8670874</f>
        <v>647813171</v>
      </c>
      <c r="G10" s="486">
        <f>SUM(C10:F10)</f>
        <v>647813171</v>
      </c>
    </row>
    <row r="11" spans="1:9" ht="26.25">
      <c r="A11" s="483">
        <v>4</v>
      </c>
      <c r="B11" s="484" t="s">
        <v>504</v>
      </c>
      <c r="C11" s="677">
        <f t="shared" ref="C11:F11" si="0">SUM(C12:C13)</f>
        <v>70860391</v>
      </c>
      <c r="D11" s="677">
        <f t="shared" si="0"/>
        <v>90009737</v>
      </c>
      <c r="E11" s="677">
        <f t="shared" si="0"/>
        <v>52544050</v>
      </c>
      <c r="F11" s="677">
        <f t="shared" si="0"/>
        <v>10764208</v>
      </c>
      <c r="G11" s="492">
        <f>SUM(G12:G13)</f>
        <v>211458827.94999999</v>
      </c>
    </row>
    <row r="12" spans="1:9">
      <c r="A12" s="483">
        <v>5</v>
      </c>
      <c r="B12" s="487" t="s">
        <v>505</v>
      </c>
      <c r="C12" s="485">
        <v>70860391</v>
      </c>
      <c r="D12" s="498">
        <v>89074239</v>
      </c>
      <c r="E12" s="497">
        <v>51374009</v>
      </c>
      <c r="F12" s="497">
        <v>9512772</v>
      </c>
      <c r="G12" s="486">
        <f>SUM(C12:F12)*0.95</f>
        <v>209780340.44999999</v>
      </c>
      <c r="I12" s="700"/>
    </row>
    <row r="13" spans="1:9">
      <c r="A13" s="483">
        <v>6</v>
      </c>
      <c r="B13" s="487" t="s">
        <v>506</v>
      </c>
      <c r="C13" s="485"/>
      <c r="D13" s="498">
        <v>935498</v>
      </c>
      <c r="E13" s="497">
        <v>1170041</v>
      </c>
      <c r="F13" s="497">
        <v>1251436</v>
      </c>
      <c r="G13" s="486">
        <f>SUM(C13:F13)*0.5</f>
        <v>1678487.5</v>
      </c>
      <c r="I13" s="700"/>
    </row>
    <row r="14" spans="1:9">
      <c r="A14" s="483">
        <v>7</v>
      </c>
      <c r="B14" s="484" t="s">
        <v>507</v>
      </c>
      <c r="C14" s="677">
        <f t="shared" ref="C14:F14" si="1">SUM(C15:C16)</f>
        <v>30383996</v>
      </c>
      <c r="D14" s="677">
        <f t="shared" si="1"/>
        <v>274597990</v>
      </c>
      <c r="E14" s="677">
        <f t="shared" si="1"/>
        <v>204068064</v>
      </c>
      <c r="F14" s="677">
        <f t="shared" si="1"/>
        <v>7305165</v>
      </c>
      <c r="G14" s="492">
        <f>SUM(G15:G16)</f>
        <v>258177607.5</v>
      </c>
    </row>
    <row r="15" spans="1:9" ht="51.75">
      <c r="A15" s="483">
        <v>8</v>
      </c>
      <c r="B15" s="487" t="s">
        <v>508</v>
      </c>
      <c r="C15" s="485">
        <v>30383996</v>
      </c>
      <c r="D15" s="627">
        <v>108014859</v>
      </c>
      <c r="E15" s="485">
        <v>75841493</v>
      </c>
      <c r="F15" s="485">
        <v>7305165</v>
      </c>
      <c r="G15" s="486">
        <f>SUM(C15:F15)*0.5</f>
        <v>110772756.5</v>
      </c>
      <c r="I15" s="701"/>
    </row>
    <row r="16" spans="1:9" ht="26.25">
      <c r="A16" s="483">
        <v>9</v>
      </c>
      <c r="B16" s="487" t="s">
        <v>509</v>
      </c>
      <c r="C16" s="485"/>
      <c r="D16" s="627">
        <v>166583131</v>
      </c>
      <c r="E16" s="627">
        <v>128226571</v>
      </c>
      <c r="F16" s="485"/>
      <c r="G16" s="486">
        <f>SUM(C16:F16)*0.5</f>
        <v>147404851</v>
      </c>
    </row>
    <row r="17" spans="1:9">
      <c r="A17" s="483">
        <v>10</v>
      </c>
      <c r="B17" s="484" t="s">
        <v>510</v>
      </c>
      <c r="C17" s="485"/>
      <c r="D17" s="489"/>
      <c r="E17" s="485"/>
      <c r="F17" s="485"/>
      <c r="G17" s="486"/>
    </row>
    <row r="18" spans="1:9">
      <c r="A18" s="483">
        <v>11</v>
      </c>
      <c r="B18" s="484" t="s">
        <v>95</v>
      </c>
      <c r="C18" s="677">
        <f>SUM(C19:C20)</f>
        <v>75067041.980000004</v>
      </c>
      <c r="D18" s="678">
        <f t="shared" ref="D18:G18" si="2">SUM(D19:D20)</f>
        <v>31381394.019999996</v>
      </c>
      <c r="E18" s="677">
        <f t="shared" si="2"/>
        <v>2088696.951420784</v>
      </c>
      <c r="F18" s="677">
        <f t="shared" si="2"/>
        <v>9334609</v>
      </c>
      <c r="G18" s="486">
        <f t="shared" si="2"/>
        <v>0</v>
      </c>
    </row>
    <row r="19" spans="1:9">
      <c r="A19" s="483">
        <v>12</v>
      </c>
      <c r="B19" s="487" t="s">
        <v>511</v>
      </c>
      <c r="C19" s="488"/>
      <c r="D19" s="489"/>
      <c r="E19" s="485"/>
      <c r="F19" s="485"/>
      <c r="G19" s="486">
        <f>SUM(C19:F19)*0</f>
        <v>0</v>
      </c>
      <c r="I19" s="703"/>
    </row>
    <row r="20" spans="1:9" ht="26.25">
      <c r="A20" s="483">
        <v>13</v>
      </c>
      <c r="B20" s="487" t="s">
        <v>512</v>
      </c>
      <c r="C20" s="485">
        <v>75067041.980000004</v>
      </c>
      <c r="D20" s="485">
        <v>31381394.019999996</v>
      </c>
      <c r="E20" s="485">
        <v>2088696.951420784</v>
      </c>
      <c r="F20" s="485">
        <v>9334609</v>
      </c>
      <c r="G20" s="486">
        <f>SUM(C20:F20)*0</f>
        <v>0</v>
      </c>
    </row>
    <row r="21" spans="1:9">
      <c r="A21" s="490">
        <v>14</v>
      </c>
      <c r="B21" s="491" t="s">
        <v>513</v>
      </c>
      <c r="C21" s="488"/>
      <c r="D21" s="488"/>
      <c r="E21" s="488"/>
      <c r="F21" s="488"/>
      <c r="G21" s="492">
        <f>SUM(G8,G11,G14,G17,G18)</f>
        <v>1383622416.4300005</v>
      </c>
    </row>
    <row r="22" spans="1:9">
      <c r="A22" s="493"/>
      <c r="B22" s="512" t="s">
        <v>514</v>
      </c>
      <c r="C22" s="494"/>
      <c r="D22" s="495"/>
      <c r="E22" s="494"/>
      <c r="F22" s="494"/>
      <c r="G22" s="496"/>
    </row>
    <row r="23" spans="1:9">
      <c r="A23" s="483">
        <v>15</v>
      </c>
      <c r="B23" s="484" t="s">
        <v>371</v>
      </c>
      <c r="C23" s="704">
        <v>183293321</v>
      </c>
      <c r="D23" s="705">
        <v>40327500</v>
      </c>
      <c r="E23" s="497"/>
      <c r="F23" s="497"/>
      <c r="G23" s="687">
        <v>3621555</v>
      </c>
      <c r="I23" s="702"/>
    </row>
    <row r="24" spans="1:9">
      <c r="A24" s="483">
        <v>16</v>
      </c>
      <c r="B24" s="484" t="s">
        <v>515</v>
      </c>
      <c r="C24" s="677">
        <f>SUM(C25:C27,C29,C31)</f>
        <v>3858.7</v>
      </c>
      <c r="D24" s="678">
        <f t="shared" ref="D24:G24" si="3">SUM(D25:D27,D29,D31)</f>
        <v>385610978.96032423</v>
      </c>
      <c r="E24" s="677">
        <f t="shared" si="3"/>
        <v>247453941.1663585</v>
      </c>
      <c r="F24" s="677">
        <f t="shared" si="3"/>
        <v>683493368.35841465</v>
      </c>
      <c r="G24" s="486">
        <f t="shared" si="3"/>
        <v>897556651.97299373</v>
      </c>
      <c r="I24" s="702"/>
    </row>
    <row r="25" spans="1:9" ht="26.25">
      <c r="A25" s="483">
        <v>17</v>
      </c>
      <c r="B25" s="487" t="s">
        <v>516</v>
      </c>
      <c r="C25" s="485"/>
      <c r="D25" s="489"/>
      <c r="E25" s="485"/>
      <c r="F25" s="485"/>
      <c r="G25" s="486"/>
      <c r="I25" s="702"/>
    </row>
    <row r="26" spans="1:9" ht="39">
      <c r="A26" s="483">
        <v>18</v>
      </c>
      <c r="B26" s="487" t="s">
        <v>517</v>
      </c>
      <c r="C26" s="627">
        <v>3858.7</v>
      </c>
      <c r="D26" s="627"/>
      <c r="E26" s="627"/>
      <c r="F26" s="627"/>
      <c r="G26" s="686">
        <f>C26*0.15+D26*0.05</f>
        <v>578.80499999999995</v>
      </c>
    </row>
    <row r="27" spans="1:9">
      <c r="A27" s="483">
        <v>19</v>
      </c>
      <c r="B27" s="487" t="s">
        <v>518</v>
      </c>
      <c r="C27" s="485"/>
      <c r="D27" s="489">
        <v>385455978.96032423</v>
      </c>
      <c r="E27" s="485">
        <v>247453941.1663585</v>
      </c>
      <c r="F27" s="485">
        <v>681096068.35841465</v>
      </c>
      <c r="G27" s="687">
        <f>(D27+E27)*0.5+F27*0.85</f>
        <v>895386618.16799378</v>
      </c>
    </row>
    <row r="28" spans="1:9">
      <c r="A28" s="483">
        <v>20</v>
      </c>
      <c r="B28" s="499" t="s">
        <v>519</v>
      </c>
      <c r="C28" s="485"/>
      <c r="D28" s="489"/>
      <c r="E28" s="485"/>
      <c r="F28" s="485"/>
      <c r="G28" s="687"/>
    </row>
    <row r="29" spans="1:9">
      <c r="A29" s="483">
        <v>21</v>
      </c>
      <c r="B29" s="487" t="s">
        <v>520</v>
      </c>
      <c r="C29" s="485"/>
      <c r="D29" s="489"/>
      <c r="E29" s="485"/>
      <c r="F29" s="485"/>
      <c r="G29" s="687"/>
    </row>
    <row r="30" spans="1:9">
      <c r="A30" s="483">
        <v>22</v>
      </c>
      <c r="B30" s="499" t="s">
        <v>519</v>
      </c>
      <c r="C30" s="485"/>
      <c r="D30" s="489"/>
      <c r="E30" s="485"/>
      <c r="F30" s="485"/>
      <c r="G30" s="687"/>
    </row>
    <row r="31" spans="1:9" ht="26.25">
      <c r="A31" s="483">
        <v>23</v>
      </c>
      <c r="B31" s="487" t="s">
        <v>521</v>
      </c>
      <c r="C31" s="485"/>
      <c r="D31" s="489">
        <f>3100000*0.05</f>
        <v>155000</v>
      </c>
      <c r="E31" s="485"/>
      <c r="F31" s="485">
        <f>(51046000-3100000)*0.05</f>
        <v>2397300</v>
      </c>
      <c r="G31" s="687">
        <f>SUM(C31:F31)*0.85</f>
        <v>2169455</v>
      </c>
    </row>
    <row r="32" spans="1:9">
      <c r="A32" s="483">
        <v>24</v>
      </c>
      <c r="B32" s="484" t="s">
        <v>522</v>
      </c>
      <c r="C32" s="485"/>
      <c r="D32" s="489"/>
      <c r="E32" s="485"/>
      <c r="F32" s="485"/>
      <c r="G32" s="486"/>
    </row>
    <row r="33" spans="1:9">
      <c r="A33" s="483">
        <v>25</v>
      </c>
      <c r="B33" s="484" t="s">
        <v>165</v>
      </c>
      <c r="C33" s="677">
        <f>SUM(C34:C35)</f>
        <v>66631415.420000002</v>
      </c>
      <c r="D33" s="677">
        <f>SUM(D34:D35)</f>
        <v>52185793.259675771</v>
      </c>
      <c r="E33" s="677">
        <f>SUM(E34:E35)</f>
        <v>18001853.53185457</v>
      </c>
      <c r="F33" s="677">
        <f>SUM(F34:F35)</f>
        <v>95389294.001585349</v>
      </c>
      <c r="G33" s="486">
        <f>SUM(G34:G35)</f>
        <v>232208356.21311569</v>
      </c>
      <c r="I33" s="702"/>
    </row>
    <row r="34" spans="1:9">
      <c r="A34" s="483">
        <v>26</v>
      </c>
      <c r="B34" s="487" t="s">
        <v>523</v>
      </c>
      <c r="C34" s="488"/>
      <c r="D34" s="498">
        <v>32071</v>
      </c>
      <c r="E34" s="485"/>
      <c r="F34" s="485"/>
      <c r="G34" s="486">
        <f>D34</f>
        <v>32071</v>
      </c>
      <c r="I34" s="702"/>
    </row>
    <row r="35" spans="1:9">
      <c r="A35" s="483">
        <v>27</v>
      </c>
      <c r="B35" s="487" t="s">
        <v>524</v>
      </c>
      <c r="C35" s="485">
        <v>66631415.420000002</v>
      </c>
      <c r="D35" s="489">
        <v>52153722.259675771</v>
      </c>
      <c r="E35" s="485">
        <v>18001853.53185457</v>
      </c>
      <c r="F35" s="485">
        <v>95389294.001585349</v>
      </c>
      <c r="G35" s="486">
        <f>SUM(C35:F35)</f>
        <v>232176285.21311569</v>
      </c>
      <c r="I35" s="701"/>
    </row>
    <row r="36" spans="1:9">
      <c r="A36" s="483">
        <v>28</v>
      </c>
      <c r="B36" s="484" t="s">
        <v>525</v>
      </c>
      <c r="C36" s="485">
        <v>13478194.18</v>
      </c>
      <c r="D36" s="489">
        <v>21220233.75</v>
      </c>
      <c r="E36" s="485"/>
      <c r="F36" s="485">
        <v>30000</v>
      </c>
      <c r="G36" s="486">
        <f>(C36+D36)*0.05</f>
        <v>1734921.3965</v>
      </c>
    </row>
    <row r="37" spans="1:9">
      <c r="A37" s="490">
        <v>29</v>
      </c>
      <c r="B37" s="491" t="s">
        <v>526</v>
      </c>
      <c r="C37" s="488"/>
      <c r="D37" s="488"/>
      <c r="E37" s="488"/>
      <c r="F37" s="488"/>
      <c r="G37" s="492">
        <f>SUM(G23:G24,G32:G33,G36)</f>
        <v>1135121484.5826097</v>
      </c>
    </row>
    <row r="38" spans="1:9">
      <c r="A38" s="479"/>
      <c r="B38" s="500"/>
      <c r="C38" s="501"/>
      <c r="D38" s="501"/>
      <c r="E38" s="501"/>
      <c r="F38" s="501"/>
      <c r="G38" s="502"/>
    </row>
    <row r="39" spans="1:9" ht="15.75" thickBot="1">
      <c r="A39" s="503">
        <v>30</v>
      </c>
      <c r="B39" s="504" t="s">
        <v>494</v>
      </c>
      <c r="C39" s="344"/>
      <c r="D39" s="327"/>
      <c r="E39" s="327"/>
      <c r="F39" s="505"/>
      <c r="G39" s="506">
        <f>IFERROR(G21/G37,0)</f>
        <v>1.2189201202008488</v>
      </c>
    </row>
    <row r="42" spans="1:9" ht="39">
      <c r="B42" s="23" t="s">
        <v>527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
  <sheetViews>
    <sheetView zoomScaleNormal="100" workbookViewId="0">
      <pane xSplit="1" ySplit="5" topLeftCell="B35" activePane="bottomRight" state="frozen"/>
      <selection pane="topRight" activeCell="B1" sqref="B1"/>
      <selection pane="bottomLeft" activeCell="A6" sqref="A6"/>
      <selection pane="bottomRight" activeCell="B5" sqref="B5"/>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188</v>
      </c>
      <c r="B1" s="431" t="str">
        <f>Info!C2</f>
        <v>სს "კრედო ბანკი"</v>
      </c>
    </row>
    <row r="2" spans="1:8">
      <c r="A2" s="17" t="s">
        <v>189</v>
      </c>
      <c r="B2" s="453">
        <v>44651</v>
      </c>
      <c r="C2" s="28"/>
      <c r="D2" s="18"/>
      <c r="E2" s="18"/>
      <c r="F2" s="18"/>
      <c r="G2" s="18"/>
      <c r="H2" s="1"/>
    </row>
    <row r="3" spans="1:8">
      <c r="A3" s="17"/>
      <c r="C3" s="28"/>
      <c r="D3" s="18"/>
      <c r="E3" s="18"/>
      <c r="F3" s="18"/>
      <c r="G3" s="18"/>
      <c r="H3" s="1"/>
    </row>
    <row r="4" spans="1:8" ht="16.5" thickBot="1">
      <c r="A4" s="68" t="s">
        <v>327</v>
      </c>
      <c r="B4" s="204" t="s">
        <v>223</v>
      </c>
      <c r="C4" s="205"/>
      <c r="D4" s="206"/>
      <c r="E4" s="206"/>
      <c r="F4" s="206"/>
      <c r="G4" s="206"/>
      <c r="H4" s="1"/>
    </row>
    <row r="5" spans="1:8" ht="15">
      <c r="A5" s="312" t="s">
        <v>26</v>
      </c>
      <c r="B5" s="313"/>
      <c r="C5" s="454" t="str">
        <f>INT((MONTH($B$2))/3)&amp;"Q"&amp;"-"&amp;YEAR($B$2)</f>
        <v>1Q-2022</v>
      </c>
      <c r="D5" s="454" t="str">
        <f>IF(INT(MONTH($B$2))=3, "4"&amp;"Q"&amp;"-"&amp;YEAR($B$2)-1, IF(INT(MONTH($B$2))=6, "1"&amp;"Q"&amp;"-"&amp;YEAR($B$2), IF(INT(MONTH($B$2))=9, "2"&amp;"Q"&amp;"-"&amp;YEAR($B$2),IF(INT(MONTH($B$2))=12, "3"&amp;"Q"&amp;"-"&amp;YEAR($B$2), 0))))</f>
        <v>4Q-2021</v>
      </c>
      <c r="E5" s="454" t="str">
        <f>IF(INT(MONTH($B$2))=3, "3"&amp;"Q"&amp;"-"&amp;YEAR($B$2)-1, IF(INT(MONTH($B$2))=6, "4"&amp;"Q"&amp;"-"&amp;YEAR($B$2)-1, IF(INT(MONTH($B$2))=9, "1"&amp;"Q"&amp;"-"&amp;YEAR($B$2),IF(INT(MONTH($B$2))=12, "2"&amp;"Q"&amp;"-"&amp;YEAR($B$2), 0))))</f>
        <v>3Q-2021</v>
      </c>
      <c r="F5" s="454" t="str">
        <f>IF(INT(MONTH($B$2))=3, "2"&amp;"Q"&amp;"-"&amp;YEAR($B$2)-1, IF(INT(MONTH($B$2))=6, "3"&amp;"Q"&amp;"-"&amp;YEAR($B$2)-1, IF(INT(MONTH($B$2))=9, "4"&amp;"Q"&amp;"-"&amp;YEAR($B$2)-1,IF(INT(MONTH($B$2))=12, "1"&amp;"Q"&amp;"-"&amp;YEAR($B$2), 0))))</f>
        <v>2Q-2021</v>
      </c>
      <c r="G5" s="455" t="str">
        <f>IF(INT(MONTH($B$2))=3, "1"&amp;"Q"&amp;"-"&amp;YEAR($B$2)-1, IF(INT(MONTH($B$2))=6, "2"&amp;"Q"&amp;"-"&amp;YEAR($B$2)-1, IF(INT(MONTH($B$2))=9, "3"&amp;"Q"&amp;"-"&amp;YEAR($B$2)-1,IF(INT(MONTH($B$2))=12, "4"&amp;"Q"&amp;"-"&amp;YEAR($B$2)-1, 0))))</f>
        <v>1Q-2021</v>
      </c>
    </row>
    <row r="6" spans="1:8" ht="15">
      <c r="A6" s="456"/>
      <c r="B6" s="457" t="s">
        <v>186</v>
      </c>
      <c r="C6" s="314"/>
      <c r="D6" s="314"/>
      <c r="E6" s="314"/>
      <c r="F6" s="314"/>
      <c r="G6" s="315"/>
    </row>
    <row r="7" spans="1:8" ht="15">
      <c r="A7" s="456"/>
      <c r="B7" s="458" t="s">
        <v>190</v>
      </c>
      <c r="C7" s="314"/>
      <c r="D7" s="314"/>
      <c r="E7" s="314"/>
      <c r="F7" s="314"/>
      <c r="G7" s="315"/>
    </row>
    <row r="8" spans="1:8" ht="15">
      <c r="A8" s="436">
        <v>1</v>
      </c>
      <c r="B8" s="437" t="s">
        <v>23</v>
      </c>
      <c r="C8" s="459">
        <v>197489453.98000044</v>
      </c>
      <c r="D8" s="460">
        <v>190970466.01999995</v>
      </c>
      <c r="E8" s="460">
        <v>170545936.60499954</v>
      </c>
      <c r="F8" s="460">
        <v>159516402.39999977</v>
      </c>
      <c r="G8" s="461">
        <v>151702892.47</v>
      </c>
    </row>
    <row r="9" spans="1:8" ht="15">
      <c r="A9" s="436">
        <v>2</v>
      </c>
      <c r="B9" s="437" t="s">
        <v>89</v>
      </c>
      <c r="C9" s="459">
        <v>197489453.98000044</v>
      </c>
      <c r="D9" s="460">
        <v>190970466.01999995</v>
      </c>
      <c r="E9" s="460">
        <v>170545936.60499954</v>
      </c>
      <c r="F9" s="460">
        <v>159516402.39999977</v>
      </c>
      <c r="G9" s="461">
        <v>151702892.47</v>
      </c>
    </row>
    <row r="10" spans="1:8" ht="15">
      <c r="A10" s="436">
        <v>3</v>
      </c>
      <c r="B10" s="437" t="s">
        <v>88</v>
      </c>
      <c r="C10" s="459">
        <v>282429451.49236441</v>
      </c>
      <c r="D10" s="460">
        <v>275919553.95755643</v>
      </c>
      <c r="E10" s="460">
        <v>238148092.37380791</v>
      </c>
      <c r="F10" s="460">
        <v>220503390.8101269</v>
      </c>
      <c r="G10" s="461">
        <v>208474378.55370051</v>
      </c>
    </row>
    <row r="11" spans="1:8" ht="15">
      <c r="A11" s="436">
        <v>4</v>
      </c>
      <c r="B11" s="437" t="s">
        <v>485</v>
      </c>
      <c r="C11" s="459">
        <v>139475312.33826685</v>
      </c>
      <c r="D11" s="460">
        <v>133444721.91963258</v>
      </c>
      <c r="E11" s="460">
        <v>109872576.48518217</v>
      </c>
      <c r="F11" s="460">
        <v>104154177.3230308</v>
      </c>
      <c r="G11" s="461">
        <v>67662721.97703366</v>
      </c>
    </row>
    <row r="12" spans="1:8" ht="15">
      <c r="A12" s="436">
        <v>5</v>
      </c>
      <c r="B12" s="437" t="s">
        <v>486</v>
      </c>
      <c r="C12" s="459">
        <v>172176573.46557817</v>
      </c>
      <c r="D12" s="460">
        <v>164232533.09510088</v>
      </c>
      <c r="E12" s="460">
        <v>135229184.71478793</v>
      </c>
      <c r="F12" s="460">
        <v>128029747.38348642</v>
      </c>
      <c r="G12" s="461">
        <v>90224248.275642887</v>
      </c>
    </row>
    <row r="13" spans="1:8" ht="15">
      <c r="A13" s="436">
        <v>6</v>
      </c>
      <c r="B13" s="437" t="s">
        <v>487</v>
      </c>
      <c r="C13" s="459">
        <v>225040345.25436014</v>
      </c>
      <c r="D13" s="460">
        <v>226769539.88382533</v>
      </c>
      <c r="E13" s="460">
        <v>186717948.58043131</v>
      </c>
      <c r="F13" s="460">
        <v>174443344.48956314</v>
      </c>
      <c r="G13" s="461">
        <v>134554051.85172278</v>
      </c>
    </row>
    <row r="14" spans="1:8" ht="15">
      <c r="A14" s="456"/>
      <c r="B14" s="457" t="s">
        <v>489</v>
      </c>
      <c r="C14" s="314"/>
      <c r="D14" s="314"/>
      <c r="E14" s="314"/>
      <c r="F14" s="314"/>
      <c r="G14" s="315"/>
    </row>
    <row r="15" spans="1:8" ht="15" customHeight="1">
      <c r="A15" s="436">
        <v>7</v>
      </c>
      <c r="B15" s="437" t="s">
        <v>488</v>
      </c>
      <c r="C15" s="462">
        <v>1656738792.5893064</v>
      </c>
      <c r="D15" s="460">
        <v>1646372343.0332627</v>
      </c>
      <c r="E15" s="460">
        <v>1354725836.7705703</v>
      </c>
      <c r="F15" s="460">
        <v>1303609759.8539195</v>
      </c>
      <c r="G15" s="461">
        <v>1272772692.0415695</v>
      </c>
    </row>
    <row r="16" spans="1:8" ht="15">
      <c r="A16" s="456"/>
      <c r="B16" s="457" t="s">
        <v>493</v>
      </c>
      <c r="C16" s="314"/>
      <c r="D16" s="314"/>
      <c r="E16" s="314"/>
      <c r="F16" s="314"/>
      <c r="G16" s="315"/>
    </row>
    <row r="17" spans="1:7" s="3" customFormat="1" ht="15">
      <c r="A17" s="436"/>
      <c r="B17" s="458" t="s">
        <v>474</v>
      </c>
      <c r="C17" s="314"/>
      <c r="D17" s="314"/>
      <c r="E17" s="314"/>
      <c r="F17" s="314"/>
      <c r="G17" s="315"/>
    </row>
    <row r="18" spans="1:7" ht="15">
      <c r="A18" s="435">
        <v>8</v>
      </c>
      <c r="B18" s="463" t="s">
        <v>483</v>
      </c>
      <c r="C18" s="470">
        <v>0.11920373619751212</v>
      </c>
      <c r="D18" s="470">
        <v>0.11600555535699156</v>
      </c>
      <c r="E18" s="471">
        <v>0.12588963167008851</v>
      </c>
      <c r="F18" s="471">
        <v>0.12236514892146476</v>
      </c>
      <c r="G18" s="471">
        <v>0.11919087628024415</v>
      </c>
    </row>
    <row r="19" spans="1:7" ht="15" customHeight="1">
      <c r="A19" s="435">
        <v>9</v>
      </c>
      <c r="B19" s="463" t="s">
        <v>482</v>
      </c>
      <c r="C19" s="470">
        <v>0.11920373619751212</v>
      </c>
      <c r="D19" s="470">
        <v>0.11600555535699156</v>
      </c>
      <c r="E19" s="471">
        <v>0.12588963167008851</v>
      </c>
      <c r="F19" s="471">
        <v>0.12236514892146476</v>
      </c>
      <c r="G19" s="471">
        <v>0.11919087628024415</v>
      </c>
    </row>
    <row r="20" spans="1:7" ht="15">
      <c r="A20" s="435">
        <v>10</v>
      </c>
      <c r="B20" s="463" t="s">
        <v>484</v>
      </c>
      <c r="C20" s="470">
        <v>0.17047313237046693</v>
      </c>
      <c r="D20" s="470">
        <v>0.16760695178841442</v>
      </c>
      <c r="E20" s="471">
        <v>0.17579061822686673</v>
      </c>
      <c r="F20" s="471">
        <v>0.16914831232533589</v>
      </c>
      <c r="G20" s="471">
        <v>0.16379545213159838</v>
      </c>
    </row>
    <row r="21" spans="1:7" ht="15">
      <c r="A21" s="435">
        <v>11</v>
      </c>
      <c r="B21" s="437" t="s">
        <v>485</v>
      </c>
      <c r="C21" s="470">
        <v>8.4186664163444738E-2</v>
      </c>
      <c r="D21" s="470">
        <v>8.1054040642183592E-2</v>
      </c>
      <c r="E21" s="471">
        <v>8.1103182284541941E-2</v>
      </c>
      <c r="F21" s="471">
        <v>7.9896745583357826E-2</v>
      </c>
      <c r="G21" s="471">
        <v>5.3161670108195377E-2</v>
      </c>
    </row>
    <row r="22" spans="1:7" ht="15">
      <c r="A22" s="435">
        <v>12</v>
      </c>
      <c r="B22" s="437" t="s">
        <v>486</v>
      </c>
      <c r="C22" s="470">
        <v>0.10392499664747061</v>
      </c>
      <c r="D22" s="470">
        <v>9.9754518717210167E-2</v>
      </c>
      <c r="E22" s="471">
        <v>9.9820333416797219E-2</v>
      </c>
      <c r="F22" s="471">
        <v>9.821171283485422E-2</v>
      </c>
      <c r="G22" s="471">
        <v>7.0887951037761673E-2</v>
      </c>
    </row>
    <row r="23" spans="1:7" ht="15">
      <c r="A23" s="435">
        <v>13</v>
      </c>
      <c r="B23" s="437" t="s">
        <v>487</v>
      </c>
      <c r="C23" s="470">
        <v>0.13583332886329416</v>
      </c>
      <c r="D23" s="470">
        <v>0.13773935828961356</v>
      </c>
      <c r="E23" s="471">
        <v>0.13782711122239633</v>
      </c>
      <c r="F23" s="471">
        <v>0.13381561711313897</v>
      </c>
      <c r="G23" s="471">
        <v>0.10571726805034889</v>
      </c>
    </row>
    <row r="24" spans="1:7" ht="15">
      <c r="A24" s="456"/>
      <c r="B24" s="457" t="s">
        <v>6</v>
      </c>
      <c r="C24" s="314"/>
      <c r="D24" s="314"/>
      <c r="E24" s="314"/>
      <c r="F24" s="314"/>
      <c r="G24" s="315"/>
    </row>
    <row r="25" spans="1:7" ht="15" customHeight="1">
      <c r="A25" s="464">
        <v>14</v>
      </c>
      <c r="B25" s="465" t="s">
        <v>7</v>
      </c>
      <c r="C25" s="601">
        <v>0.17558798173409881</v>
      </c>
      <c r="D25" s="601">
        <v>0.17906126754806295</v>
      </c>
      <c r="E25" s="602">
        <v>0.16676073723122978</v>
      </c>
      <c r="F25" s="602">
        <v>0.16490591544310193</v>
      </c>
      <c r="G25" s="602">
        <v>0.16420464402205129</v>
      </c>
    </row>
    <row r="26" spans="1:7" ht="15">
      <c r="A26" s="464">
        <v>15</v>
      </c>
      <c r="B26" s="465" t="s">
        <v>8</v>
      </c>
      <c r="C26" s="601">
        <v>9.4786573956475148E-2</v>
      </c>
      <c r="D26" s="601">
        <v>9.1761194423027714E-2</v>
      </c>
      <c r="E26" s="602">
        <v>8.5703202350992838E-2</v>
      </c>
      <c r="F26" s="602">
        <v>8.2510663276905469E-2</v>
      </c>
      <c r="G26" s="602">
        <v>8.0441019149516221E-2</v>
      </c>
    </row>
    <row r="27" spans="1:7" ht="15">
      <c r="A27" s="464">
        <v>16</v>
      </c>
      <c r="B27" s="465" t="s">
        <v>9</v>
      </c>
      <c r="C27" s="601">
        <v>4.629038108866456E-2</v>
      </c>
      <c r="D27" s="601">
        <v>4.3632615790773571E-2</v>
      </c>
      <c r="E27" s="602">
        <v>4.2393594816898507E-2</v>
      </c>
      <c r="F27" s="602">
        <v>4.4595100939298284E-2</v>
      </c>
      <c r="G27" s="602">
        <v>4.1424513920289049E-2</v>
      </c>
    </row>
    <row r="28" spans="1:7" ht="15">
      <c r="A28" s="464">
        <v>17</v>
      </c>
      <c r="B28" s="465" t="s">
        <v>224</v>
      </c>
      <c r="C28" s="601">
        <v>8.0801407777623666E-2</v>
      </c>
      <c r="D28" s="601">
        <v>8.7300073125035238E-2</v>
      </c>
      <c r="E28" s="602">
        <v>8.1057534880236912E-2</v>
      </c>
      <c r="F28" s="602">
        <v>8.2395252166196462E-2</v>
      </c>
      <c r="G28" s="602">
        <v>8.3763624872535053E-2</v>
      </c>
    </row>
    <row r="29" spans="1:7" ht="15">
      <c r="A29" s="464">
        <v>18</v>
      </c>
      <c r="B29" s="465" t="s">
        <v>10</v>
      </c>
      <c r="C29" s="601">
        <v>1.6594867425930651E-2</v>
      </c>
      <c r="D29" s="601">
        <v>1.7875156182373939E-2</v>
      </c>
      <c r="E29" s="602">
        <v>2.042410213898507E-2</v>
      </c>
      <c r="F29" s="602">
        <v>2.3207042180071493E-2</v>
      </c>
      <c r="G29" s="602">
        <v>2.1769455792221164E-2</v>
      </c>
    </row>
    <row r="30" spans="1:7" ht="15">
      <c r="A30" s="464">
        <v>19</v>
      </c>
      <c r="B30" s="465" t="s">
        <v>11</v>
      </c>
      <c r="C30" s="601">
        <v>0.14259755119714557</v>
      </c>
      <c r="D30" s="601">
        <v>0.14944306531804341</v>
      </c>
      <c r="E30" s="602">
        <v>0.17001370928338166</v>
      </c>
      <c r="F30" s="602">
        <v>0.2051091874195872</v>
      </c>
      <c r="G30" s="602">
        <v>0.19207039542552393</v>
      </c>
    </row>
    <row r="31" spans="1:7" ht="15">
      <c r="A31" s="456"/>
      <c r="B31" s="457" t="s">
        <v>12</v>
      </c>
      <c r="C31" s="314"/>
      <c r="D31" s="314"/>
      <c r="E31" s="314"/>
      <c r="F31" s="314"/>
      <c r="G31" s="315"/>
    </row>
    <row r="32" spans="1:7" ht="15">
      <c r="A32" s="464">
        <v>20</v>
      </c>
      <c r="B32" s="465" t="s">
        <v>13</v>
      </c>
      <c r="C32" s="601">
        <v>4.1706818566806476E-2</v>
      </c>
      <c r="D32" s="601">
        <v>3.8736315714277547E-2</v>
      </c>
      <c r="E32" s="602">
        <v>2.3394146315303972E-2</v>
      </c>
      <c r="F32" s="602">
        <v>1.8721118429435246E-2</v>
      </c>
      <c r="G32" s="602">
        <v>2.0822403825060919E-2</v>
      </c>
    </row>
    <row r="33" spans="1:7" ht="15" customHeight="1">
      <c r="A33" s="464">
        <v>21</v>
      </c>
      <c r="B33" s="465" t="s">
        <v>14</v>
      </c>
      <c r="C33" s="601">
        <v>4.4768195042700271E-2</v>
      </c>
      <c r="D33" s="601">
        <v>4.2972414925792041E-2</v>
      </c>
      <c r="E33" s="602">
        <v>3.7030603577105303E-2</v>
      </c>
      <c r="F33" s="602">
        <v>3.5200000000000002E-2</v>
      </c>
      <c r="G33" s="602">
        <v>3.6187962041661199E-2</v>
      </c>
    </row>
    <row r="34" spans="1:7" ht="15">
      <c r="A34" s="464">
        <v>22</v>
      </c>
      <c r="B34" s="465" t="s">
        <v>15</v>
      </c>
      <c r="C34" s="601">
        <v>9.5245395168892397E-2</v>
      </c>
      <c r="D34" s="601">
        <v>9.1200000000000003E-2</v>
      </c>
      <c r="E34" s="602">
        <v>9.1551287193214675E-2</v>
      </c>
      <c r="F34" s="602">
        <v>9.149066023636318E-2</v>
      </c>
      <c r="G34" s="602">
        <v>9.6783736693314318E-2</v>
      </c>
    </row>
    <row r="35" spans="1:7" ht="15" customHeight="1">
      <c r="A35" s="464">
        <v>23</v>
      </c>
      <c r="B35" s="465" t="s">
        <v>16</v>
      </c>
      <c r="C35" s="601">
        <v>0.11494656148985324</v>
      </c>
      <c r="D35" s="601">
        <v>0.12834595455243403</v>
      </c>
      <c r="E35" s="602">
        <v>0.13492248165465076</v>
      </c>
      <c r="F35" s="602">
        <v>0.14977465231554332</v>
      </c>
      <c r="G35" s="602">
        <v>0.16489806577974372</v>
      </c>
    </row>
    <row r="36" spans="1:7" ht="15">
      <c r="A36" s="464">
        <v>24</v>
      </c>
      <c r="B36" s="465" t="s">
        <v>17</v>
      </c>
      <c r="C36" s="601">
        <v>1.61E-2</v>
      </c>
      <c r="D36" s="601">
        <v>0.40130466436092099</v>
      </c>
      <c r="E36" s="602">
        <v>0.13508389064670023</v>
      </c>
      <c r="F36" s="602">
        <v>8.6800000000000002E-2</v>
      </c>
      <c r="G36" s="602">
        <v>2.1100000000000001E-2</v>
      </c>
    </row>
    <row r="37" spans="1:7" ht="15" customHeight="1">
      <c r="A37" s="456"/>
      <c r="B37" s="457" t="s">
        <v>18</v>
      </c>
      <c r="C37" s="314"/>
      <c r="D37" s="314"/>
      <c r="E37" s="314"/>
      <c r="F37" s="314"/>
      <c r="G37" s="315"/>
    </row>
    <row r="38" spans="1:7" ht="15" customHeight="1">
      <c r="A38" s="464">
        <v>25</v>
      </c>
      <c r="B38" s="465" t="s">
        <v>19</v>
      </c>
      <c r="C38" s="601">
        <v>0.10553155570945096</v>
      </c>
      <c r="D38" s="601">
        <v>0.12248576368474862</v>
      </c>
      <c r="E38" s="601">
        <v>0.14780529813254237</v>
      </c>
      <c r="F38" s="601">
        <v>0.16078716298516199</v>
      </c>
      <c r="G38" s="601">
        <v>0.16675064262590911</v>
      </c>
    </row>
    <row r="39" spans="1:7" ht="15" customHeight="1">
      <c r="A39" s="464">
        <v>26</v>
      </c>
      <c r="B39" s="465" t="s">
        <v>20</v>
      </c>
      <c r="C39" s="601">
        <v>0.14544167620875656</v>
      </c>
      <c r="D39" s="601">
        <v>0.1589559058625058</v>
      </c>
      <c r="E39" s="601">
        <v>0.17003998457359173</v>
      </c>
      <c r="F39" s="601">
        <v>0.18094049013450156</v>
      </c>
      <c r="G39" s="601">
        <v>0.25273793537411621</v>
      </c>
    </row>
    <row r="40" spans="1:7" ht="15" customHeight="1">
      <c r="A40" s="464">
        <v>27</v>
      </c>
      <c r="B40" s="466" t="s">
        <v>21</v>
      </c>
      <c r="C40" s="601">
        <v>5.6661406683720661E-2</v>
      </c>
      <c r="D40" s="601">
        <v>7.0089317029742138E-2</v>
      </c>
      <c r="E40" s="601">
        <v>4.7189690439026731E-2</v>
      </c>
      <c r="F40" s="601">
        <v>5.14726153104791E-2</v>
      </c>
      <c r="G40" s="601">
        <v>5.0901537786217151E-2</v>
      </c>
    </row>
    <row r="41" spans="1:7" ht="15" customHeight="1">
      <c r="A41" s="468"/>
      <c r="B41" s="457" t="s">
        <v>395</v>
      </c>
      <c r="C41" s="314"/>
      <c r="D41" s="314"/>
      <c r="E41" s="314"/>
      <c r="F41" s="314"/>
      <c r="G41" s="315"/>
    </row>
    <row r="42" spans="1:7" ht="15" customHeight="1">
      <c r="A42" s="464">
        <v>28</v>
      </c>
      <c r="B42" s="511" t="s">
        <v>388</v>
      </c>
      <c r="C42" s="698">
        <v>169189184.3245492</v>
      </c>
      <c r="D42" s="603">
        <v>207165339.34011158</v>
      </c>
      <c r="E42" s="466">
        <v>199077912.89091116</v>
      </c>
      <c r="F42" s="466">
        <v>214376794.77349353</v>
      </c>
      <c r="G42" s="466">
        <v>220144172.22217697</v>
      </c>
    </row>
    <row r="43" spans="1:7" ht="15">
      <c r="A43" s="464">
        <v>29</v>
      </c>
      <c r="B43" s="465" t="s">
        <v>389</v>
      </c>
      <c r="C43" s="698">
        <v>90968988.875303537</v>
      </c>
      <c r="D43" s="603">
        <v>118717181.96934123</v>
      </c>
      <c r="E43" s="467">
        <v>83099386.974698663</v>
      </c>
      <c r="F43" s="467">
        <v>100930519.47576636</v>
      </c>
      <c r="G43" s="467">
        <v>66435210.961435787</v>
      </c>
    </row>
    <row r="44" spans="1:7" ht="15">
      <c r="A44" s="507">
        <v>30</v>
      </c>
      <c r="B44" s="508" t="s">
        <v>387</v>
      </c>
      <c r="C44" s="699">
        <v>1.859855610316463</v>
      </c>
      <c r="D44" s="604">
        <v>1.7450324873244727</v>
      </c>
      <c r="E44" s="601">
        <v>2.3956604270922548</v>
      </c>
      <c r="F44" s="601">
        <v>2.1240036798281401</v>
      </c>
      <c r="G44" s="601">
        <v>3.3136670906330972</v>
      </c>
    </row>
    <row r="45" spans="1:7" ht="15">
      <c r="A45" s="507"/>
      <c r="B45" s="457" t="s">
        <v>494</v>
      </c>
      <c r="C45" s="314"/>
      <c r="D45" s="314"/>
      <c r="E45" s="314"/>
      <c r="F45" s="314"/>
      <c r="G45" s="315"/>
    </row>
    <row r="46" spans="1:7" ht="15">
      <c r="A46" s="507">
        <v>31</v>
      </c>
      <c r="B46" s="508" t="s">
        <v>501</v>
      </c>
      <c r="C46" s="658">
        <v>1383622416.4300005</v>
      </c>
      <c r="D46" s="509">
        <v>1362648324.3199999</v>
      </c>
      <c r="E46" s="510">
        <v>1236728028.7499995</v>
      </c>
      <c r="F46" s="510">
        <v>1117305337.848695</v>
      </c>
      <c r="G46" s="510">
        <v>959459929.28716135</v>
      </c>
    </row>
    <row r="47" spans="1:7" ht="15">
      <c r="A47" s="507">
        <v>32</v>
      </c>
      <c r="B47" s="508" t="s">
        <v>514</v>
      </c>
      <c r="C47" s="658">
        <v>1135121484.5826097</v>
      </c>
      <c r="D47" s="509">
        <v>1073684098.3064198</v>
      </c>
      <c r="E47" s="510">
        <v>920660974.02293551</v>
      </c>
      <c r="F47" s="510">
        <v>851634981.07405925</v>
      </c>
      <c r="G47" s="510">
        <v>794469701.77628505</v>
      </c>
    </row>
    <row r="48" spans="1:7" thickBot="1">
      <c r="A48" s="120">
        <v>33</v>
      </c>
      <c r="B48" s="228" t="s">
        <v>528</v>
      </c>
      <c r="C48" s="675">
        <v>1.2189201202008488</v>
      </c>
      <c r="D48" s="605">
        <v>1.269133375887171</v>
      </c>
      <c r="E48" s="606">
        <v>1.3433044993163685</v>
      </c>
      <c r="F48" s="606">
        <v>1.3119533164778876</v>
      </c>
      <c r="G48" s="606">
        <v>1.2076734042116259</v>
      </c>
    </row>
    <row r="49" spans="1:7">
      <c r="A49" s="20"/>
    </row>
    <row r="50" spans="1:7" ht="39.75">
      <c r="B50" s="23" t="s">
        <v>473</v>
      </c>
    </row>
    <row r="51" spans="1:7" ht="65.25">
      <c r="B51" s="362" t="s">
        <v>394</v>
      </c>
      <c r="D51" s="335"/>
      <c r="E51" s="335"/>
      <c r="F51" s="335"/>
      <c r="G51" s="33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1" zoomScale="75" zoomScaleNormal="75" workbookViewId="0">
      <selection activeCell="C8" sqref="C8:G21"/>
    </sheetView>
  </sheetViews>
  <sheetFormatPr defaultColWidth="9.140625" defaultRowHeight="12.75"/>
  <cols>
    <col min="1" max="1" width="10.85546875" style="514" customWidth="1"/>
    <col min="2" max="2" width="93.5703125" style="514" customWidth="1"/>
    <col min="3" max="8" width="24.7109375" style="514" customWidth="1"/>
    <col min="9" max="16384" width="9.140625" style="514"/>
  </cols>
  <sheetData>
    <row r="1" spans="1:8" ht="13.5">
      <c r="A1" s="513" t="s">
        <v>188</v>
      </c>
      <c r="B1" s="431" t="str">
        <f>Info!C2</f>
        <v>სს "კრედო ბანკი"</v>
      </c>
    </row>
    <row r="2" spans="1:8">
      <c r="A2" s="515" t="s">
        <v>189</v>
      </c>
      <c r="B2" s="517">
        <f>'1. key ratios'!B2</f>
        <v>44651</v>
      </c>
    </row>
    <row r="3" spans="1:8">
      <c r="A3" s="516" t="s">
        <v>530</v>
      </c>
    </row>
    <row r="5" spans="1:8">
      <c r="A5" s="756" t="s">
        <v>531</v>
      </c>
      <c r="B5" s="757"/>
      <c r="C5" s="762" t="s">
        <v>532</v>
      </c>
      <c r="D5" s="763"/>
      <c r="E5" s="763"/>
      <c r="F5" s="763"/>
      <c r="G5" s="763"/>
      <c r="H5" s="764"/>
    </row>
    <row r="6" spans="1:8">
      <c r="A6" s="758"/>
      <c r="B6" s="759"/>
      <c r="C6" s="765"/>
      <c r="D6" s="766"/>
      <c r="E6" s="766"/>
      <c r="F6" s="766"/>
      <c r="G6" s="766"/>
      <c r="H6" s="767"/>
    </row>
    <row r="7" spans="1:8" ht="25.5">
      <c r="A7" s="760"/>
      <c r="B7" s="761"/>
      <c r="C7" s="518" t="s">
        <v>533</v>
      </c>
      <c r="D7" s="518" t="s">
        <v>534</v>
      </c>
      <c r="E7" s="518" t="s">
        <v>535</v>
      </c>
      <c r="F7" s="518" t="s">
        <v>536</v>
      </c>
      <c r="G7" s="587" t="s">
        <v>708</v>
      </c>
      <c r="H7" s="518" t="s">
        <v>68</v>
      </c>
    </row>
    <row r="8" spans="1:8" ht="15" customHeight="1">
      <c r="A8" s="519">
        <v>1</v>
      </c>
      <c r="B8" s="520" t="s">
        <v>216</v>
      </c>
      <c r="C8" s="628">
        <v>90967070.800000012</v>
      </c>
      <c r="D8" s="628">
        <v>3099536</v>
      </c>
      <c r="E8" s="628">
        <v>3015366</v>
      </c>
      <c r="F8" s="628">
        <v>19301237</v>
      </c>
      <c r="G8" s="628"/>
      <c r="H8" s="628">
        <f>SUM(C8:G8)</f>
        <v>116383209.80000001</v>
      </c>
    </row>
    <row r="9" spans="1:8" ht="23.25" customHeight="1">
      <c r="A9" s="519">
        <v>2</v>
      </c>
      <c r="B9" s="520" t="s">
        <v>217</v>
      </c>
      <c r="C9" s="628"/>
      <c r="D9" s="628"/>
      <c r="E9" s="628"/>
      <c r="F9" s="628"/>
      <c r="G9" s="628"/>
      <c r="H9" s="628">
        <f t="shared" ref="H9:H21" si="0">SUM(C9:G9)</f>
        <v>0</v>
      </c>
    </row>
    <row r="10" spans="1:8" ht="15" customHeight="1">
      <c r="A10" s="519">
        <v>3</v>
      </c>
      <c r="B10" s="520" t="s">
        <v>218</v>
      </c>
      <c r="C10" s="628"/>
      <c r="D10" s="628"/>
      <c r="E10" s="628">
        <v>26155693.719999999</v>
      </c>
      <c r="F10" s="628"/>
      <c r="G10" s="628"/>
      <c r="H10" s="628">
        <f t="shared" si="0"/>
        <v>26155693.719999999</v>
      </c>
    </row>
    <row r="11" spans="1:8" ht="15" customHeight="1">
      <c r="A11" s="519">
        <v>4</v>
      </c>
      <c r="B11" s="520" t="s">
        <v>219</v>
      </c>
      <c r="C11" s="628"/>
      <c r="D11" s="628"/>
      <c r="E11" s="628"/>
      <c r="F11" s="628"/>
      <c r="G11" s="628"/>
      <c r="H11" s="628">
        <f t="shared" si="0"/>
        <v>0</v>
      </c>
    </row>
    <row r="12" spans="1:8" ht="15" customHeight="1">
      <c r="A12" s="519">
        <v>5</v>
      </c>
      <c r="B12" s="520" t="s">
        <v>220</v>
      </c>
      <c r="C12" s="628"/>
      <c r="D12" s="628"/>
      <c r="E12" s="628"/>
      <c r="F12" s="628"/>
      <c r="G12" s="628"/>
      <c r="H12" s="628">
        <f t="shared" si="0"/>
        <v>0</v>
      </c>
    </row>
    <row r="13" spans="1:8" ht="15" customHeight="1">
      <c r="A13" s="519">
        <v>6</v>
      </c>
      <c r="B13" s="520" t="s">
        <v>221</v>
      </c>
      <c r="C13" s="628">
        <v>21387941.82</v>
      </c>
      <c r="D13" s="628"/>
      <c r="E13" s="628"/>
      <c r="F13" s="628"/>
      <c r="G13" s="628"/>
      <c r="H13" s="628">
        <f t="shared" si="0"/>
        <v>21387941.82</v>
      </c>
    </row>
    <row r="14" spans="1:8" ht="15" customHeight="1">
      <c r="A14" s="519">
        <v>7</v>
      </c>
      <c r="B14" s="520" t="s">
        <v>73</v>
      </c>
      <c r="C14" s="628"/>
      <c r="D14" s="628">
        <v>2072926.8276224136</v>
      </c>
      <c r="E14" s="628"/>
      <c r="F14" s="628">
        <v>4462597.5818386031</v>
      </c>
      <c r="G14" s="628"/>
      <c r="H14" s="628">
        <f t="shared" si="0"/>
        <v>6535524.4094610168</v>
      </c>
    </row>
    <row r="15" spans="1:8" ht="15" customHeight="1">
      <c r="A15" s="519">
        <v>8</v>
      </c>
      <c r="B15" s="522" t="s">
        <v>74</v>
      </c>
      <c r="C15" s="628">
        <v>47457.767023267923</v>
      </c>
      <c r="D15" s="628">
        <v>248956264.23247483</v>
      </c>
      <c r="E15" s="628">
        <v>904034803.26438391</v>
      </c>
      <c r="F15" s="628">
        <v>198363363.73144776</v>
      </c>
      <c r="G15" s="628">
        <v>765994.15500974609</v>
      </c>
      <c r="H15" s="628">
        <f t="shared" si="0"/>
        <v>1352167883.1503394</v>
      </c>
    </row>
    <row r="16" spans="1:8" ht="15" customHeight="1">
      <c r="A16" s="519">
        <v>9</v>
      </c>
      <c r="B16" s="520" t="s">
        <v>75</v>
      </c>
      <c r="C16" s="628"/>
      <c r="D16" s="628"/>
      <c r="E16" s="628"/>
      <c r="F16" s="628"/>
      <c r="G16" s="628"/>
      <c r="H16" s="628">
        <f t="shared" si="0"/>
        <v>0</v>
      </c>
    </row>
    <row r="17" spans="1:8" ht="15" customHeight="1">
      <c r="A17" s="519">
        <v>10</v>
      </c>
      <c r="B17" s="590" t="s">
        <v>558</v>
      </c>
      <c r="C17" s="628"/>
      <c r="D17" s="628">
        <v>2084979.1475663465</v>
      </c>
      <c r="E17" s="628">
        <v>5473682.9783318816</v>
      </c>
      <c r="F17" s="628">
        <v>691597.46153223852</v>
      </c>
      <c r="G17" s="628">
        <v>473601.88268276554</v>
      </c>
      <c r="H17" s="628">
        <f t="shared" si="0"/>
        <v>8723861.4701132327</v>
      </c>
    </row>
    <row r="18" spans="1:8" ht="15" customHeight="1">
      <c r="A18" s="519">
        <v>11</v>
      </c>
      <c r="B18" s="520" t="s">
        <v>70</v>
      </c>
      <c r="C18" s="628">
        <v>11185.428735218025</v>
      </c>
      <c r="D18" s="628">
        <v>25055406.359408468</v>
      </c>
      <c r="E18" s="628">
        <v>115506807.94887389</v>
      </c>
      <c r="F18" s="628">
        <v>5204649.2802794734</v>
      </c>
      <c r="G18" s="628">
        <v>7194.4632982746089</v>
      </c>
      <c r="H18" s="628">
        <f t="shared" si="0"/>
        <v>145785243.48059532</v>
      </c>
    </row>
    <row r="19" spans="1:8" ht="15" customHeight="1">
      <c r="A19" s="519">
        <v>12</v>
      </c>
      <c r="B19" s="520" t="s">
        <v>71</v>
      </c>
      <c r="C19" s="628"/>
      <c r="D19" s="628"/>
      <c r="E19" s="628"/>
      <c r="F19" s="628"/>
      <c r="G19" s="628"/>
      <c r="H19" s="628">
        <f t="shared" si="0"/>
        <v>0</v>
      </c>
    </row>
    <row r="20" spans="1:8" ht="15" customHeight="1">
      <c r="A20" s="523">
        <v>13</v>
      </c>
      <c r="B20" s="522" t="s">
        <v>72</v>
      </c>
      <c r="C20" s="628"/>
      <c r="D20" s="628"/>
      <c r="E20" s="628"/>
      <c r="F20" s="628"/>
      <c r="G20" s="628"/>
      <c r="H20" s="628">
        <f t="shared" si="0"/>
        <v>0</v>
      </c>
    </row>
    <row r="21" spans="1:8" ht="15" customHeight="1">
      <c r="A21" s="519">
        <v>14</v>
      </c>
      <c r="B21" s="520" t="s">
        <v>537</v>
      </c>
      <c r="C21" s="628">
        <v>62774950.380000003</v>
      </c>
      <c r="D21" s="628">
        <f>819690+40484381</f>
        <v>41304071</v>
      </c>
      <c r="E21" s="628">
        <f>1154660</f>
        <v>1154660</v>
      </c>
      <c r="F21" s="628"/>
      <c r="G21" s="628">
        <v>26147035</v>
      </c>
      <c r="H21" s="628">
        <f t="shared" si="0"/>
        <v>131380716.38</v>
      </c>
    </row>
    <row r="22" spans="1:8" ht="15" customHeight="1">
      <c r="A22" s="524">
        <v>15</v>
      </c>
      <c r="B22" s="521" t="s">
        <v>68</v>
      </c>
      <c r="C22" s="628">
        <f>SUM(C18:C21)+SUM(C8:C16)</f>
        <v>175188606.19575849</v>
      </c>
      <c r="D22" s="628">
        <f t="shared" ref="D22:G22" si="1">SUM(D18:D21)+SUM(D8:D16)</f>
        <v>320488204.41950572</v>
      </c>
      <c r="E22" s="628">
        <f t="shared" si="1"/>
        <v>1049867330.9332578</v>
      </c>
      <c r="F22" s="628">
        <f t="shared" si="1"/>
        <v>227331847.59356585</v>
      </c>
      <c r="G22" s="628">
        <f t="shared" si="1"/>
        <v>26920223.618308023</v>
      </c>
      <c r="H22" s="628">
        <f>SUM(H18:H21)+SUM(H8:H16)</f>
        <v>1799796212.7603955</v>
      </c>
    </row>
    <row r="25" spans="1:8">
      <c r="H25" s="631"/>
    </row>
    <row r="26" spans="1:8" ht="38.25">
      <c r="B26" s="589" t="s">
        <v>707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6"/>
  <sheetViews>
    <sheetView showGridLines="0" topLeftCell="C1" zoomScale="80" zoomScaleNormal="80" workbookViewId="0">
      <selection activeCell="H22" sqref="H22"/>
    </sheetView>
  </sheetViews>
  <sheetFormatPr defaultColWidth="9.140625" defaultRowHeight="12.75"/>
  <cols>
    <col min="1" max="1" width="11.85546875" style="525" bestFit="1" customWidth="1"/>
    <col min="2" max="2" width="102.85546875" style="514" customWidth="1"/>
    <col min="3" max="3" width="22.42578125" style="514" customWidth="1"/>
    <col min="4" max="4" width="23.5703125" style="514" customWidth="1"/>
    <col min="5" max="7" width="22.140625" style="537" customWidth="1"/>
    <col min="8" max="8" width="22.140625" style="514" customWidth="1"/>
    <col min="9" max="9" width="41.42578125" style="514" customWidth="1"/>
    <col min="10" max="10" width="9.140625" style="514"/>
    <col min="11" max="11" width="18" style="514" bestFit="1" customWidth="1"/>
    <col min="12" max="16384" width="9.140625" style="514"/>
  </cols>
  <sheetData>
    <row r="1" spans="1:9" ht="13.5">
      <c r="A1" s="513" t="s">
        <v>188</v>
      </c>
      <c r="B1" s="431" t="str">
        <f>Info!C2</f>
        <v>სს "კრედო ბანკი"</v>
      </c>
      <c r="E1" s="514"/>
      <c r="F1" s="514"/>
      <c r="G1" s="514"/>
    </row>
    <row r="2" spans="1:9">
      <c r="A2" s="515" t="s">
        <v>189</v>
      </c>
      <c r="B2" s="517">
        <f>'1. key ratios'!B2</f>
        <v>44651</v>
      </c>
      <c r="E2" s="514"/>
      <c r="F2" s="514"/>
      <c r="G2" s="514"/>
    </row>
    <row r="3" spans="1:9">
      <c r="A3" s="516" t="s">
        <v>538</v>
      </c>
      <c r="E3" s="514"/>
      <c r="F3" s="514"/>
      <c r="G3" s="514"/>
    </row>
    <row r="4" spans="1:9">
      <c r="C4" s="526" t="s">
        <v>539</v>
      </c>
      <c r="D4" s="526" t="s">
        <v>540</v>
      </c>
      <c r="E4" s="526" t="s">
        <v>541</v>
      </c>
      <c r="F4" s="526" t="s">
        <v>542</v>
      </c>
      <c r="G4" s="526" t="s">
        <v>543</v>
      </c>
      <c r="H4" s="526" t="s">
        <v>544</v>
      </c>
      <c r="I4" s="526" t="s">
        <v>545</v>
      </c>
    </row>
    <row r="5" spans="1:9" ht="33.950000000000003" customHeight="1">
      <c r="A5" s="756" t="s">
        <v>548</v>
      </c>
      <c r="B5" s="757"/>
      <c r="C5" s="770" t="s">
        <v>549</v>
      </c>
      <c r="D5" s="770"/>
      <c r="E5" s="770" t="s">
        <v>550</v>
      </c>
      <c r="F5" s="770" t="s">
        <v>551</v>
      </c>
      <c r="G5" s="768" t="s">
        <v>552</v>
      </c>
      <c r="H5" s="768" t="s">
        <v>553</v>
      </c>
      <c r="I5" s="527" t="s">
        <v>554</v>
      </c>
    </row>
    <row r="6" spans="1:9" ht="38.25">
      <c r="A6" s="760"/>
      <c r="B6" s="761"/>
      <c r="C6" s="578" t="s">
        <v>555</v>
      </c>
      <c r="D6" s="578" t="s">
        <v>556</v>
      </c>
      <c r="E6" s="770"/>
      <c r="F6" s="770"/>
      <c r="G6" s="769"/>
      <c r="H6" s="769"/>
      <c r="I6" s="527" t="s">
        <v>557</v>
      </c>
    </row>
    <row r="7" spans="1:9">
      <c r="A7" s="528">
        <v>1</v>
      </c>
      <c r="B7" s="520" t="s">
        <v>216</v>
      </c>
      <c r="C7" s="629"/>
      <c r="D7" s="629">
        <v>116383209.80000001</v>
      </c>
      <c r="E7" s="630"/>
      <c r="F7" s="630"/>
      <c r="G7" s="630"/>
      <c r="H7" s="629"/>
      <c r="I7" s="531">
        <f t="shared" ref="I7:I23" si="0">C7+D7-E7-F7-G7</f>
        <v>116383209.80000001</v>
      </c>
    </row>
    <row r="8" spans="1:9">
      <c r="A8" s="528">
        <v>2</v>
      </c>
      <c r="B8" s="520" t="s">
        <v>217</v>
      </c>
      <c r="C8" s="629"/>
      <c r="D8" s="629">
        <v>0</v>
      </c>
      <c r="E8" s="630"/>
      <c r="F8" s="630"/>
      <c r="G8" s="630"/>
      <c r="H8" s="629"/>
      <c r="I8" s="531">
        <f t="shared" si="0"/>
        <v>0</v>
      </c>
    </row>
    <row r="9" spans="1:9">
      <c r="A9" s="528">
        <v>3</v>
      </c>
      <c r="B9" s="520" t="s">
        <v>218</v>
      </c>
      <c r="C9" s="629"/>
      <c r="D9" s="629">
        <v>26155693.719999999</v>
      </c>
      <c r="E9" s="630"/>
      <c r="F9" s="630"/>
      <c r="G9" s="630"/>
      <c r="H9" s="629"/>
      <c r="I9" s="531">
        <f t="shared" si="0"/>
        <v>26155693.719999999</v>
      </c>
    </row>
    <row r="10" spans="1:9">
      <c r="A10" s="528">
        <v>4</v>
      </c>
      <c r="B10" s="520" t="s">
        <v>219</v>
      </c>
      <c r="C10" s="629"/>
      <c r="D10" s="629">
        <v>0</v>
      </c>
      <c r="E10" s="630"/>
      <c r="F10" s="630"/>
      <c r="G10" s="630"/>
      <c r="H10" s="629"/>
      <c r="I10" s="531">
        <f t="shared" si="0"/>
        <v>0</v>
      </c>
    </row>
    <row r="11" spans="1:9">
      <c r="A11" s="528">
        <v>5</v>
      </c>
      <c r="B11" s="520" t="s">
        <v>220</v>
      </c>
      <c r="C11" s="629"/>
      <c r="D11" s="629">
        <v>0</v>
      </c>
      <c r="E11" s="630"/>
      <c r="F11" s="630"/>
      <c r="G11" s="630"/>
      <c r="H11" s="629"/>
      <c r="I11" s="531">
        <f t="shared" si="0"/>
        <v>0</v>
      </c>
    </row>
    <row r="12" spans="1:9">
      <c r="A12" s="528">
        <v>6</v>
      </c>
      <c r="B12" s="520" t="s">
        <v>221</v>
      </c>
      <c r="C12" s="629"/>
      <c r="D12" s="629">
        <v>21387941.82</v>
      </c>
      <c r="E12" s="630"/>
      <c r="F12" s="630"/>
      <c r="G12" s="630"/>
      <c r="H12" s="629"/>
      <c r="I12" s="531">
        <f t="shared" si="0"/>
        <v>21387941.82</v>
      </c>
    </row>
    <row r="13" spans="1:9">
      <c r="A13" s="528">
        <v>7</v>
      </c>
      <c r="B13" s="520" t="s">
        <v>73</v>
      </c>
      <c r="C13" s="629"/>
      <c r="D13" s="629">
        <v>6535524.4094610168</v>
      </c>
      <c r="E13" s="630"/>
      <c r="F13" s="630">
        <v>129758.73730000001</v>
      </c>
      <c r="G13" s="630"/>
      <c r="H13" s="629"/>
      <c r="I13" s="531">
        <f t="shared" si="0"/>
        <v>6405765.6721610166</v>
      </c>
    </row>
    <row r="14" spans="1:9">
      <c r="A14" s="528">
        <v>8</v>
      </c>
      <c r="B14" s="522" t="s">
        <v>74</v>
      </c>
      <c r="C14" s="629">
        <v>63284693.628888063</v>
      </c>
      <c r="D14" s="629">
        <v>1329670414.7128196</v>
      </c>
      <c r="E14" s="630">
        <v>40787225.19129838</v>
      </c>
      <c r="F14" s="630">
        <v>24010248.99069928</v>
      </c>
      <c r="G14" s="630"/>
      <c r="H14" s="630">
        <v>10930612</v>
      </c>
      <c r="I14" s="531">
        <f t="shared" si="0"/>
        <v>1328157634.1597099</v>
      </c>
    </row>
    <row r="15" spans="1:9">
      <c r="A15" s="528">
        <v>9</v>
      </c>
      <c r="B15" s="520" t="s">
        <v>75</v>
      </c>
      <c r="C15" s="629"/>
      <c r="D15" s="629"/>
      <c r="E15" s="630"/>
      <c r="F15" s="630"/>
      <c r="G15" s="630"/>
      <c r="H15" s="630"/>
      <c r="I15" s="531">
        <f t="shared" si="0"/>
        <v>0</v>
      </c>
    </row>
    <row r="16" spans="1:9">
      <c r="A16" s="528">
        <v>10</v>
      </c>
      <c r="B16" s="590" t="s">
        <v>558</v>
      </c>
      <c r="C16" s="629">
        <v>15966335</v>
      </c>
      <c r="D16" s="630">
        <v>1388413.1541008861</v>
      </c>
      <c r="E16" s="630">
        <v>8630819.4384999853</v>
      </c>
      <c r="F16" s="630">
        <v>14855.945600000006</v>
      </c>
      <c r="G16" s="630"/>
      <c r="H16" s="630">
        <v>10930612</v>
      </c>
      <c r="I16" s="531">
        <f t="shared" si="0"/>
        <v>8709072.7700009029</v>
      </c>
    </row>
    <row r="17" spans="1:11">
      <c r="A17" s="528">
        <v>11</v>
      </c>
      <c r="B17" s="520" t="s">
        <v>70</v>
      </c>
      <c r="C17" s="629">
        <v>352717.94299610308</v>
      </c>
      <c r="D17" s="629">
        <v>145541659.63359925</v>
      </c>
      <c r="E17" s="630">
        <v>109134.09599999998</v>
      </c>
      <c r="F17" s="630">
        <v>2868422.5072999788</v>
      </c>
      <c r="G17" s="630"/>
      <c r="H17" s="630"/>
      <c r="I17" s="531">
        <f t="shared" si="0"/>
        <v>142916820.97329539</v>
      </c>
    </row>
    <row r="18" spans="1:11">
      <c r="A18" s="528">
        <v>12</v>
      </c>
      <c r="B18" s="520" t="s">
        <v>71</v>
      </c>
      <c r="C18" s="629"/>
      <c r="D18" s="629"/>
      <c r="E18" s="630"/>
      <c r="F18" s="630"/>
      <c r="G18" s="630"/>
      <c r="H18" s="629"/>
      <c r="I18" s="531">
        <f t="shared" si="0"/>
        <v>0</v>
      </c>
    </row>
    <row r="19" spans="1:11">
      <c r="A19" s="532">
        <v>13</v>
      </c>
      <c r="B19" s="522" t="s">
        <v>72</v>
      </c>
      <c r="C19" s="629"/>
      <c r="D19" s="629"/>
      <c r="E19" s="630"/>
      <c r="F19" s="630"/>
      <c r="G19" s="630"/>
      <c r="H19" s="629"/>
      <c r="I19" s="531">
        <f t="shared" si="0"/>
        <v>0</v>
      </c>
      <c r="K19" s="681"/>
    </row>
    <row r="20" spans="1:11">
      <c r="A20" s="528">
        <v>14</v>
      </c>
      <c r="B20" s="520" t="s">
        <v>537</v>
      </c>
      <c r="C20" s="629">
        <v>6264149</v>
      </c>
      <c r="D20" s="629">
        <f>145424443.67-2839473</f>
        <v>142584970.66999999</v>
      </c>
      <c r="E20" s="630">
        <v>3424676</v>
      </c>
      <c r="F20" s="630"/>
      <c r="G20" s="630"/>
      <c r="H20" s="630">
        <v>69600</v>
      </c>
      <c r="I20" s="531">
        <f t="shared" si="0"/>
        <v>145424443.66999999</v>
      </c>
      <c r="K20" s="631"/>
    </row>
    <row r="21" spans="1:11" s="534" customFormat="1">
      <c r="A21" s="533">
        <v>15</v>
      </c>
      <c r="B21" s="521" t="s">
        <v>68</v>
      </c>
      <c r="C21" s="628">
        <f>SUM(C7:C15)+SUM(C17:C20)</f>
        <v>69901560.57188417</v>
      </c>
      <c r="D21" s="628">
        <f t="shared" ref="D21:H21" si="1">SUM(D7:D15)+SUM(D17:D20)</f>
        <v>1788259414.7658796</v>
      </c>
      <c r="E21" s="628">
        <f t="shared" si="1"/>
        <v>44321035.287298381</v>
      </c>
      <c r="F21" s="628">
        <f t="shared" si="1"/>
        <v>27008430.235299259</v>
      </c>
      <c r="G21" s="628">
        <f t="shared" si="1"/>
        <v>0</v>
      </c>
      <c r="H21" s="628">
        <f t="shared" si="1"/>
        <v>11000212</v>
      </c>
      <c r="I21" s="531">
        <f t="shared" si="0"/>
        <v>1786831509.815166</v>
      </c>
      <c r="K21" s="682"/>
    </row>
    <row r="22" spans="1:11">
      <c r="A22" s="535">
        <v>16</v>
      </c>
      <c r="B22" s="536" t="s">
        <v>559</v>
      </c>
      <c r="C22" s="630">
        <v>63637411.57188417</v>
      </c>
      <c r="D22" s="630">
        <v>1481747598.7558796</v>
      </c>
      <c r="E22" s="630">
        <f>E14+E17</f>
        <v>40896359.287298381</v>
      </c>
      <c r="F22" s="630">
        <f>F14+F17</f>
        <v>26878671.497999258</v>
      </c>
      <c r="G22" s="630"/>
      <c r="H22" s="630">
        <f>H16</f>
        <v>10930612</v>
      </c>
      <c r="I22" s="531">
        <f t="shared" si="0"/>
        <v>1477609979.5424662</v>
      </c>
    </row>
    <row r="23" spans="1:11">
      <c r="A23" s="535">
        <v>17</v>
      </c>
      <c r="B23" s="536" t="s">
        <v>560</v>
      </c>
      <c r="C23" s="630"/>
      <c r="D23" s="630">
        <v>51571833</v>
      </c>
      <c r="E23" s="630"/>
      <c r="F23" s="630"/>
      <c r="G23" s="630"/>
      <c r="H23" s="629"/>
      <c r="I23" s="531">
        <f t="shared" si="0"/>
        <v>51571833</v>
      </c>
    </row>
    <row r="24" spans="1:11">
      <c r="H24" s="681"/>
      <c r="I24" s="679"/>
    </row>
    <row r="25" spans="1:11">
      <c r="C25" s="631"/>
      <c r="D25" s="631"/>
      <c r="F25" s="632"/>
      <c r="G25" s="632"/>
      <c r="I25" s="680"/>
    </row>
    <row r="26" spans="1:11" ht="42.6" customHeight="1">
      <c r="B26" s="589" t="s">
        <v>707</v>
      </c>
      <c r="E26" s="632"/>
      <c r="F26" s="63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C9" zoomScale="90" zoomScaleNormal="90" workbookViewId="0">
      <selection activeCell="H7" sqref="H7:H32"/>
    </sheetView>
  </sheetViews>
  <sheetFormatPr defaultColWidth="9.140625" defaultRowHeight="12.75"/>
  <cols>
    <col min="1" max="1" width="11" style="514" bestFit="1" customWidth="1"/>
    <col min="2" max="2" width="93.42578125" style="514" customWidth="1"/>
    <col min="3" max="8" width="22" style="514" customWidth="1"/>
    <col min="9" max="9" width="42.28515625" style="514" bestFit="1" customWidth="1"/>
    <col min="10" max="16384" width="9.140625" style="514"/>
  </cols>
  <sheetData>
    <row r="1" spans="1:9" ht="13.5">
      <c r="A1" s="513" t="s">
        <v>188</v>
      </c>
      <c r="B1" s="431" t="str">
        <f>Info!C2</f>
        <v>სს "კრედო ბანკი"</v>
      </c>
    </row>
    <row r="2" spans="1:9">
      <c r="A2" s="515" t="s">
        <v>189</v>
      </c>
      <c r="B2" s="517">
        <f>'1. key ratios'!B2</f>
        <v>44651</v>
      </c>
    </row>
    <row r="3" spans="1:9">
      <c r="A3" s="516" t="s">
        <v>561</v>
      </c>
    </row>
    <row r="4" spans="1:9">
      <c r="C4" s="526" t="s">
        <v>539</v>
      </c>
      <c r="D4" s="526" t="s">
        <v>540</v>
      </c>
      <c r="E4" s="526" t="s">
        <v>541</v>
      </c>
      <c r="F4" s="526" t="s">
        <v>542</v>
      </c>
      <c r="G4" s="526" t="s">
        <v>543</v>
      </c>
      <c r="H4" s="526" t="s">
        <v>544</v>
      </c>
      <c r="I4" s="526" t="s">
        <v>545</v>
      </c>
    </row>
    <row r="5" spans="1:9" ht="41.45" customHeight="1">
      <c r="A5" s="756" t="s">
        <v>711</v>
      </c>
      <c r="B5" s="757"/>
      <c r="C5" s="770" t="s">
        <v>549</v>
      </c>
      <c r="D5" s="770"/>
      <c r="E5" s="770" t="s">
        <v>550</v>
      </c>
      <c r="F5" s="770" t="s">
        <v>551</v>
      </c>
      <c r="G5" s="768" t="s">
        <v>552</v>
      </c>
      <c r="H5" s="768" t="s">
        <v>553</v>
      </c>
      <c r="I5" s="527" t="s">
        <v>554</v>
      </c>
    </row>
    <row r="6" spans="1:9" ht="41.45" customHeight="1">
      <c r="A6" s="760"/>
      <c r="B6" s="761"/>
      <c r="C6" s="578" t="s">
        <v>555</v>
      </c>
      <c r="D6" s="578" t="s">
        <v>556</v>
      </c>
      <c r="E6" s="770"/>
      <c r="F6" s="770"/>
      <c r="G6" s="769"/>
      <c r="H6" s="769"/>
      <c r="I6" s="527" t="s">
        <v>557</v>
      </c>
    </row>
    <row r="7" spans="1:9">
      <c r="A7" s="529">
        <v>1</v>
      </c>
      <c r="B7" s="538" t="s">
        <v>562</v>
      </c>
      <c r="C7" s="629">
        <v>452910.7746817157</v>
      </c>
      <c r="D7" s="690">
        <f>16070109.7365711+90967071+24990422+425717</f>
        <v>132453319.7365711</v>
      </c>
      <c r="E7" s="629">
        <v>255651.46700000003</v>
      </c>
      <c r="F7" s="629">
        <v>302246.65779999999</v>
      </c>
      <c r="G7" s="629"/>
      <c r="H7" s="629">
        <v>63717.94</v>
      </c>
      <c r="I7" s="684">
        <f t="shared" ref="I7:I34" si="0">C7+D7-E7-F7-G7</f>
        <v>132348332.38645282</v>
      </c>
    </row>
    <row r="8" spans="1:9">
      <c r="A8" s="529">
        <v>2</v>
      </c>
      <c r="B8" s="538" t="s">
        <v>563</v>
      </c>
      <c r="C8" s="629">
        <v>22917.428013741632</v>
      </c>
      <c r="D8" s="690">
        <f>6249806.78940935+21387942+26155694</f>
        <v>53793442.789409354</v>
      </c>
      <c r="E8" s="629">
        <v>20782.349000000006</v>
      </c>
      <c r="F8" s="629">
        <v>120933.90379999997</v>
      </c>
      <c r="G8" s="629"/>
      <c r="H8" s="629">
        <v>13695.880000000001</v>
      </c>
      <c r="I8" s="684">
        <f t="shared" si="0"/>
        <v>53674643.964623094</v>
      </c>
    </row>
    <row r="9" spans="1:9">
      <c r="A9" s="529">
        <v>3</v>
      </c>
      <c r="B9" s="538" t="s">
        <v>564</v>
      </c>
      <c r="C9" s="629">
        <v>128817.28583726881</v>
      </c>
      <c r="D9" s="629">
        <v>5518561.6338058701</v>
      </c>
      <c r="E9" s="629">
        <v>77741.104000000021</v>
      </c>
      <c r="F9" s="629">
        <v>104865.18959999994</v>
      </c>
      <c r="G9" s="629"/>
      <c r="H9" s="629">
        <v>30676.670000000002</v>
      </c>
      <c r="I9" s="684">
        <f t="shared" si="0"/>
        <v>5464772.6260431381</v>
      </c>
    </row>
    <row r="10" spans="1:9">
      <c r="A10" s="529">
        <v>4</v>
      </c>
      <c r="B10" s="538" t="s">
        <v>565</v>
      </c>
      <c r="C10" s="629">
        <v>289371.25853649044</v>
      </c>
      <c r="D10" s="629">
        <v>3418859.9003117257</v>
      </c>
      <c r="E10" s="629">
        <v>88088.91</v>
      </c>
      <c r="F10" s="629">
        <v>67793.302400000015</v>
      </c>
      <c r="G10" s="629"/>
      <c r="H10" s="629"/>
      <c r="I10" s="684">
        <f t="shared" si="0"/>
        <v>3552348.9464482162</v>
      </c>
    </row>
    <row r="11" spans="1:9">
      <c r="A11" s="529">
        <v>5</v>
      </c>
      <c r="B11" s="538" t="s">
        <v>566</v>
      </c>
      <c r="C11" s="629">
        <v>831805.21067924344</v>
      </c>
      <c r="D11" s="629">
        <v>17059035.554122701</v>
      </c>
      <c r="E11" s="629">
        <v>1045368.0753000003</v>
      </c>
      <c r="F11" s="629">
        <v>260320.09740000017</v>
      </c>
      <c r="G11" s="629"/>
      <c r="H11" s="629">
        <v>46020.84</v>
      </c>
      <c r="I11" s="684">
        <f t="shared" si="0"/>
        <v>16585152.592101945</v>
      </c>
    </row>
    <row r="12" spans="1:9">
      <c r="A12" s="529">
        <v>6</v>
      </c>
      <c r="B12" s="538" t="s">
        <v>567</v>
      </c>
      <c r="C12" s="629">
        <v>243760.91051924592</v>
      </c>
      <c r="D12" s="629">
        <v>5880925.8352650767</v>
      </c>
      <c r="E12" s="629">
        <v>148867.68199999994</v>
      </c>
      <c r="F12" s="629">
        <v>110882.71019999988</v>
      </c>
      <c r="G12" s="629"/>
      <c r="H12" s="629">
        <v>46489.179999999993</v>
      </c>
      <c r="I12" s="684">
        <f t="shared" si="0"/>
        <v>5864936.3535843231</v>
      </c>
    </row>
    <row r="13" spans="1:9">
      <c r="A13" s="529">
        <v>7</v>
      </c>
      <c r="B13" s="538" t="s">
        <v>568</v>
      </c>
      <c r="C13" s="629">
        <v>84347.531052186983</v>
      </c>
      <c r="D13" s="629">
        <v>4282168.5656794328</v>
      </c>
      <c r="E13" s="629">
        <v>55671.359300000004</v>
      </c>
      <c r="F13" s="629">
        <v>80606.913900000131</v>
      </c>
      <c r="G13" s="629"/>
      <c r="H13" s="629">
        <v>24303.46</v>
      </c>
      <c r="I13" s="684">
        <f t="shared" si="0"/>
        <v>4230237.8235316202</v>
      </c>
    </row>
    <row r="14" spans="1:9">
      <c r="A14" s="529">
        <v>8</v>
      </c>
      <c r="B14" s="538" t="s">
        <v>569</v>
      </c>
      <c r="C14" s="629">
        <v>5363711.2859497722</v>
      </c>
      <c r="D14" s="629">
        <v>116004415.68351857</v>
      </c>
      <c r="E14" s="629">
        <v>3056549.7874000007</v>
      </c>
      <c r="F14" s="629">
        <v>2162010.973299969</v>
      </c>
      <c r="G14" s="629"/>
      <c r="H14" s="629">
        <v>969790.99000000034</v>
      </c>
      <c r="I14" s="684">
        <f t="shared" si="0"/>
        <v>116149566.20876837</v>
      </c>
    </row>
    <row r="15" spans="1:9">
      <c r="A15" s="529">
        <v>9</v>
      </c>
      <c r="B15" s="538" t="s">
        <v>570</v>
      </c>
      <c r="C15" s="629">
        <v>846698.04317120812</v>
      </c>
      <c r="D15" s="629">
        <v>19409091.087607179</v>
      </c>
      <c r="E15" s="629">
        <v>608986.0792999994</v>
      </c>
      <c r="F15" s="629">
        <v>352628.56140000024</v>
      </c>
      <c r="G15" s="629"/>
      <c r="H15" s="629">
        <v>127644.3</v>
      </c>
      <c r="I15" s="684">
        <f t="shared" si="0"/>
        <v>19294174.490078386</v>
      </c>
    </row>
    <row r="16" spans="1:9">
      <c r="A16" s="529">
        <v>10</v>
      </c>
      <c r="B16" s="538" t="s">
        <v>571</v>
      </c>
      <c r="C16" s="629">
        <v>293255.08338963235</v>
      </c>
      <c r="D16" s="629">
        <v>6929657.4301285557</v>
      </c>
      <c r="E16" s="629">
        <v>204151.84689999997</v>
      </c>
      <c r="F16" s="629">
        <v>123257.47659999995</v>
      </c>
      <c r="G16" s="629"/>
      <c r="H16" s="629">
        <v>34968.100000000006</v>
      </c>
      <c r="I16" s="684">
        <f t="shared" si="0"/>
        <v>6895503.1900181882</v>
      </c>
    </row>
    <row r="17" spans="1:10">
      <c r="A17" s="529">
        <v>11</v>
      </c>
      <c r="B17" s="538" t="s">
        <v>572</v>
      </c>
      <c r="C17" s="629">
        <v>391096.14630025247</v>
      </c>
      <c r="D17" s="629">
        <v>6309115.8401005333</v>
      </c>
      <c r="E17" s="629">
        <v>248615.83139999988</v>
      </c>
      <c r="F17" s="629">
        <v>114942.30679999992</v>
      </c>
      <c r="G17" s="629"/>
      <c r="H17" s="629">
        <v>52105.74</v>
      </c>
      <c r="I17" s="684">
        <f t="shared" si="0"/>
        <v>6336653.8482007859</v>
      </c>
    </row>
    <row r="18" spans="1:10">
      <c r="A18" s="529">
        <v>12</v>
      </c>
      <c r="B18" s="538" t="s">
        <v>573</v>
      </c>
      <c r="C18" s="629">
        <v>3490055.3299834258</v>
      </c>
      <c r="D18" s="629">
        <v>82853622.191045895</v>
      </c>
      <c r="E18" s="629">
        <v>2015645.3859999988</v>
      </c>
      <c r="F18" s="629">
        <v>1524037.2645999906</v>
      </c>
      <c r="G18" s="629"/>
      <c r="H18" s="629">
        <v>607056.44000000029</v>
      </c>
      <c r="I18" s="684">
        <f t="shared" si="0"/>
        <v>82803994.870429337</v>
      </c>
    </row>
    <row r="19" spans="1:10">
      <c r="A19" s="529">
        <v>13</v>
      </c>
      <c r="B19" s="538" t="s">
        <v>574</v>
      </c>
      <c r="C19" s="629">
        <v>656180.49298377009</v>
      </c>
      <c r="D19" s="629">
        <v>14200954.983561585</v>
      </c>
      <c r="E19" s="629">
        <v>404701.3781999994</v>
      </c>
      <c r="F19" s="629">
        <v>261691.01320000013</v>
      </c>
      <c r="G19" s="629"/>
      <c r="H19" s="629">
        <v>123769.70000000001</v>
      </c>
      <c r="I19" s="684">
        <f t="shared" si="0"/>
        <v>14190743.085145354</v>
      </c>
    </row>
    <row r="20" spans="1:10">
      <c r="A20" s="529">
        <v>14</v>
      </c>
      <c r="B20" s="538" t="s">
        <v>575</v>
      </c>
      <c r="C20" s="629">
        <v>2969004.9847431057</v>
      </c>
      <c r="D20" s="629">
        <v>47398298.687629059</v>
      </c>
      <c r="E20" s="629">
        <v>3365385.8576000007</v>
      </c>
      <c r="F20" s="629">
        <v>624959.65229999926</v>
      </c>
      <c r="G20" s="629"/>
      <c r="H20" s="629">
        <v>216101.72000000003</v>
      </c>
      <c r="I20" s="684">
        <f t="shared" si="0"/>
        <v>46376958.162472159</v>
      </c>
    </row>
    <row r="21" spans="1:10">
      <c r="A21" s="529">
        <v>15</v>
      </c>
      <c r="B21" s="538" t="s">
        <v>576</v>
      </c>
      <c r="C21" s="629">
        <v>4877535.5874729324</v>
      </c>
      <c r="D21" s="629">
        <v>20359613.326794244</v>
      </c>
      <c r="E21" s="629">
        <v>3042299.6932000024</v>
      </c>
      <c r="F21" s="629">
        <v>309918.87420000124</v>
      </c>
      <c r="G21" s="629"/>
      <c r="H21" s="629">
        <v>174519.62999999998</v>
      </c>
      <c r="I21" s="684">
        <f t="shared" si="0"/>
        <v>21884930.34686717</v>
      </c>
    </row>
    <row r="22" spans="1:10">
      <c r="A22" s="529">
        <v>16</v>
      </c>
      <c r="B22" s="538" t="s">
        <v>577</v>
      </c>
      <c r="C22" s="629">
        <v>156933.93730719859</v>
      </c>
      <c r="D22" s="629">
        <v>6048211.0153942406</v>
      </c>
      <c r="E22" s="629">
        <v>127290.31240000002</v>
      </c>
      <c r="F22" s="629">
        <v>109526.3998</v>
      </c>
      <c r="G22" s="629"/>
      <c r="H22" s="629">
        <v>88694.42</v>
      </c>
      <c r="I22" s="684">
        <f t="shared" si="0"/>
        <v>5968328.2405014392</v>
      </c>
    </row>
    <row r="23" spans="1:10">
      <c r="A23" s="529">
        <v>17</v>
      </c>
      <c r="B23" s="538" t="s">
        <v>578</v>
      </c>
      <c r="C23" s="629">
        <v>8111.2582039996605</v>
      </c>
      <c r="D23" s="629">
        <v>796712.21536693885</v>
      </c>
      <c r="E23" s="629">
        <v>9706.6779999999999</v>
      </c>
      <c r="F23" s="629">
        <v>15101.808699999998</v>
      </c>
      <c r="G23" s="629"/>
      <c r="H23" s="629">
        <v>1109.04</v>
      </c>
      <c r="I23" s="684">
        <f t="shared" si="0"/>
        <v>780014.98687093845</v>
      </c>
    </row>
    <row r="24" spans="1:10">
      <c r="A24" s="529">
        <v>18</v>
      </c>
      <c r="B24" s="538" t="s">
        <v>579</v>
      </c>
      <c r="C24" s="629">
        <v>55649.435642317316</v>
      </c>
      <c r="D24" s="629">
        <v>2452220.6281964774</v>
      </c>
      <c r="E24" s="629">
        <v>26976.822000000004</v>
      </c>
      <c r="F24" s="629">
        <v>46815.283799999976</v>
      </c>
      <c r="G24" s="629"/>
      <c r="H24" s="629">
        <v>20391.259999999998</v>
      </c>
      <c r="I24" s="684">
        <f t="shared" si="0"/>
        <v>2434077.9580387948</v>
      </c>
    </row>
    <row r="25" spans="1:10">
      <c r="A25" s="529">
        <v>19</v>
      </c>
      <c r="B25" s="538" t="s">
        <v>580</v>
      </c>
      <c r="C25" s="629">
        <v>216706.06030702894</v>
      </c>
      <c r="D25" s="629">
        <v>6395941.6751187136</v>
      </c>
      <c r="E25" s="629">
        <v>138217.427</v>
      </c>
      <c r="F25" s="629">
        <v>120995.18179999999</v>
      </c>
      <c r="G25" s="629"/>
      <c r="H25" s="629">
        <v>18544.68</v>
      </c>
      <c r="I25" s="684">
        <f t="shared" si="0"/>
        <v>6353435.1266257418</v>
      </c>
    </row>
    <row r="26" spans="1:10">
      <c r="A26" s="529">
        <v>20</v>
      </c>
      <c r="B26" s="538" t="s">
        <v>581</v>
      </c>
      <c r="C26" s="629">
        <v>222261.59700065467</v>
      </c>
      <c r="D26" s="629">
        <v>11669636.024523944</v>
      </c>
      <c r="E26" s="629">
        <v>138978.10669999995</v>
      </c>
      <c r="F26" s="629">
        <v>221105.74960000039</v>
      </c>
      <c r="G26" s="629"/>
      <c r="H26" s="629">
        <v>15990.14</v>
      </c>
      <c r="I26" s="684">
        <f t="shared" si="0"/>
        <v>11531813.765224598</v>
      </c>
      <c r="J26" s="539"/>
    </row>
    <row r="27" spans="1:10">
      <c r="A27" s="529">
        <v>21</v>
      </c>
      <c r="B27" s="538" t="s">
        <v>582</v>
      </c>
      <c r="C27" s="629">
        <v>34391.751199869737</v>
      </c>
      <c r="D27" s="629">
        <v>2377044.8402807009</v>
      </c>
      <c r="E27" s="629">
        <v>26473.036999999997</v>
      </c>
      <c r="F27" s="629">
        <v>44591.692699999971</v>
      </c>
      <c r="G27" s="629"/>
      <c r="H27" s="629">
        <v>4040.62</v>
      </c>
      <c r="I27" s="684">
        <f t="shared" si="0"/>
        <v>2340371.8617805708</v>
      </c>
      <c r="J27" s="539"/>
    </row>
    <row r="28" spans="1:10">
      <c r="A28" s="529">
        <v>22</v>
      </c>
      <c r="B28" s="538" t="s">
        <v>583</v>
      </c>
      <c r="C28" s="629">
        <v>29245.626500132443</v>
      </c>
      <c r="D28" s="629">
        <v>502068.21703870379</v>
      </c>
      <c r="E28" s="629">
        <v>12975.450000000003</v>
      </c>
      <c r="F28" s="629">
        <v>9558.3379999999997</v>
      </c>
      <c r="G28" s="629"/>
      <c r="H28" s="629">
        <v>1274.08</v>
      </c>
      <c r="I28" s="684">
        <f t="shared" si="0"/>
        <v>508780.05553883623</v>
      </c>
      <c r="J28" s="539"/>
    </row>
    <row r="29" spans="1:10">
      <c r="A29" s="529">
        <v>23</v>
      </c>
      <c r="B29" s="538" t="s">
        <v>584</v>
      </c>
      <c r="C29" s="629">
        <v>14568159.396308482</v>
      </c>
      <c r="D29" s="629">
        <v>286136142.5256964</v>
      </c>
      <c r="E29" s="629">
        <v>8671229.8661999982</v>
      </c>
      <c r="F29" s="629">
        <v>5235250.4078001576</v>
      </c>
      <c r="G29" s="629"/>
      <c r="H29" s="629">
        <v>3018488.9769179942</v>
      </c>
      <c r="I29" s="684">
        <f t="shared" si="0"/>
        <v>286797821.64800477</v>
      </c>
      <c r="J29" s="539"/>
    </row>
    <row r="30" spans="1:10">
      <c r="A30" s="529">
        <v>24</v>
      </c>
      <c r="B30" s="538" t="s">
        <v>585</v>
      </c>
      <c r="C30" s="629">
        <v>18362598.775984205</v>
      </c>
      <c r="D30" s="629">
        <v>586805363.45903718</v>
      </c>
      <c r="E30" s="629">
        <v>11480110.287299996</v>
      </c>
      <c r="F30" s="629">
        <v>10910205.496100731</v>
      </c>
      <c r="G30" s="629"/>
      <c r="H30" s="629">
        <v>3478858.7371699987</v>
      </c>
      <c r="I30" s="684">
        <f t="shared" si="0"/>
        <v>582777646.45162058</v>
      </c>
      <c r="J30" s="539"/>
    </row>
    <row r="31" spans="1:10">
      <c r="A31" s="529">
        <v>25</v>
      </c>
      <c r="B31" s="538" t="s">
        <v>586</v>
      </c>
      <c r="C31" s="629">
        <v>5882672.5241098329</v>
      </c>
      <c r="D31" s="630">
        <v>122528445.44680771</v>
      </c>
      <c r="E31" s="629">
        <v>3674618.0467000082</v>
      </c>
      <c r="F31" s="629">
        <v>2202074.7965000598</v>
      </c>
      <c r="G31" s="629"/>
      <c r="H31" s="630">
        <v>1012585.9300000018</v>
      </c>
      <c r="I31" s="684">
        <f t="shared" si="0"/>
        <v>122534425.12771749</v>
      </c>
      <c r="J31" s="539"/>
    </row>
    <row r="32" spans="1:10">
      <c r="A32" s="529">
        <v>26</v>
      </c>
      <c r="B32" s="538" t="s">
        <v>587</v>
      </c>
      <c r="C32" s="629">
        <v>3159213.8560065231</v>
      </c>
      <c r="D32" s="630">
        <v>84091575.462816119</v>
      </c>
      <c r="E32" s="629">
        <v>1951276.4474000018</v>
      </c>
      <c r="F32" s="629">
        <v>1572110.1829999662</v>
      </c>
      <c r="G32" s="629"/>
      <c r="H32" s="630">
        <v>739773.7100000002</v>
      </c>
      <c r="I32" s="684">
        <f t="shared" si="0"/>
        <v>83727402.688422665</v>
      </c>
      <c r="J32" s="539"/>
    </row>
    <row r="33" spans="1:10">
      <c r="A33" s="529">
        <v>27</v>
      </c>
      <c r="B33" s="530" t="s">
        <v>165</v>
      </c>
      <c r="C33" s="629">
        <v>6264149</v>
      </c>
      <c r="D33" s="630">
        <v>142584970.66999999</v>
      </c>
      <c r="E33" s="629">
        <v>3424676</v>
      </c>
      <c r="F33" s="629"/>
      <c r="G33" s="629"/>
      <c r="H33" s="629">
        <v>69600</v>
      </c>
      <c r="I33" s="684">
        <f t="shared" si="0"/>
        <v>145424443.66999999</v>
      </c>
      <c r="J33" s="539"/>
    </row>
    <row r="34" spans="1:10">
      <c r="A34" s="529">
        <v>28</v>
      </c>
      <c r="B34" s="540" t="s">
        <v>68</v>
      </c>
      <c r="C34" s="633">
        <f>SUM(C7:C33)</f>
        <v>69901560.571884245</v>
      </c>
      <c r="D34" s="633">
        <f t="shared" ref="D34:H34" si="1">SUM(D7:D33)</f>
        <v>1788259415.425828</v>
      </c>
      <c r="E34" s="633">
        <f t="shared" si="1"/>
        <v>44321035.287300006</v>
      </c>
      <c r="F34" s="633">
        <f t="shared" si="1"/>
        <v>27008430.235300876</v>
      </c>
      <c r="G34" s="521">
        <f t="shared" si="1"/>
        <v>0</v>
      </c>
      <c r="H34" s="633">
        <f t="shared" si="1"/>
        <v>11000212.184087997</v>
      </c>
      <c r="I34" s="689">
        <f t="shared" si="0"/>
        <v>1786831510.4751112</v>
      </c>
      <c r="J34" s="539"/>
    </row>
    <row r="35" spans="1:10">
      <c r="A35" s="539"/>
      <c r="B35" s="539"/>
      <c r="C35" s="539"/>
      <c r="D35" s="539"/>
      <c r="E35" s="539"/>
      <c r="F35" s="539"/>
      <c r="G35" s="539"/>
      <c r="H35" s="685"/>
      <c r="I35" s="539"/>
      <c r="J35" s="539"/>
    </row>
    <row r="36" spans="1:10">
      <c r="A36" s="539"/>
      <c r="B36" s="541"/>
      <c r="C36" s="539"/>
      <c r="D36" s="539"/>
      <c r="E36" s="539"/>
      <c r="F36" s="539"/>
      <c r="G36" s="539"/>
      <c r="H36" s="539"/>
      <c r="I36" s="539"/>
      <c r="J36" s="539"/>
    </row>
    <row r="37" spans="1:10">
      <c r="A37" s="539"/>
      <c r="B37" s="539"/>
      <c r="C37" s="539"/>
      <c r="D37" s="539"/>
      <c r="E37" s="539"/>
      <c r="F37" s="539"/>
      <c r="G37" s="539"/>
      <c r="H37" s="539"/>
      <c r="I37" s="539"/>
      <c r="J37" s="539"/>
    </row>
    <row r="38" spans="1:10">
      <c r="A38" s="539"/>
      <c r="B38" s="539"/>
      <c r="C38" s="539"/>
      <c r="D38" s="539"/>
      <c r="E38" s="539"/>
      <c r="F38" s="539"/>
      <c r="G38" s="539"/>
      <c r="H38" s="539"/>
      <c r="I38" s="539"/>
      <c r="J38" s="539"/>
    </row>
    <row r="39" spans="1:10">
      <c r="A39" s="539"/>
      <c r="B39" s="539"/>
      <c r="C39" s="539"/>
      <c r="D39" s="539"/>
      <c r="E39" s="539"/>
      <c r="F39" s="539"/>
      <c r="G39" s="539"/>
      <c r="H39" s="539"/>
      <c r="I39" s="539"/>
      <c r="J39" s="539"/>
    </row>
    <row r="40" spans="1:10">
      <c r="A40" s="539"/>
      <c r="B40" s="539"/>
      <c r="C40" s="539"/>
      <c r="D40" s="539"/>
      <c r="E40" s="539"/>
      <c r="F40" s="539"/>
      <c r="G40" s="539"/>
      <c r="H40" s="539"/>
      <c r="I40" s="539"/>
      <c r="J40" s="539"/>
    </row>
    <row r="41" spans="1:10">
      <c r="A41" s="539"/>
      <c r="B41" s="539"/>
      <c r="C41" s="539"/>
      <c r="D41" s="539"/>
      <c r="E41" s="539"/>
      <c r="F41" s="539"/>
      <c r="G41" s="539"/>
      <c r="H41" s="539"/>
      <c r="I41" s="539"/>
      <c r="J41" s="539"/>
    </row>
    <row r="42" spans="1:10">
      <c r="A42" s="542"/>
      <c r="B42" s="542"/>
      <c r="C42" s="539"/>
      <c r="D42" s="539"/>
      <c r="E42" s="539"/>
      <c r="F42" s="539"/>
      <c r="G42" s="539"/>
      <c r="H42" s="539"/>
      <c r="I42" s="539"/>
      <c r="J42" s="539"/>
    </row>
    <row r="43" spans="1:10">
      <c r="A43" s="542"/>
      <c r="B43" s="542"/>
      <c r="C43" s="539"/>
      <c r="D43" s="539"/>
      <c r="E43" s="539"/>
      <c r="F43" s="539"/>
      <c r="G43" s="539"/>
      <c r="H43" s="539"/>
      <c r="I43" s="539"/>
      <c r="J43" s="539"/>
    </row>
    <row r="44" spans="1:10">
      <c r="A44" s="539"/>
      <c r="B44" s="543"/>
      <c r="C44" s="539"/>
      <c r="D44" s="539"/>
      <c r="E44" s="539"/>
      <c r="F44" s="539"/>
      <c r="G44" s="539"/>
      <c r="H44" s="539"/>
      <c r="I44" s="539"/>
      <c r="J44" s="539"/>
    </row>
    <row r="45" spans="1:10">
      <c r="A45" s="539"/>
      <c r="B45" s="543"/>
      <c r="C45" s="539"/>
      <c r="D45" s="539"/>
      <c r="E45" s="539"/>
      <c r="F45" s="539"/>
      <c r="G45" s="539"/>
      <c r="H45" s="539"/>
      <c r="I45" s="539"/>
      <c r="J45" s="539"/>
    </row>
    <row r="46" spans="1:10">
      <c r="A46" s="539"/>
      <c r="B46" s="543"/>
      <c r="C46" s="539"/>
      <c r="D46" s="539"/>
      <c r="E46" s="539"/>
      <c r="F46" s="539"/>
      <c r="G46" s="539"/>
      <c r="H46" s="539"/>
      <c r="I46" s="539"/>
      <c r="J46" s="539"/>
    </row>
    <row r="47" spans="1:10">
      <c r="A47" s="539"/>
      <c r="B47" s="539"/>
      <c r="C47" s="539"/>
      <c r="D47" s="539"/>
      <c r="E47" s="539"/>
      <c r="F47" s="539"/>
      <c r="G47" s="539"/>
      <c r="H47" s="539"/>
      <c r="I47" s="539"/>
      <c r="J47" s="53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13" sqref="C13:C17"/>
    </sheetView>
  </sheetViews>
  <sheetFormatPr defaultColWidth="9.140625" defaultRowHeight="12.75"/>
  <cols>
    <col min="1" max="1" width="11.85546875" style="514" bestFit="1" customWidth="1"/>
    <col min="2" max="2" width="108" style="514" bestFit="1" customWidth="1"/>
    <col min="3" max="3" width="35.5703125" style="514" customWidth="1"/>
    <col min="4" max="4" width="38.42578125" style="537" customWidth="1"/>
    <col min="5" max="16384" width="9.140625" style="514"/>
  </cols>
  <sheetData>
    <row r="1" spans="1:4" ht="13.5">
      <c r="A1" s="513" t="s">
        <v>188</v>
      </c>
      <c r="B1" s="431" t="str">
        <f>Info!C2</f>
        <v>სს "კრედო ბანკი"</v>
      </c>
      <c r="D1" s="514"/>
    </row>
    <row r="2" spans="1:4">
      <c r="A2" s="515" t="s">
        <v>189</v>
      </c>
      <c r="B2" s="517">
        <f>'1. key ratios'!B2</f>
        <v>44651</v>
      </c>
      <c r="D2" s="514"/>
    </row>
    <row r="3" spans="1:4">
      <c r="A3" s="516" t="s">
        <v>588</v>
      </c>
      <c r="D3" s="514"/>
    </row>
    <row r="5" spans="1:4" ht="51">
      <c r="A5" s="771" t="s">
        <v>589</v>
      </c>
      <c r="B5" s="771"/>
      <c r="C5" s="544" t="s">
        <v>590</v>
      </c>
      <c r="D5" s="587" t="s">
        <v>591</v>
      </c>
    </row>
    <row r="6" spans="1:4">
      <c r="A6" s="545">
        <v>1</v>
      </c>
      <c r="B6" s="546" t="s">
        <v>592</v>
      </c>
      <c r="C6" s="629">
        <v>64175272.044770032</v>
      </c>
      <c r="D6" s="529"/>
    </row>
    <row r="7" spans="1:4">
      <c r="A7" s="547">
        <v>2</v>
      </c>
      <c r="B7" s="546" t="s">
        <v>593</v>
      </c>
      <c r="C7" s="628">
        <f>SUM(C8:C11)</f>
        <v>27697202.334248133</v>
      </c>
      <c r="D7" s="529">
        <f>SUM(D8:D11)</f>
        <v>0</v>
      </c>
    </row>
    <row r="8" spans="1:4">
      <c r="A8" s="548">
        <v>2.1</v>
      </c>
      <c r="B8" s="549" t="s">
        <v>594</v>
      </c>
      <c r="C8" s="629">
        <v>7663215.8543997277</v>
      </c>
      <c r="D8" s="529"/>
    </row>
    <row r="9" spans="1:4">
      <c r="A9" s="548">
        <v>2.2000000000000002</v>
      </c>
      <c r="B9" s="549" t="s">
        <v>595</v>
      </c>
      <c r="C9" s="629">
        <v>18204912.068345822</v>
      </c>
      <c r="D9" s="529"/>
    </row>
    <row r="10" spans="1:4">
      <c r="A10" s="548">
        <v>2.2999999999999998</v>
      </c>
      <c r="B10" s="549" t="s">
        <v>596</v>
      </c>
      <c r="C10" s="630">
        <v>1829074.4115025855</v>
      </c>
      <c r="D10" s="529"/>
    </row>
    <row r="11" spans="1:4">
      <c r="A11" s="548">
        <v>2.4</v>
      </c>
      <c r="B11" s="549" t="s">
        <v>597</v>
      </c>
      <c r="C11" s="629"/>
      <c r="D11" s="529"/>
    </row>
    <row r="12" spans="1:4">
      <c r="A12" s="545">
        <v>3</v>
      </c>
      <c r="B12" s="546" t="s">
        <v>598</v>
      </c>
      <c r="C12" s="628">
        <f>SUM(C13:C18)</f>
        <v>23967685.550347861</v>
      </c>
      <c r="D12" s="529">
        <f>SUM(D13:D18)</f>
        <v>0</v>
      </c>
    </row>
    <row r="13" spans="1:4">
      <c r="A13" s="548">
        <v>3.1</v>
      </c>
      <c r="B13" s="549" t="s">
        <v>599</v>
      </c>
      <c r="C13" s="629">
        <v>10930612.184088012</v>
      </c>
      <c r="D13" s="529"/>
    </row>
    <row r="14" spans="1:4">
      <c r="A14" s="548">
        <v>3.2</v>
      </c>
      <c r="B14" s="549" t="s">
        <v>600</v>
      </c>
      <c r="C14" s="629">
        <v>6293560.1704464182</v>
      </c>
      <c r="D14" s="529"/>
    </row>
    <row r="15" spans="1:4">
      <c r="A15" s="548">
        <v>3.3</v>
      </c>
      <c r="B15" s="549" t="s">
        <v>601</v>
      </c>
      <c r="C15" s="629">
        <v>4806445.4269944103</v>
      </c>
      <c r="D15" s="529"/>
    </row>
    <row r="16" spans="1:4">
      <c r="A16" s="548">
        <v>3.4</v>
      </c>
      <c r="B16" s="549" t="s">
        <v>602</v>
      </c>
      <c r="C16" s="629"/>
      <c r="D16" s="529"/>
    </row>
    <row r="17" spans="1:4">
      <c r="A17" s="547">
        <v>3.5</v>
      </c>
      <c r="B17" s="549" t="s">
        <v>603</v>
      </c>
      <c r="C17" s="630">
        <v>1937067.7688190199</v>
      </c>
      <c r="D17" s="529"/>
    </row>
    <row r="18" spans="1:4">
      <c r="A18" s="548">
        <v>3.6</v>
      </c>
      <c r="B18" s="549" t="s">
        <v>604</v>
      </c>
      <c r="C18" s="629"/>
      <c r="D18" s="529"/>
    </row>
    <row r="19" spans="1:4">
      <c r="A19" s="550">
        <v>4</v>
      </c>
      <c r="B19" s="546" t="s">
        <v>605</v>
      </c>
      <c r="C19" s="628">
        <f>C6+C7-C12</f>
        <v>67904788.828670293</v>
      </c>
      <c r="D19" s="521">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11" sqref="C11:C18"/>
    </sheetView>
  </sheetViews>
  <sheetFormatPr defaultColWidth="9.140625" defaultRowHeight="12.75"/>
  <cols>
    <col min="1" max="1" width="11.85546875" style="514" bestFit="1" customWidth="1"/>
    <col min="2" max="2" width="124.7109375" style="514" customWidth="1"/>
    <col min="3" max="3" width="21.5703125" style="514" customWidth="1"/>
    <col min="4" max="4" width="49.140625" style="537" customWidth="1"/>
    <col min="5" max="16384" width="9.140625" style="514"/>
  </cols>
  <sheetData>
    <row r="1" spans="1:4" ht="13.5">
      <c r="A1" s="513" t="s">
        <v>188</v>
      </c>
      <c r="B1" s="431" t="str">
        <f>Info!C2</f>
        <v>სს "კრედო ბანკი"</v>
      </c>
      <c r="D1" s="514"/>
    </row>
    <row r="2" spans="1:4">
      <c r="A2" s="515" t="s">
        <v>189</v>
      </c>
      <c r="B2" s="517">
        <f>'1. key ratios'!B2</f>
        <v>44651</v>
      </c>
      <c r="D2" s="514"/>
    </row>
    <row r="3" spans="1:4">
      <c r="A3" s="516" t="s">
        <v>606</v>
      </c>
      <c r="D3" s="514"/>
    </row>
    <row r="4" spans="1:4">
      <c r="A4" s="516"/>
      <c r="D4" s="514"/>
    </row>
    <row r="5" spans="1:4" ht="15" customHeight="1">
      <c r="A5" s="772" t="s">
        <v>607</v>
      </c>
      <c r="B5" s="773"/>
      <c r="C5" s="762" t="s">
        <v>608</v>
      </c>
      <c r="D5" s="776" t="s">
        <v>609</v>
      </c>
    </row>
    <row r="6" spans="1:4" ht="27" customHeight="1">
      <c r="A6" s="774"/>
      <c r="B6" s="775"/>
      <c r="C6" s="765"/>
      <c r="D6" s="776"/>
    </row>
    <row r="7" spans="1:4">
      <c r="A7" s="540">
        <v>1</v>
      </c>
      <c r="B7" s="521" t="s">
        <v>610</v>
      </c>
      <c r="C7" s="628">
        <v>57849055.360181868</v>
      </c>
      <c r="D7" s="551"/>
    </row>
    <row r="8" spans="1:4">
      <c r="A8" s="530">
        <v>2</v>
      </c>
      <c r="B8" s="530" t="s">
        <v>611</v>
      </c>
      <c r="C8" s="629">
        <v>20736264</v>
      </c>
      <c r="D8" s="551"/>
    </row>
    <row r="9" spans="1:4">
      <c r="A9" s="530">
        <v>3</v>
      </c>
      <c r="B9" s="552" t="s">
        <v>612</v>
      </c>
      <c r="C9" s="629">
        <v>326428.42707198695</v>
      </c>
      <c r="D9" s="551"/>
    </row>
    <row r="10" spans="1:4">
      <c r="A10" s="530">
        <v>4</v>
      </c>
      <c r="B10" s="530" t="s">
        <v>613</v>
      </c>
      <c r="C10" s="628">
        <f>SUM(C11:C18)</f>
        <v>15650481.416505437</v>
      </c>
      <c r="D10" s="551"/>
    </row>
    <row r="11" spans="1:4">
      <c r="A11" s="530">
        <v>5</v>
      </c>
      <c r="B11" s="553" t="s">
        <v>614</v>
      </c>
      <c r="C11" s="629"/>
      <c r="D11" s="551"/>
    </row>
    <row r="12" spans="1:4">
      <c r="A12" s="530">
        <v>6</v>
      </c>
      <c r="B12" s="553" t="s">
        <v>615</v>
      </c>
      <c r="C12" s="629"/>
      <c r="D12" s="551"/>
    </row>
    <row r="13" spans="1:4">
      <c r="A13" s="530">
        <v>7</v>
      </c>
      <c r="B13" s="553" t="s">
        <v>616</v>
      </c>
      <c r="C13" s="629">
        <v>4285924</v>
      </c>
      <c r="D13" s="551"/>
    </row>
    <row r="14" spans="1:4">
      <c r="A14" s="530">
        <v>8</v>
      </c>
      <c r="B14" s="553" t="s">
        <v>617</v>
      </c>
      <c r="C14" s="629"/>
      <c r="D14" s="530"/>
    </row>
    <row r="15" spans="1:4">
      <c r="A15" s="530">
        <v>9</v>
      </c>
      <c r="B15" s="553" t="s">
        <v>618</v>
      </c>
      <c r="C15" s="629"/>
      <c r="D15" s="530"/>
    </row>
    <row r="16" spans="1:4">
      <c r="A16" s="530">
        <v>10</v>
      </c>
      <c r="B16" s="553" t="s">
        <v>619</v>
      </c>
      <c r="C16" s="629">
        <v>10930612</v>
      </c>
      <c r="D16" s="551"/>
    </row>
    <row r="17" spans="1:4">
      <c r="A17" s="530">
        <v>11</v>
      </c>
      <c r="B17" s="553" t="s">
        <v>620</v>
      </c>
      <c r="C17" s="629"/>
      <c r="D17" s="530"/>
    </row>
    <row r="18" spans="1:4" ht="25.5">
      <c r="A18" s="530">
        <v>12</v>
      </c>
      <c r="B18" s="553" t="s">
        <v>621</v>
      </c>
      <c r="C18" s="629">
        <v>433945.416505437</v>
      </c>
      <c r="D18" s="551"/>
    </row>
    <row r="19" spans="1:4">
      <c r="A19" s="540">
        <v>13</v>
      </c>
      <c r="B19" s="554" t="s">
        <v>622</v>
      </c>
      <c r="C19" s="628">
        <f>C7+C8+C9-C10</f>
        <v>63261266.370748416</v>
      </c>
      <c r="D19" s="555"/>
    </row>
    <row r="22" spans="1:4">
      <c r="B22" s="513"/>
    </row>
    <row r="23" spans="1:4">
      <c r="B23" s="515"/>
    </row>
    <row r="24" spans="1:4">
      <c r="B24" s="51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5" zoomScaleNormal="75" workbookViewId="0">
      <selection activeCell="D8" sqref="D8:D14"/>
    </sheetView>
  </sheetViews>
  <sheetFormatPr defaultColWidth="9.140625" defaultRowHeight="12.75"/>
  <cols>
    <col min="1" max="1" width="11.85546875" style="514" bestFit="1" customWidth="1"/>
    <col min="2" max="2" width="80.7109375" style="514" customWidth="1"/>
    <col min="3" max="3" width="15.5703125" style="514" customWidth="1"/>
    <col min="4" max="5" width="22.28515625" style="514" customWidth="1"/>
    <col min="6" max="6" width="23.42578125" style="514" customWidth="1"/>
    <col min="7" max="14" width="22.28515625" style="514" customWidth="1"/>
    <col min="15" max="15" width="23.28515625" style="514" bestFit="1" customWidth="1"/>
    <col min="16" max="16" width="21.7109375" style="514" bestFit="1" customWidth="1"/>
    <col min="17" max="19" width="19" style="514" bestFit="1" customWidth="1"/>
    <col min="20" max="20" width="16.140625" style="514" customWidth="1"/>
    <col min="21" max="21" width="13.140625" style="514" bestFit="1" customWidth="1"/>
    <col min="22" max="22" width="20" style="514" customWidth="1"/>
    <col min="23" max="16384" width="9.140625" style="514"/>
  </cols>
  <sheetData>
    <row r="1" spans="1:22" ht="13.5">
      <c r="A1" s="513" t="s">
        <v>188</v>
      </c>
      <c r="B1" s="431" t="str">
        <f>Info!C2</f>
        <v>სს "კრედო ბანკი"</v>
      </c>
    </row>
    <row r="2" spans="1:22">
      <c r="A2" s="515" t="s">
        <v>189</v>
      </c>
      <c r="B2" s="517">
        <f>'1. key ratios'!B2</f>
        <v>44651</v>
      </c>
      <c r="C2" s="525"/>
    </row>
    <row r="3" spans="1:22">
      <c r="A3" s="516" t="s">
        <v>623</v>
      </c>
    </row>
    <row r="5" spans="1:22" ht="15" customHeight="1">
      <c r="A5" s="762" t="s">
        <v>624</v>
      </c>
      <c r="B5" s="764"/>
      <c r="C5" s="779" t="s">
        <v>625</v>
      </c>
      <c r="D5" s="780"/>
      <c r="E5" s="780"/>
      <c r="F5" s="780"/>
      <c r="G5" s="780"/>
      <c r="H5" s="780"/>
      <c r="I5" s="780"/>
      <c r="J5" s="780"/>
      <c r="K5" s="780"/>
      <c r="L5" s="780"/>
      <c r="M5" s="780"/>
      <c r="N5" s="780"/>
      <c r="O5" s="780"/>
      <c r="P5" s="780"/>
      <c r="Q5" s="780"/>
      <c r="R5" s="780"/>
      <c r="S5" s="780"/>
      <c r="T5" s="780"/>
      <c r="U5" s="781"/>
      <c r="V5" s="556"/>
    </row>
    <row r="6" spans="1:22">
      <c r="A6" s="777"/>
      <c r="B6" s="778"/>
      <c r="C6" s="782" t="s">
        <v>68</v>
      </c>
      <c r="D6" s="784" t="s">
        <v>626</v>
      </c>
      <c r="E6" s="784"/>
      <c r="F6" s="785"/>
      <c r="G6" s="786" t="s">
        <v>627</v>
      </c>
      <c r="H6" s="787"/>
      <c r="I6" s="787"/>
      <c r="J6" s="787"/>
      <c r="K6" s="788"/>
      <c r="L6" s="557"/>
      <c r="M6" s="789" t="s">
        <v>628</v>
      </c>
      <c r="N6" s="789"/>
      <c r="O6" s="769"/>
      <c r="P6" s="769"/>
      <c r="Q6" s="769"/>
      <c r="R6" s="769"/>
      <c r="S6" s="769"/>
      <c r="T6" s="769"/>
      <c r="U6" s="769"/>
      <c r="V6" s="558"/>
    </row>
    <row r="7" spans="1:22" ht="25.5">
      <c r="A7" s="765"/>
      <c r="B7" s="767"/>
      <c r="C7" s="783"/>
      <c r="D7" s="559"/>
      <c r="E7" s="527" t="s">
        <v>629</v>
      </c>
      <c r="F7" s="591" t="s">
        <v>630</v>
      </c>
      <c r="G7" s="525"/>
      <c r="H7" s="591" t="s">
        <v>629</v>
      </c>
      <c r="I7" s="527" t="s">
        <v>656</v>
      </c>
      <c r="J7" s="527" t="s">
        <v>631</v>
      </c>
      <c r="K7" s="591" t="s">
        <v>632</v>
      </c>
      <c r="L7" s="560"/>
      <c r="M7" s="578" t="s">
        <v>633</v>
      </c>
      <c r="N7" s="527" t="s">
        <v>631</v>
      </c>
      <c r="O7" s="527" t="s">
        <v>634</v>
      </c>
      <c r="P7" s="527" t="s">
        <v>635</v>
      </c>
      <c r="Q7" s="527" t="s">
        <v>636</v>
      </c>
      <c r="R7" s="527" t="s">
        <v>637</v>
      </c>
      <c r="S7" s="527" t="s">
        <v>638</v>
      </c>
      <c r="T7" s="561" t="s">
        <v>639</v>
      </c>
      <c r="U7" s="527" t="s">
        <v>640</v>
      </c>
      <c r="V7" s="556"/>
    </row>
    <row r="8" spans="1:22">
      <c r="A8" s="562">
        <v>1</v>
      </c>
      <c r="B8" s="521" t="s">
        <v>641</v>
      </c>
      <c r="C8" s="628">
        <f>D8+G8+L8</f>
        <v>1516808740.0244021</v>
      </c>
      <c r="D8" s="815">
        <v>1350421511.6290021</v>
      </c>
      <c r="E8" s="628">
        <v>5453230.8099999996</v>
      </c>
      <c r="F8" s="628">
        <v>336286</v>
      </c>
      <c r="G8" s="815">
        <v>103125961.46840011</v>
      </c>
      <c r="H8" s="628">
        <v>3672235.0549000055</v>
      </c>
      <c r="I8" s="628">
        <v>3646810.6099999952</v>
      </c>
      <c r="J8" s="628">
        <v>115947.17999999998</v>
      </c>
      <c r="K8" s="628">
        <v>52974.340000000011</v>
      </c>
      <c r="L8" s="815">
        <v>63261266.926999941</v>
      </c>
      <c r="M8" s="628">
        <v>4267035.4186000051</v>
      </c>
      <c r="N8" s="628">
        <v>6205830.8660000106</v>
      </c>
      <c r="O8" s="628">
        <v>13632537.195499919</v>
      </c>
      <c r="P8" s="628">
        <v>6508.2000000000007</v>
      </c>
      <c r="Q8" s="628"/>
      <c r="R8" s="628">
        <v>0</v>
      </c>
      <c r="S8" s="628">
        <v>0</v>
      </c>
      <c r="T8" s="628">
        <v>0</v>
      </c>
      <c r="U8" s="628">
        <v>12429724.693100004</v>
      </c>
      <c r="V8" s="539"/>
    </row>
    <row r="9" spans="1:22">
      <c r="A9" s="529">
        <v>1.1000000000000001</v>
      </c>
      <c r="B9" s="563" t="s">
        <v>642</v>
      </c>
      <c r="C9" s="628">
        <f t="shared" ref="C9:C18" si="0">D9+G9+L9</f>
        <v>0</v>
      </c>
      <c r="D9" s="630"/>
      <c r="E9" s="629"/>
      <c r="F9" s="629"/>
      <c r="G9" s="630"/>
      <c r="H9" s="629"/>
      <c r="I9" s="629"/>
      <c r="J9" s="629"/>
      <c r="K9" s="629"/>
      <c r="L9" s="630">
        <v>0</v>
      </c>
      <c r="M9" s="629"/>
      <c r="N9" s="629"/>
      <c r="O9" s="629"/>
      <c r="P9" s="629"/>
      <c r="Q9" s="628"/>
      <c r="R9" s="629"/>
      <c r="S9" s="629"/>
      <c r="T9" s="629"/>
      <c r="U9" s="629"/>
      <c r="V9" s="539"/>
    </row>
    <row r="10" spans="1:22">
      <c r="A10" s="529">
        <v>1.2</v>
      </c>
      <c r="B10" s="563" t="s">
        <v>643</v>
      </c>
      <c r="C10" s="628">
        <f t="shared" si="0"/>
        <v>0</v>
      </c>
      <c r="D10" s="630"/>
      <c r="E10" s="629"/>
      <c r="F10" s="629"/>
      <c r="G10" s="630"/>
      <c r="H10" s="629"/>
      <c r="I10" s="629"/>
      <c r="J10" s="629"/>
      <c r="K10" s="629"/>
      <c r="L10" s="630">
        <v>0</v>
      </c>
      <c r="M10" s="629"/>
      <c r="N10" s="629"/>
      <c r="O10" s="629"/>
      <c r="P10" s="629"/>
      <c r="Q10" s="628"/>
      <c r="R10" s="629"/>
      <c r="S10" s="629"/>
      <c r="T10" s="629"/>
      <c r="U10" s="629"/>
      <c r="V10" s="539"/>
    </row>
    <row r="11" spans="1:22">
      <c r="A11" s="529">
        <v>1.3</v>
      </c>
      <c r="B11" s="563" t="s">
        <v>644</v>
      </c>
      <c r="C11" s="628">
        <f t="shared" si="0"/>
        <v>0</v>
      </c>
      <c r="D11" s="630"/>
      <c r="E11" s="629"/>
      <c r="F11" s="629"/>
      <c r="G11" s="630"/>
      <c r="H11" s="629"/>
      <c r="I11" s="629"/>
      <c r="J11" s="629"/>
      <c r="K11" s="629"/>
      <c r="L11" s="630">
        <v>0</v>
      </c>
      <c r="M11" s="629"/>
      <c r="N11" s="629"/>
      <c r="O11" s="629"/>
      <c r="P11" s="629"/>
      <c r="Q11" s="628"/>
      <c r="R11" s="629"/>
      <c r="S11" s="629"/>
      <c r="T11" s="629"/>
      <c r="U11" s="629"/>
      <c r="V11" s="539"/>
    </row>
    <row r="12" spans="1:22">
      <c r="A12" s="529">
        <v>1.4</v>
      </c>
      <c r="B12" s="563" t="s">
        <v>645</v>
      </c>
      <c r="C12" s="628">
        <f t="shared" si="0"/>
        <v>0</v>
      </c>
      <c r="D12" s="630"/>
      <c r="E12" s="629"/>
      <c r="F12" s="629"/>
      <c r="G12" s="630"/>
      <c r="H12" s="629"/>
      <c r="I12" s="629"/>
      <c r="J12" s="629"/>
      <c r="K12" s="629"/>
      <c r="L12" s="630">
        <v>0</v>
      </c>
      <c r="M12" s="629"/>
      <c r="N12" s="629"/>
      <c r="O12" s="629"/>
      <c r="P12" s="629"/>
      <c r="Q12" s="628"/>
      <c r="R12" s="629"/>
      <c r="S12" s="629"/>
      <c r="T12" s="629"/>
      <c r="U12" s="629"/>
      <c r="V12" s="539"/>
    </row>
    <row r="13" spans="1:22">
      <c r="A13" s="529">
        <v>1.5</v>
      </c>
      <c r="B13" s="563" t="s">
        <v>646</v>
      </c>
      <c r="C13" s="628">
        <f t="shared" si="0"/>
        <v>61786442.404699996</v>
      </c>
      <c r="D13" s="630">
        <v>52870470.754699998</v>
      </c>
      <c r="E13" s="629">
        <v>64723.79</v>
      </c>
      <c r="F13" s="629"/>
      <c r="G13" s="630">
        <v>5934392.6216000011</v>
      </c>
      <c r="H13" s="629">
        <v>239111.2844</v>
      </c>
      <c r="I13" s="629">
        <v>103465.94</v>
      </c>
      <c r="J13" s="629"/>
      <c r="K13" s="629"/>
      <c r="L13" s="630">
        <v>2981579.0283999993</v>
      </c>
      <c r="M13" s="629">
        <v>34358.080000000002</v>
      </c>
      <c r="N13" s="629">
        <v>34623.040000000001</v>
      </c>
      <c r="O13" s="629">
        <v>126555.97000000002</v>
      </c>
      <c r="P13" s="629"/>
      <c r="Q13" s="628"/>
      <c r="R13" s="629"/>
      <c r="S13" s="629"/>
      <c r="T13" s="629"/>
      <c r="U13" s="630">
        <v>47443.185399999995</v>
      </c>
      <c r="V13" s="539"/>
    </row>
    <row r="14" spans="1:22">
      <c r="A14" s="529">
        <v>1.6</v>
      </c>
      <c r="B14" s="563" t="s">
        <v>647</v>
      </c>
      <c r="C14" s="628">
        <f t="shared" si="0"/>
        <v>1455022297.6197021</v>
      </c>
      <c r="D14" s="630">
        <v>1297551040.8743021</v>
      </c>
      <c r="E14" s="629">
        <v>5388507.0199999996</v>
      </c>
      <c r="F14" s="629">
        <v>336286</v>
      </c>
      <c r="G14" s="630">
        <v>97191568.846800104</v>
      </c>
      <c r="H14" s="629">
        <v>3433123.7705000052</v>
      </c>
      <c r="I14" s="629">
        <v>3543344.6699999953</v>
      </c>
      <c r="J14" s="629">
        <v>115947.17999999998</v>
      </c>
      <c r="K14" s="629">
        <v>52974.340000000011</v>
      </c>
      <c r="L14" s="630">
        <v>60279687.898599938</v>
      </c>
      <c r="M14" s="629">
        <v>4232677.338600005</v>
      </c>
      <c r="N14" s="629">
        <v>6171207.8260000106</v>
      </c>
      <c r="O14" s="629">
        <v>13505981.225499919</v>
      </c>
      <c r="P14" s="629">
        <v>6508.2000000000007</v>
      </c>
      <c r="Q14" s="628"/>
      <c r="R14" s="629"/>
      <c r="S14" s="629"/>
      <c r="T14" s="629"/>
      <c r="U14" s="630">
        <v>12382281.507700004</v>
      </c>
      <c r="V14" s="539"/>
    </row>
    <row r="15" spans="1:22">
      <c r="A15" s="562">
        <v>2</v>
      </c>
      <c r="B15" s="540" t="s">
        <v>648</v>
      </c>
      <c r="C15" s="628">
        <f t="shared" si="0"/>
        <v>50990422</v>
      </c>
      <c r="D15" s="628">
        <f>SUM(D16:D21)</f>
        <v>50990422</v>
      </c>
      <c r="E15" s="629"/>
      <c r="F15" s="629"/>
      <c r="G15" s="629"/>
      <c r="H15" s="629"/>
      <c r="I15" s="629"/>
      <c r="J15" s="629"/>
      <c r="K15" s="629"/>
      <c r="L15" s="629"/>
      <c r="M15" s="629"/>
      <c r="N15" s="629"/>
      <c r="O15" s="629"/>
      <c r="P15" s="629"/>
      <c r="Q15" s="629"/>
      <c r="R15" s="629"/>
      <c r="S15" s="629"/>
      <c r="T15" s="629"/>
      <c r="U15" s="629"/>
      <c r="V15" s="539"/>
    </row>
    <row r="16" spans="1:22">
      <c r="A16" s="529">
        <v>2.1</v>
      </c>
      <c r="B16" s="563" t="s">
        <v>642</v>
      </c>
      <c r="C16" s="628">
        <f t="shared" si="0"/>
        <v>0</v>
      </c>
      <c r="D16" s="629"/>
      <c r="E16" s="629"/>
      <c r="F16" s="629"/>
      <c r="G16" s="629"/>
      <c r="H16" s="629"/>
      <c r="I16" s="629"/>
      <c r="J16" s="629"/>
      <c r="K16" s="629"/>
      <c r="L16" s="629"/>
      <c r="M16" s="629"/>
      <c r="N16" s="629"/>
      <c r="O16" s="629"/>
      <c r="P16" s="629"/>
      <c r="Q16" s="629"/>
      <c r="R16" s="629"/>
      <c r="S16" s="629"/>
      <c r="T16" s="629"/>
      <c r="U16" s="629"/>
      <c r="V16" s="539"/>
    </row>
    <row r="17" spans="1:22">
      <c r="A17" s="529">
        <v>2.2000000000000002</v>
      </c>
      <c r="B17" s="563" t="s">
        <v>643</v>
      </c>
      <c r="C17" s="628">
        <f t="shared" si="0"/>
        <v>24990422</v>
      </c>
      <c r="D17" s="630">
        <v>24990422</v>
      </c>
      <c r="E17" s="629"/>
      <c r="F17" s="629"/>
      <c r="G17" s="629"/>
      <c r="H17" s="629"/>
      <c r="I17" s="629"/>
      <c r="J17" s="629"/>
      <c r="K17" s="629"/>
      <c r="L17" s="629"/>
      <c r="M17" s="629"/>
      <c r="N17" s="629"/>
      <c r="O17" s="629"/>
      <c r="P17" s="629"/>
      <c r="Q17" s="629"/>
      <c r="R17" s="629"/>
      <c r="S17" s="629"/>
      <c r="T17" s="629"/>
      <c r="U17" s="629"/>
      <c r="V17" s="539"/>
    </row>
    <row r="18" spans="1:22">
      <c r="A18" s="529">
        <v>2.2999999999999998</v>
      </c>
      <c r="B18" s="563" t="s">
        <v>644</v>
      </c>
      <c r="C18" s="628">
        <f t="shared" si="0"/>
        <v>26000000</v>
      </c>
      <c r="D18" s="629">
        <v>26000000</v>
      </c>
      <c r="E18" s="629"/>
      <c r="F18" s="629"/>
      <c r="G18" s="629"/>
      <c r="H18" s="629"/>
      <c r="I18" s="629"/>
      <c r="J18" s="629"/>
      <c r="K18" s="629"/>
      <c r="L18" s="629"/>
      <c r="M18" s="629"/>
      <c r="N18" s="629"/>
      <c r="O18" s="629"/>
      <c r="P18" s="629"/>
      <c r="Q18" s="629"/>
      <c r="R18" s="629"/>
      <c r="S18" s="629"/>
      <c r="T18" s="629"/>
      <c r="U18" s="629"/>
      <c r="V18" s="539"/>
    </row>
    <row r="19" spans="1:22">
      <c r="A19" s="529">
        <v>2.4</v>
      </c>
      <c r="B19" s="563" t="s">
        <v>645</v>
      </c>
      <c r="C19" s="639"/>
      <c r="D19" s="629"/>
      <c r="E19" s="629"/>
      <c r="F19" s="629"/>
      <c r="G19" s="629"/>
      <c r="H19" s="629"/>
      <c r="I19" s="629"/>
      <c r="J19" s="629"/>
      <c r="K19" s="629"/>
      <c r="L19" s="629"/>
      <c r="M19" s="629"/>
      <c r="N19" s="629"/>
      <c r="O19" s="629"/>
      <c r="P19" s="629"/>
      <c r="Q19" s="629"/>
      <c r="R19" s="629"/>
      <c r="S19" s="629"/>
      <c r="T19" s="629"/>
      <c r="U19" s="629"/>
      <c r="V19" s="539"/>
    </row>
    <row r="20" spans="1:22">
      <c r="A20" s="529">
        <v>2.5</v>
      </c>
      <c r="B20" s="563" t="s">
        <v>646</v>
      </c>
      <c r="C20" s="639"/>
      <c r="D20" s="629"/>
      <c r="E20" s="629"/>
      <c r="F20" s="629"/>
      <c r="G20" s="629"/>
      <c r="H20" s="629"/>
      <c r="I20" s="629"/>
      <c r="J20" s="629"/>
      <c r="K20" s="629"/>
      <c r="L20" s="629"/>
      <c r="M20" s="629"/>
      <c r="N20" s="629"/>
      <c r="O20" s="629"/>
      <c r="P20" s="629"/>
      <c r="Q20" s="629"/>
      <c r="R20" s="629"/>
      <c r="S20" s="629"/>
      <c r="T20" s="629"/>
      <c r="U20" s="629"/>
      <c r="V20" s="539"/>
    </row>
    <row r="21" spans="1:22">
      <c r="A21" s="529">
        <v>2.6</v>
      </c>
      <c r="B21" s="563" t="s">
        <v>647</v>
      </c>
      <c r="C21" s="639"/>
      <c r="D21" s="629"/>
      <c r="E21" s="629"/>
      <c r="F21" s="629"/>
      <c r="G21" s="629"/>
      <c r="H21" s="629"/>
      <c r="I21" s="629"/>
      <c r="J21" s="629"/>
      <c r="K21" s="629"/>
      <c r="L21" s="629"/>
      <c r="M21" s="629"/>
      <c r="N21" s="629"/>
      <c r="O21" s="629"/>
      <c r="P21" s="629"/>
      <c r="Q21" s="629"/>
      <c r="R21" s="629"/>
      <c r="S21" s="629"/>
      <c r="T21" s="629"/>
      <c r="U21" s="629"/>
      <c r="V21" s="539"/>
    </row>
    <row r="22" spans="1:22">
      <c r="A22" s="562">
        <v>3</v>
      </c>
      <c r="B22" s="521" t="s">
        <v>649</v>
      </c>
      <c r="C22" s="628">
        <f>SUM(C23:C28)</f>
        <v>34728427.93</v>
      </c>
      <c r="D22" s="629"/>
      <c r="E22" s="564"/>
      <c r="F22" s="564"/>
      <c r="G22" s="629"/>
      <c r="H22" s="564"/>
      <c r="I22" s="564"/>
      <c r="J22" s="564"/>
      <c r="K22" s="564"/>
      <c r="L22" s="529"/>
      <c r="M22" s="564"/>
      <c r="N22" s="564"/>
      <c r="O22" s="564"/>
      <c r="P22" s="564"/>
      <c r="Q22" s="564"/>
      <c r="R22" s="564"/>
      <c r="S22" s="564"/>
      <c r="T22" s="564"/>
      <c r="U22" s="529"/>
      <c r="V22" s="539"/>
    </row>
    <row r="23" spans="1:22">
      <c r="A23" s="529">
        <v>3.1</v>
      </c>
      <c r="B23" s="563" t="s">
        <v>642</v>
      </c>
      <c r="C23" s="639"/>
      <c r="D23" s="629"/>
      <c r="E23" s="564"/>
      <c r="F23" s="564"/>
      <c r="G23" s="629"/>
      <c r="H23" s="564"/>
      <c r="I23" s="564"/>
      <c r="J23" s="564"/>
      <c r="K23" s="564"/>
      <c r="L23" s="529"/>
      <c r="M23" s="564"/>
      <c r="N23" s="564"/>
      <c r="O23" s="564"/>
      <c r="P23" s="564"/>
      <c r="Q23" s="564"/>
      <c r="R23" s="564"/>
      <c r="S23" s="564"/>
      <c r="T23" s="564"/>
      <c r="U23" s="529"/>
      <c r="V23" s="539"/>
    </row>
    <row r="24" spans="1:22">
      <c r="A24" s="529">
        <v>3.2</v>
      </c>
      <c r="B24" s="563" t="s">
        <v>643</v>
      </c>
      <c r="C24" s="639"/>
      <c r="D24" s="629"/>
      <c r="E24" s="564"/>
      <c r="F24" s="564"/>
      <c r="G24" s="629"/>
      <c r="H24" s="564"/>
      <c r="I24" s="564"/>
      <c r="J24" s="564"/>
      <c r="K24" s="564"/>
      <c r="L24" s="529"/>
      <c r="M24" s="564"/>
      <c r="N24" s="564"/>
      <c r="O24" s="564"/>
      <c r="P24" s="564"/>
      <c r="Q24" s="564"/>
      <c r="R24" s="564"/>
      <c r="S24" s="564"/>
      <c r="T24" s="564"/>
      <c r="U24" s="529"/>
      <c r="V24" s="539"/>
    </row>
    <row r="25" spans="1:22">
      <c r="A25" s="529">
        <v>3.3</v>
      </c>
      <c r="B25" s="563" t="s">
        <v>644</v>
      </c>
      <c r="C25" s="639"/>
      <c r="D25" s="629"/>
      <c r="E25" s="564"/>
      <c r="F25" s="564"/>
      <c r="G25" s="629"/>
      <c r="H25" s="564"/>
      <c r="I25" s="564"/>
      <c r="J25" s="564"/>
      <c r="K25" s="564"/>
      <c r="L25" s="529"/>
      <c r="M25" s="564"/>
      <c r="N25" s="564"/>
      <c r="O25" s="564"/>
      <c r="P25" s="564"/>
      <c r="Q25" s="564"/>
      <c r="R25" s="564"/>
      <c r="S25" s="564"/>
      <c r="T25" s="564"/>
      <c r="U25" s="529"/>
      <c r="V25" s="539"/>
    </row>
    <row r="26" spans="1:22">
      <c r="A26" s="529">
        <v>3.4</v>
      </c>
      <c r="B26" s="563" t="s">
        <v>645</v>
      </c>
      <c r="C26" s="639"/>
      <c r="D26" s="629"/>
      <c r="E26" s="564"/>
      <c r="F26" s="564"/>
      <c r="G26" s="629"/>
      <c r="H26" s="564"/>
      <c r="I26" s="564"/>
      <c r="J26" s="564"/>
      <c r="K26" s="564"/>
      <c r="L26" s="529"/>
      <c r="M26" s="564"/>
      <c r="N26" s="564"/>
      <c r="O26" s="564"/>
      <c r="P26" s="564"/>
      <c r="Q26" s="564"/>
      <c r="R26" s="564"/>
      <c r="S26" s="564"/>
      <c r="T26" s="564"/>
      <c r="U26" s="529"/>
      <c r="V26" s="539"/>
    </row>
    <row r="27" spans="1:22">
      <c r="A27" s="529">
        <v>3.5</v>
      </c>
      <c r="B27" s="563" t="s">
        <v>646</v>
      </c>
      <c r="C27" s="639">
        <v>30000</v>
      </c>
      <c r="D27" s="629">
        <v>30000</v>
      </c>
      <c r="E27" s="564"/>
      <c r="F27" s="564"/>
      <c r="G27" s="629"/>
      <c r="H27" s="564"/>
      <c r="I27" s="564"/>
      <c r="J27" s="564"/>
      <c r="K27" s="564"/>
      <c r="L27" s="529"/>
      <c r="M27" s="564"/>
      <c r="N27" s="564"/>
      <c r="O27" s="564"/>
      <c r="P27" s="564"/>
      <c r="Q27" s="564"/>
      <c r="R27" s="564"/>
      <c r="S27" s="564"/>
      <c r="T27" s="564"/>
      <c r="U27" s="529"/>
      <c r="V27" s="539"/>
    </row>
    <row r="28" spans="1:22">
      <c r="A28" s="529">
        <v>3.6</v>
      </c>
      <c r="B28" s="563" t="s">
        <v>647</v>
      </c>
      <c r="C28" s="639">
        <v>34698427.93</v>
      </c>
      <c r="D28" s="629"/>
      <c r="E28" s="564"/>
      <c r="F28" s="564"/>
      <c r="G28" s="629"/>
      <c r="H28" s="564"/>
      <c r="I28" s="564"/>
      <c r="J28" s="564"/>
      <c r="K28" s="564"/>
      <c r="L28" s="529"/>
      <c r="M28" s="564"/>
      <c r="N28" s="564"/>
      <c r="O28" s="564"/>
      <c r="P28" s="564"/>
      <c r="Q28" s="564"/>
      <c r="R28" s="564"/>
      <c r="S28" s="564"/>
      <c r="T28" s="564"/>
      <c r="U28" s="529"/>
      <c r="V28" s="539"/>
    </row>
  </sheetData>
  <mergeCells count="6">
    <mergeCell ref="A5:B7"/>
    <mergeCell ref="C5:U5"/>
    <mergeCell ref="C6:C7"/>
    <mergeCell ref="D6:F6"/>
    <mergeCell ref="G6:K6"/>
    <mergeCell ref="M6:U6"/>
  </mergeCells>
  <pageMargins left="0.7" right="0.7" top="0.75" bottom="0.75" header="0.3" footer="0.3"/>
  <pageSetup orientation="portrait" r:id="rId1"/>
  <ignoredErrors>
    <ignoredError sqref="D15"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zoomScale="80" zoomScaleNormal="80" workbookViewId="0">
      <selection activeCell="Q23" sqref="Q23"/>
    </sheetView>
  </sheetViews>
  <sheetFormatPr defaultColWidth="9.140625" defaultRowHeight="12.75"/>
  <cols>
    <col min="1" max="1" width="11.85546875" style="514" bestFit="1" customWidth="1"/>
    <col min="2" max="2" width="90.28515625" style="514" bestFit="1" customWidth="1"/>
    <col min="3" max="3" width="20.140625" style="514" customWidth="1"/>
    <col min="4" max="4" width="22.28515625" style="514" customWidth="1"/>
    <col min="5" max="5" width="17.140625" style="514" customWidth="1"/>
    <col min="6" max="7" width="22.28515625" style="514" customWidth="1"/>
    <col min="8" max="8" width="17.140625" style="514" customWidth="1"/>
    <col min="9" max="14" width="22.28515625" style="514" customWidth="1"/>
    <col min="15" max="15" width="23.28515625" style="514" bestFit="1" customWidth="1"/>
    <col min="16" max="16" width="21.7109375" style="514" bestFit="1" customWidth="1"/>
    <col min="17" max="19" width="19" style="514" bestFit="1" customWidth="1"/>
    <col min="20" max="20" width="15.42578125" style="514" customWidth="1"/>
    <col min="21" max="21" width="20" style="514" customWidth="1"/>
    <col min="22" max="16384" width="9.140625" style="514"/>
  </cols>
  <sheetData>
    <row r="1" spans="1:21" ht="13.5">
      <c r="A1" s="513" t="s">
        <v>188</v>
      </c>
      <c r="B1" s="431" t="str">
        <f>Info!C2</f>
        <v>სს "კრედო ბანკი"</v>
      </c>
    </row>
    <row r="2" spans="1:21">
      <c r="A2" s="515" t="s">
        <v>189</v>
      </c>
      <c r="B2" s="517">
        <f>'1. key ratios'!B2</f>
        <v>44651</v>
      </c>
    </row>
    <row r="3" spans="1:21">
      <c r="A3" s="516" t="s">
        <v>650</v>
      </c>
      <c r="C3" s="517"/>
    </row>
    <row r="4" spans="1:21">
      <c r="A4" s="516"/>
      <c r="B4" s="517"/>
      <c r="C4" s="517"/>
    </row>
    <row r="5" spans="1:21" s="537" customFormat="1" ht="13.5" customHeight="1">
      <c r="A5" s="790" t="s">
        <v>651</v>
      </c>
      <c r="B5" s="791"/>
      <c r="C5" s="796" t="s">
        <v>652</v>
      </c>
      <c r="D5" s="797"/>
      <c r="E5" s="797"/>
      <c r="F5" s="797"/>
      <c r="G5" s="797"/>
      <c r="H5" s="797"/>
      <c r="I5" s="797"/>
      <c r="J5" s="797"/>
      <c r="K5" s="797"/>
      <c r="L5" s="797"/>
      <c r="M5" s="797"/>
      <c r="N5" s="797"/>
      <c r="O5" s="797"/>
      <c r="P5" s="797"/>
      <c r="Q5" s="797"/>
      <c r="R5" s="797"/>
      <c r="S5" s="797"/>
      <c r="T5" s="798"/>
      <c r="U5" s="592"/>
    </row>
    <row r="6" spans="1:21" s="537" customFormat="1">
      <c r="A6" s="792"/>
      <c r="B6" s="793"/>
      <c r="C6" s="776" t="s">
        <v>68</v>
      </c>
      <c r="D6" s="796" t="s">
        <v>653</v>
      </c>
      <c r="E6" s="797"/>
      <c r="F6" s="798"/>
      <c r="G6" s="796" t="s">
        <v>654</v>
      </c>
      <c r="H6" s="797"/>
      <c r="I6" s="797"/>
      <c r="J6" s="797"/>
      <c r="K6" s="798"/>
      <c r="L6" s="799" t="s">
        <v>655</v>
      </c>
      <c r="M6" s="800"/>
      <c r="N6" s="800"/>
      <c r="O6" s="800"/>
      <c r="P6" s="800"/>
      <c r="Q6" s="800"/>
      <c r="R6" s="800"/>
      <c r="S6" s="800"/>
      <c r="T6" s="801"/>
      <c r="U6" s="588"/>
    </row>
    <row r="7" spans="1:21" s="537" customFormat="1" ht="25.5">
      <c r="A7" s="794"/>
      <c r="B7" s="795"/>
      <c r="C7" s="776"/>
      <c r="E7" s="578" t="s">
        <v>629</v>
      </c>
      <c r="F7" s="591" t="s">
        <v>630</v>
      </c>
      <c r="H7" s="578" t="s">
        <v>629</v>
      </c>
      <c r="I7" s="591" t="s">
        <v>656</v>
      </c>
      <c r="J7" s="591" t="s">
        <v>631</v>
      </c>
      <c r="K7" s="591" t="s">
        <v>632</v>
      </c>
      <c r="L7" s="593"/>
      <c r="M7" s="578" t="s">
        <v>633</v>
      </c>
      <c r="N7" s="591" t="s">
        <v>631</v>
      </c>
      <c r="O7" s="591" t="s">
        <v>634</v>
      </c>
      <c r="P7" s="591" t="s">
        <v>635</v>
      </c>
      <c r="Q7" s="591" t="s">
        <v>636</v>
      </c>
      <c r="R7" s="591" t="s">
        <v>637</v>
      </c>
      <c r="S7" s="591" t="s">
        <v>638</v>
      </c>
      <c r="T7" s="594" t="s">
        <v>639</v>
      </c>
      <c r="U7" s="592"/>
    </row>
    <row r="8" spans="1:21">
      <c r="A8" s="565">
        <v>1</v>
      </c>
      <c r="B8" s="554" t="s">
        <v>641</v>
      </c>
      <c r="C8" s="640">
        <f>D8+G8+L8</f>
        <v>1516808740.0244021</v>
      </c>
      <c r="D8" s="629">
        <v>1350421511.6290021</v>
      </c>
      <c r="E8" s="629">
        <v>5453230.8099999996</v>
      </c>
      <c r="F8" s="630">
        <v>336286</v>
      </c>
      <c r="G8" s="629">
        <v>103125961.46840011</v>
      </c>
      <c r="H8" s="629">
        <v>3672235.0549000055</v>
      </c>
      <c r="I8" s="629">
        <v>3646810.6099999952</v>
      </c>
      <c r="J8" s="629">
        <v>115947.17999999998</v>
      </c>
      <c r="K8" s="629">
        <v>52974.340000000011</v>
      </c>
      <c r="L8" s="629">
        <v>63261266.926999941</v>
      </c>
      <c r="M8" s="629">
        <v>4267035.4186000051</v>
      </c>
      <c r="N8" s="629">
        <v>6205830.8660000106</v>
      </c>
      <c r="O8" s="629">
        <v>13632537.195499919</v>
      </c>
      <c r="P8" s="629">
        <v>6508.2000000000007</v>
      </c>
      <c r="Q8" s="629"/>
      <c r="R8" s="629">
        <v>0</v>
      </c>
      <c r="S8" s="629">
        <v>0</v>
      </c>
      <c r="T8" s="629">
        <v>0</v>
      </c>
      <c r="U8" s="539"/>
    </row>
    <row r="9" spans="1:21">
      <c r="A9" s="563">
        <v>1.1000000000000001</v>
      </c>
      <c r="B9" s="563" t="s">
        <v>657</v>
      </c>
      <c r="C9" s="640">
        <f t="shared" ref="C9:C21" si="0">D9+G9+L9</f>
        <v>340708108.60870063</v>
      </c>
      <c r="D9" s="629">
        <v>282626288.15430057</v>
      </c>
      <c r="E9" s="629">
        <v>238602.23000000004</v>
      </c>
      <c r="F9" s="629"/>
      <c r="G9" s="629">
        <v>41698946.577900052</v>
      </c>
      <c r="H9" s="629">
        <v>356226.07919999998</v>
      </c>
      <c r="I9" s="629">
        <v>112798.77000000002</v>
      </c>
      <c r="J9" s="629">
        <v>66718.880000000005</v>
      </c>
      <c r="K9" s="629"/>
      <c r="L9" s="629">
        <v>16382873.876500003</v>
      </c>
      <c r="M9" s="629">
        <v>180183.97619999998</v>
      </c>
      <c r="N9" s="629">
        <v>382737.89</v>
      </c>
      <c r="O9" s="629">
        <v>1013361.37</v>
      </c>
      <c r="P9" s="629"/>
      <c r="Q9" s="629"/>
      <c r="R9" s="629"/>
      <c r="S9" s="629"/>
      <c r="T9" s="629"/>
      <c r="U9" s="539"/>
    </row>
    <row r="10" spans="1:21">
      <c r="A10" s="566" t="s">
        <v>251</v>
      </c>
      <c r="B10" s="566" t="s">
        <v>658</v>
      </c>
      <c r="C10" s="640">
        <f t="shared" si="0"/>
        <v>320693409.2978999</v>
      </c>
      <c r="D10" s="628">
        <f>SUM(D11:D14)</f>
        <v>264280921.71069989</v>
      </c>
      <c r="E10" s="628">
        <f t="shared" ref="E10:P10" si="1">SUM(E11:E14)</f>
        <v>143209.97</v>
      </c>
      <c r="F10" s="628">
        <f t="shared" si="1"/>
        <v>0</v>
      </c>
      <c r="G10" s="628">
        <f t="shared" si="1"/>
        <v>40690778.254000023</v>
      </c>
      <c r="H10" s="628">
        <f t="shared" si="1"/>
        <v>312197.2292</v>
      </c>
      <c r="I10" s="628">
        <f t="shared" si="1"/>
        <v>94988.750000000015</v>
      </c>
      <c r="J10" s="628">
        <f t="shared" si="1"/>
        <v>3228.43</v>
      </c>
      <c r="K10" s="628">
        <f t="shared" si="1"/>
        <v>0</v>
      </c>
      <c r="L10" s="628">
        <f t="shared" si="1"/>
        <v>15721709.333200004</v>
      </c>
      <c r="M10" s="628">
        <f t="shared" si="1"/>
        <v>114651.3762</v>
      </c>
      <c r="N10" s="628">
        <f t="shared" si="1"/>
        <v>294144.24</v>
      </c>
      <c r="O10" s="628">
        <f t="shared" si="1"/>
        <v>819262.48</v>
      </c>
      <c r="P10" s="628">
        <f t="shared" si="1"/>
        <v>0</v>
      </c>
      <c r="Q10" s="629"/>
      <c r="R10" s="628"/>
      <c r="S10" s="628"/>
      <c r="T10" s="628"/>
      <c r="U10" s="539"/>
    </row>
    <row r="11" spans="1:21">
      <c r="A11" s="567" t="s">
        <v>659</v>
      </c>
      <c r="B11" s="568" t="s">
        <v>660</v>
      </c>
      <c r="C11" s="640">
        <f t="shared" si="0"/>
        <v>240435861.83399987</v>
      </c>
      <c r="D11" s="629">
        <v>196150532.02289984</v>
      </c>
      <c r="E11" s="629">
        <v>125953.89</v>
      </c>
      <c r="F11" s="629"/>
      <c r="G11" s="629">
        <v>32079966.846800022</v>
      </c>
      <c r="H11" s="629">
        <v>312197.2292</v>
      </c>
      <c r="I11" s="629">
        <v>94988.750000000015</v>
      </c>
      <c r="J11" s="629">
        <v>3228.43</v>
      </c>
      <c r="K11" s="629"/>
      <c r="L11" s="629">
        <v>12205362.964300003</v>
      </c>
      <c r="M11" s="629">
        <v>114651.3762</v>
      </c>
      <c r="N11" s="629">
        <v>191391.62000000002</v>
      </c>
      <c r="O11" s="629">
        <v>645820.67000000004</v>
      </c>
      <c r="P11" s="629"/>
      <c r="Q11" s="629"/>
      <c r="R11" s="629"/>
      <c r="S11" s="629"/>
      <c r="T11" s="629"/>
      <c r="U11" s="539"/>
    </row>
    <row r="12" spans="1:21">
      <c r="A12" s="567" t="s">
        <v>661</v>
      </c>
      <c r="B12" s="568" t="s">
        <v>662</v>
      </c>
      <c r="C12" s="640">
        <f t="shared" si="0"/>
        <v>49567048.959500022</v>
      </c>
      <c r="D12" s="629">
        <v>41197108.519200027</v>
      </c>
      <c r="E12" s="629">
        <v>17256.080000000002</v>
      </c>
      <c r="F12" s="629"/>
      <c r="G12" s="629">
        <v>5905170.4158000005</v>
      </c>
      <c r="H12" s="629"/>
      <c r="I12" s="629"/>
      <c r="J12" s="629"/>
      <c r="K12" s="629"/>
      <c r="L12" s="629">
        <v>2464770.0245000003</v>
      </c>
      <c r="M12" s="629"/>
      <c r="N12" s="629">
        <v>83482.880000000005</v>
      </c>
      <c r="O12" s="629">
        <v>128239.11000000002</v>
      </c>
      <c r="P12" s="629"/>
      <c r="Q12" s="629"/>
      <c r="R12" s="629"/>
      <c r="S12" s="629"/>
      <c r="T12" s="629"/>
      <c r="U12" s="539"/>
    </row>
    <row r="13" spans="1:21">
      <c r="A13" s="567" t="s">
        <v>663</v>
      </c>
      <c r="B13" s="568" t="s">
        <v>664</v>
      </c>
      <c r="C13" s="640">
        <f t="shared" si="0"/>
        <v>15302539.455500001</v>
      </c>
      <c r="D13" s="629">
        <v>13622088.9135</v>
      </c>
      <c r="E13" s="629"/>
      <c r="F13" s="629"/>
      <c r="G13" s="629">
        <v>1379396.652</v>
      </c>
      <c r="H13" s="629"/>
      <c r="I13" s="629"/>
      <c r="J13" s="629"/>
      <c r="K13" s="629"/>
      <c r="L13" s="629">
        <v>301053.89</v>
      </c>
      <c r="M13" s="629"/>
      <c r="N13" s="629"/>
      <c r="O13" s="629">
        <v>45202.7</v>
      </c>
      <c r="P13" s="629"/>
      <c r="Q13" s="629"/>
      <c r="R13" s="629"/>
      <c r="S13" s="629"/>
      <c r="T13" s="629"/>
      <c r="U13" s="539"/>
    </row>
    <row r="14" spans="1:21">
      <c r="A14" s="567" t="s">
        <v>665</v>
      </c>
      <c r="B14" s="568" t="s">
        <v>666</v>
      </c>
      <c r="C14" s="640">
        <f t="shared" si="0"/>
        <v>15387959.048900004</v>
      </c>
      <c r="D14" s="629">
        <v>13311192.255100004</v>
      </c>
      <c r="E14" s="629"/>
      <c r="F14" s="629"/>
      <c r="G14" s="629">
        <v>1326244.3393999999</v>
      </c>
      <c r="H14" s="629"/>
      <c r="I14" s="629"/>
      <c r="J14" s="629"/>
      <c r="K14" s="629"/>
      <c r="L14" s="629">
        <v>750522.45440000005</v>
      </c>
      <c r="M14" s="629"/>
      <c r="N14" s="629">
        <v>19269.740000000002</v>
      </c>
      <c r="O14" s="629"/>
      <c r="P14" s="629"/>
      <c r="Q14" s="629"/>
      <c r="R14" s="629"/>
      <c r="S14" s="629"/>
      <c r="T14" s="629"/>
      <c r="U14" s="539"/>
    </row>
    <row r="15" spans="1:21">
      <c r="A15" s="569">
        <v>1.2</v>
      </c>
      <c r="B15" s="570" t="s">
        <v>667</v>
      </c>
      <c r="C15" s="640">
        <f t="shared" si="0"/>
        <v>18123253.830100015</v>
      </c>
      <c r="D15" s="629">
        <v>5652525.762700011</v>
      </c>
      <c r="E15" s="629">
        <v>4772.0446000000011</v>
      </c>
      <c r="F15" s="629"/>
      <c r="G15" s="629">
        <v>4169894.6590000018</v>
      </c>
      <c r="H15" s="629">
        <v>35622.607899999995</v>
      </c>
      <c r="I15" s="629">
        <v>11279.876999999999</v>
      </c>
      <c r="J15" s="629">
        <v>6671.8879999999999</v>
      </c>
      <c r="K15" s="629"/>
      <c r="L15" s="629">
        <v>8300833.408400001</v>
      </c>
      <c r="M15" s="629">
        <v>99943.327499999985</v>
      </c>
      <c r="N15" s="629">
        <v>163093.02100000001</v>
      </c>
      <c r="O15" s="629">
        <v>597478.75999999978</v>
      </c>
      <c r="P15" s="629"/>
      <c r="Q15" s="629"/>
      <c r="R15" s="629"/>
      <c r="S15" s="629"/>
      <c r="T15" s="629"/>
      <c r="U15" s="539"/>
    </row>
    <row r="16" spans="1:21">
      <c r="A16" s="571">
        <v>1.3</v>
      </c>
      <c r="B16" s="570" t="s">
        <v>668</v>
      </c>
      <c r="C16" s="641"/>
      <c r="D16" s="641"/>
      <c r="E16" s="641"/>
      <c r="F16" s="641"/>
      <c r="G16" s="641"/>
      <c r="H16" s="641"/>
      <c r="I16" s="641"/>
      <c r="J16" s="641"/>
      <c r="K16" s="641"/>
      <c r="L16" s="641"/>
      <c r="M16" s="641"/>
      <c r="N16" s="641"/>
      <c r="O16" s="641"/>
      <c r="P16" s="641"/>
      <c r="Q16" s="641"/>
      <c r="R16" s="641"/>
      <c r="S16" s="641"/>
      <c r="T16" s="641"/>
      <c r="U16" s="539"/>
    </row>
    <row r="17" spans="1:21" s="537" customFormat="1" ht="25.5">
      <c r="A17" s="572" t="s">
        <v>669</v>
      </c>
      <c r="B17" s="573" t="s">
        <v>670</v>
      </c>
      <c r="C17" s="640">
        <f t="shared" si="0"/>
        <v>337720237.16070068</v>
      </c>
      <c r="D17" s="630">
        <v>280098348.75550061</v>
      </c>
      <c r="E17" s="630">
        <v>228967.31000000003</v>
      </c>
      <c r="F17" s="630"/>
      <c r="G17" s="630">
        <v>41329540.603100061</v>
      </c>
      <c r="H17" s="630">
        <v>353418.3492</v>
      </c>
      <c r="I17" s="630">
        <v>112798.77000000002</v>
      </c>
      <c r="J17" s="630">
        <v>66718.880000000005</v>
      </c>
      <c r="K17" s="630"/>
      <c r="L17" s="630">
        <v>16292347.802100003</v>
      </c>
      <c r="M17" s="630">
        <v>180183.97619999998</v>
      </c>
      <c r="N17" s="630">
        <v>376338.15</v>
      </c>
      <c r="O17" s="630">
        <v>999627.44000000006</v>
      </c>
      <c r="P17" s="630"/>
      <c r="Q17" s="629"/>
      <c r="R17" s="630"/>
      <c r="S17" s="630"/>
      <c r="T17" s="630"/>
      <c r="U17" s="543"/>
    </row>
    <row r="18" spans="1:21" s="537" customFormat="1" ht="25.5">
      <c r="A18" s="574" t="s">
        <v>671</v>
      </c>
      <c r="B18" s="574" t="s">
        <v>672</v>
      </c>
      <c r="C18" s="640">
        <f t="shared" si="0"/>
        <v>316331611.13180012</v>
      </c>
      <c r="D18" s="630">
        <v>260394993.0033001</v>
      </c>
      <c r="E18" s="630">
        <v>143209.97</v>
      </c>
      <c r="F18" s="630"/>
      <c r="G18" s="630">
        <v>40289499.779700018</v>
      </c>
      <c r="H18" s="630">
        <v>312197.2292</v>
      </c>
      <c r="I18" s="630">
        <v>94988.750000000015</v>
      </c>
      <c r="J18" s="630">
        <v>3228.43</v>
      </c>
      <c r="K18" s="630"/>
      <c r="L18" s="630">
        <v>15647118.348800002</v>
      </c>
      <c r="M18" s="630">
        <v>114651.3762</v>
      </c>
      <c r="N18" s="630">
        <v>287744.49999999994</v>
      </c>
      <c r="O18" s="630">
        <v>819262.4800000001</v>
      </c>
      <c r="P18" s="630"/>
      <c r="Q18" s="629"/>
      <c r="R18" s="630"/>
      <c r="S18" s="630"/>
      <c r="T18" s="630"/>
      <c r="U18" s="543"/>
    </row>
    <row r="19" spans="1:21" s="537" customFormat="1">
      <c r="A19" s="572" t="s">
        <v>673</v>
      </c>
      <c r="B19" s="575" t="s">
        <v>674</v>
      </c>
      <c r="C19" s="640">
        <f t="shared" si="0"/>
        <v>789080475.63794637</v>
      </c>
      <c r="D19" s="630">
        <v>606383653.00064635</v>
      </c>
      <c r="E19" s="630">
        <v>834151.34249999991</v>
      </c>
      <c r="F19" s="630"/>
      <c r="G19" s="630">
        <v>122034829.43210007</v>
      </c>
      <c r="H19" s="630">
        <v>2114534.6107999994</v>
      </c>
      <c r="I19" s="630">
        <v>418393.63</v>
      </c>
      <c r="J19" s="630">
        <v>135492.82</v>
      </c>
      <c r="K19" s="630"/>
      <c r="L19" s="630">
        <v>60661993.205200009</v>
      </c>
      <c r="M19" s="630">
        <v>660852.02379999985</v>
      </c>
      <c r="N19" s="630">
        <v>613482.76</v>
      </c>
      <c r="O19" s="630">
        <v>1892949.5166999996</v>
      </c>
      <c r="P19" s="630"/>
      <c r="Q19" s="629"/>
      <c r="R19" s="630"/>
      <c r="S19" s="630"/>
      <c r="T19" s="630"/>
      <c r="U19" s="543"/>
    </row>
    <row r="20" spans="1:21" s="537" customFormat="1">
      <c r="A20" s="574" t="s">
        <v>675</v>
      </c>
      <c r="B20" s="574" t="s">
        <v>676</v>
      </c>
      <c r="C20" s="640">
        <f t="shared" si="0"/>
        <v>743992868.74890137</v>
      </c>
      <c r="D20" s="630">
        <v>567115403.30840123</v>
      </c>
      <c r="E20" s="630">
        <v>696699.60250000015</v>
      </c>
      <c r="F20" s="630"/>
      <c r="G20" s="630">
        <v>117615411.99200007</v>
      </c>
      <c r="H20" s="630">
        <v>1849225.2607999998</v>
      </c>
      <c r="I20" s="630">
        <v>364003.64999999997</v>
      </c>
      <c r="J20" s="630">
        <v>24683.27</v>
      </c>
      <c r="K20" s="630"/>
      <c r="L20" s="630">
        <v>59262053.4485</v>
      </c>
      <c r="M20" s="630">
        <v>541621.62379999994</v>
      </c>
      <c r="N20" s="630">
        <v>533039.90999999992</v>
      </c>
      <c r="O20" s="630">
        <v>1726157.4066999995</v>
      </c>
      <c r="P20" s="630"/>
      <c r="Q20" s="629"/>
      <c r="R20" s="630"/>
      <c r="S20" s="630"/>
      <c r="T20" s="630"/>
      <c r="U20" s="543"/>
    </row>
    <row r="21" spans="1:21" s="537" customFormat="1">
      <c r="A21" s="576">
        <v>1.4</v>
      </c>
      <c r="B21" s="586" t="s">
        <v>709</v>
      </c>
      <c r="C21" s="640">
        <f t="shared" si="0"/>
        <v>9398777.4000000004</v>
      </c>
      <c r="D21" s="630">
        <v>9227706</v>
      </c>
      <c r="E21" s="630">
        <v>2412.8000000000002</v>
      </c>
      <c r="F21" s="630"/>
      <c r="G21" s="630">
        <v>133137.60000000001</v>
      </c>
      <c r="H21" s="630"/>
      <c r="I21" s="630"/>
      <c r="J21" s="630"/>
      <c r="K21" s="630"/>
      <c r="L21" s="630">
        <v>37933.800000000003</v>
      </c>
      <c r="M21" s="630"/>
      <c r="N21" s="630">
        <v>7522</v>
      </c>
      <c r="O21" s="630">
        <v>4554.8</v>
      </c>
      <c r="P21" s="630"/>
      <c r="Q21" s="629"/>
      <c r="R21" s="630"/>
      <c r="S21" s="630"/>
      <c r="T21" s="630"/>
      <c r="U21" s="543"/>
    </row>
    <row r="22" spans="1:21" s="537" customFormat="1">
      <c r="A22" s="576">
        <v>1.5</v>
      </c>
      <c r="B22" s="586" t="s">
        <v>710</v>
      </c>
      <c r="C22" s="642"/>
      <c r="D22" s="630"/>
      <c r="E22" s="630"/>
      <c r="F22" s="630"/>
      <c r="G22" s="630"/>
      <c r="H22" s="630"/>
      <c r="I22" s="630"/>
      <c r="J22" s="630"/>
      <c r="K22" s="630"/>
      <c r="L22" s="630"/>
      <c r="M22" s="630"/>
      <c r="N22" s="630"/>
      <c r="O22" s="630"/>
      <c r="P22" s="630"/>
      <c r="Q22" s="630"/>
      <c r="R22" s="630"/>
      <c r="S22" s="630"/>
      <c r="T22" s="630"/>
      <c r="U22" s="543"/>
    </row>
    <row r="23" spans="1:21">
      <c r="C23" s="631"/>
    </row>
    <row r="24" spans="1:21">
      <c r="C24" s="643"/>
      <c r="D24" s="643"/>
      <c r="E24" s="683"/>
      <c r="F24" s="643"/>
      <c r="G24" s="643"/>
      <c r="H24" s="643"/>
      <c r="I24" s="643"/>
      <c r="J24" s="643"/>
      <c r="K24" s="643"/>
      <c r="L24" s="643"/>
      <c r="M24" s="643"/>
      <c r="N24" s="643"/>
      <c r="O24" s="643"/>
    </row>
    <row r="25" spans="1:21">
      <c r="C25" s="63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topLeftCell="C4" zoomScale="75" zoomScaleNormal="75" workbookViewId="0">
      <selection activeCell="J7" sqref="J7:N32"/>
    </sheetView>
  </sheetViews>
  <sheetFormatPr defaultColWidth="9.140625" defaultRowHeight="12.75"/>
  <cols>
    <col min="1" max="1" width="11.85546875" style="514" bestFit="1" customWidth="1"/>
    <col min="2" max="2" width="67.42578125" style="514" customWidth="1"/>
    <col min="3" max="3" width="15.7109375" style="514" customWidth="1"/>
    <col min="4" max="4" width="16.140625" style="514" bestFit="1" customWidth="1"/>
    <col min="5" max="5" width="13.7109375" style="514" bestFit="1" customWidth="1"/>
    <col min="6" max="6" width="17.85546875" style="581" bestFit="1" customWidth="1"/>
    <col min="7" max="7" width="12.5703125" style="581" customWidth="1"/>
    <col min="8" max="8" width="13.140625" style="514" bestFit="1" customWidth="1"/>
    <col min="9" max="9" width="14.140625" style="514" customWidth="1"/>
    <col min="10" max="10" width="14.7109375" style="581" bestFit="1" customWidth="1"/>
    <col min="11" max="11" width="13.7109375" style="581" bestFit="1" customWidth="1"/>
    <col min="12" max="12" width="17.85546875" style="581" bestFit="1" customWidth="1"/>
    <col min="13" max="13" width="13.42578125" style="581" customWidth="1"/>
    <col min="14" max="14" width="13.85546875" style="581" customWidth="1"/>
    <col min="15" max="15" width="18.85546875" style="514" bestFit="1" customWidth="1"/>
    <col min="16" max="16384" width="9.140625" style="514"/>
  </cols>
  <sheetData>
    <row r="1" spans="1:15" ht="13.5">
      <c r="A1" s="513" t="s">
        <v>188</v>
      </c>
      <c r="B1" s="431" t="str">
        <f>Info!C2</f>
        <v>სს "კრედო ბანკი"</v>
      </c>
      <c r="F1" s="514"/>
      <c r="G1" s="514"/>
      <c r="J1" s="514"/>
      <c r="K1" s="514"/>
      <c r="L1" s="514"/>
      <c r="M1" s="514"/>
      <c r="N1" s="514"/>
    </row>
    <row r="2" spans="1:15">
      <c r="A2" s="515" t="s">
        <v>189</v>
      </c>
      <c r="B2" s="517">
        <f>'1. key ratios'!B2</f>
        <v>44651</v>
      </c>
      <c r="F2" s="514"/>
      <c r="G2" s="514"/>
      <c r="J2" s="514"/>
      <c r="K2" s="514"/>
      <c r="L2" s="514"/>
      <c r="M2" s="514"/>
      <c r="N2" s="514"/>
    </row>
    <row r="3" spans="1:15">
      <c r="A3" s="516" t="s">
        <v>679</v>
      </c>
      <c r="F3" s="514"/>
      <c r="G3" s="514"/>
      <c r="J3" s="514"/>
      <c r="K3" s="514"/>
      <c r="L3" s="514"/>
      <c r="M3" s="514"/>
      <c r="N3" s="514"/>
    </row>
    <row r="4" spans="1:15">
      <c r="F4" s="514"/>
      <c r="G4" s="514"/>
      <c r="J4" s="514"/>
      <c r="K4" s="514"/>
      <c r="L4" s="514"/>
      <c r="M4" s="514"/>
      <c r="N4" s="514"/>
    </row>
    <row r="5" spans="1:15" ht="37.5" customHeight="1">
      <c r="A5" s="756" t="s">
        <v>680</v>
      </c>
      <c r="B5" s="757"/>
      <c r="C5" s="802" t="s">
        <v>681</v>
      </c>
      <c r="D5" s="803"/>
      <c r="E5" s="803"/>
      <c r="F5" s="803"/>
      <c r="G5" s="803"/>
      <c r="H5" s="804"/>
      <c r="I5" s="805" t="s">
        <v>682</v>
      </c>
      <c r="J5" s="806"/>
      <c r="K5" s="806"/>
      <c r="L5" s="806"/>
      <c r="M5" s="806"/>
      <c r="N5" s="807"/>
      <c r="O5" s="808" t="s">
        <v>552</v>
      </c>
    </row>
    <row r="6" spans="1:15" ht="39.6" customHeight="1">
      <c r="A6" s="760"/>
      <c r="B6" s="761"/>
      <c r="C6" s="577"/>
      <c r="D6" s="578" t="s">
        <v>683</v>
      </c>
      <c r="E6" s="578" t="s">
        <v>684</v>
      </c>
      <c r="F6" s="578" t="s">
        <v>685</v>
      </c>
      <c r="G6" s="578" t="s">
        <v>686</v>
      </c>
      <c r="H6" s="578" t="s">
        <v>687</v>
      </c>
      <c r="I6" s="579"/>
      <c r="J6" s="578" t="s">
        <v>683</v>
      </c>
      <c r="K6" s="578" t="s">
        <v>684</v>
      </c>
      <c r="L6" s="578" t="s">
        <v>685</v>
      </c>
      <c r="M6" s="578" t="s">
        <v>686</v>
      </c>
      <c r="N6" s="578" t="s">
        <v>687</v>
      </c>
      <c r="O6" s="809"/>
    </row>
    <row r="7" spans="1:15">
      <c r="A7" s="529">
        <v>1</v>
      </c>
      <c r="B7" s="538" t="s">
        <v>562</v>
      </c>
      <c r="C7" s="636">
        <f>SUM(D7:H7)</f>
        <v>16311642.039999992</v>
      </c>
      <c r="D7" s="629">
        <v>15112332.889999993</v>
      </c>
      <c r="E7" s="629">
        <v>749181.00999999978</v>
      </c>
      <c r="F7" s="629">
        <v>328410.86999999988</v>
      </c>
      <c r="G7" s="629">
        <v>79014.33</v>
      </c>
      <c r="H7" s="629">
        <v>42702.94</v>
      </c>
      <c r="I7" s="637">
        <f>SUM(J7:N7)</f>
        <v>557898.12480000034</v>
      </c>
      <c r="J7" s="629">
        <v>302246.65780000039</v>
      </c>
      <c r="K7" s="629">
        <v>74918.10100000001</v>
      </c>
      <c r="L7" s="629">
        <v>98523.260999999969</v>
      </c>
      <c r="M7" s="629">
        <v>39507.165000000001</v>
      </c>
      <c r="N7" s="629">
        <v>42702.94</v>
      </c>
      <c r="O7" s="529"/>
    </row>
    <row r="8" spans="1:15">
      <c r="A8" s="529">
        <v>2</v>
      </c>
      <c r="B8" s="538" t="s">
        <v>563</v>
      </c>
      <c r="C8" s="636">
        <f t="shared" ref="C8:C32" si="0">SUM(D8:H8)</f>
        <v>6193697.7201000014</v>
      </c>
      <c r="D8" s="629">
        <v>6046695.1901000012</v>
      </c>
      <c r="E8" s="629">
        <v>124105.92</v>
      </c>
      <c r="F8" s="634">
        <v>15382.74</v>
      </c>
      <c r="G8" s="634">
        <v>7513.87</v>
      </c>
      <c r="H8" s="629"/>
      <c r="I8" s="637">
        <f t="shared" ref="I8:I32" si="1">SUM(J8:N8)</f>
        <v>141716.2527999999</v>
      </c>
      <c r="J8" s="634">
        <v>120933.9037999999</v>
      </c>
      <c r="K8" s="634">
        <v>12410.591999999999</v>
      </c>
      <c r="L8" s="634">
        <v>4614.8220000000001</v>
      </c>
      <c r="M8" s="634">
        <v>3756.9349999999999</v>
      </c>
      <c r="N8" s="634"/>
      <c r="O8" s="529"/>
    </row>
    <row r="9" spans="1:15">
      <c r="A9" s="529">
        <v>3</v>
      </c>
      <c r="B9" s="538" t="s">
        <v>564</v>
      </c>
      <c r="C9" s="636">
        <f t="shared" si="0"/>
        <v>5580123.4900000021</v>
      </c>
      <c r="D9" s="629">
        <v>5243259.4800000032</v>
      </c>
      <c r="E9" s="629">
        <v>208197.59999999998</v>
      </c>
      <c r="F9" s="635">
        <v>79080.37999999999</v>
      </c>
      <c r="G9" s="635">
        <v>32777.599999999999</v>
      </c>
      <c r="H9" s="629">
        <v>16808.43</v>
      </c>
      <c r="I9" s="637">
        <f t="shared" si="1"/>
        <v>182606.29359999998</v>
      </c>
      <c r="J9" s="635">
        <v>104865.1896</v>
      </c>
      <c r="K9" s="635">
        <v>20819.759999999995</v>
      </c>
      <c r="L9" s="635">
        <v>23724.113999999998</v>
      </c>
      <c r="M9" s="635">
        <v>16388.8</v>
      </c>
      <c r="N9" s="635">
        <v>16808.43</v>
      </c>
      <c r="O9" s="529"/>
    </row>
    <row r="10" spans="1:15">
      <c r="A10" s="529">
        <v>4</v>
      </c>
      <c r="B10" s="538" t="s">
        <v>565</v>
      </c>
      <c r="C10" s="636">
        <f t="shared" si="0"/>
        <v>3691436.1024000011</v>
      </c>
      <c r="D10" s="629">
        <v>3389665.1224000012</v>
      </c>
      <c r="E10" s="629">
        <v>12733.050000000001</v>
      </c>
      <c r="F10" s="635">
        <v>288516.80000000005</v>
      </c>
      <c r="G10" s="635">
        <v>521.13</v>
      </c>
      <c r="H10" s="629"/>
      <c r="I10" s="637">
        <f t="shared" si="1"/>
        <v>155882.21240000002</v>
      </c>
      <c r="J10" s="635">
        <v>67793.3024</v>
      </c>
      <c r="K10" s="635">
        <v>1273.3049999999998</v>
      </c>
      <c r="L10" s="635">
        <v>86555.040000000008</v>
      </c>
      <c r="M10" s="635">
        <v>260.565</v>
      </c>
      <c r="N10" s="635"/>
      <c r="O10" s="529"/>
    </row>
    <row r="11" spans="1:15">
      <c r="A11" s="529">
        <v>5</v>
      </c>
      <c r="B11" s="538" t="s">
        <v>566</v>
      </c>
      <c r="C11" s="636">
        <f t="shared" si="0"/>
        <v>17486770.759900004</v>
      </c>
      <c r="D11" s="629">
        <v>13016004.868300002</v>
      </c>
      <c r="E11" s="629">
        <v>3640890.1170999995</v>
      </c>
      <c r="F11" s="635">
        <v>160825.98000000001</v>
      </c>
      <c r="G11" s="635">
        <v>72037.049999999988</v>
      </c>
      <c r="H11" s="629">
        <v>597012.74450000003</v>
      </c>
      <c r="I11" s="637">
        <f t="shared" si="1"/>
        <v>1305688.1727000005</v>
      </c>
      <c r="J11" s="635">
        <v>260320.09740000017</v>
      </c>
      <c r="K11" s="635">
        <v>364089.01180000009</v>
      </c>
      <c r="L11" s="635">
        <v>48247.794000000009</v>
      </c>
      <c r="M11" s="635">
        <v>36018.524999999994</v>
      </c>
      <c r="N11" s="635">
        <v>597012.74450000003</v>
      </c>
      <c r="O11" s="529"/>
    </row>
    <row r="12" spans="1:15">
      <c r="A12" s="529">
        <v>6</v>
      </c>
      <c r="B12" s="538" t="s">
        <v>567</v>
      </c>
      <c r="C12" s="636">
        <f t="shared" si="0"/>
        <v>6067503.8000000035</v>
      </c>
      <c r="D12" s="629">
        <v>5544135.5100000026</v>
      </c>
      <c r="E12" s="629">
        <v>279828.81</v>
      </c>
      <c r="F12" s="635">
        <v>129552.77000000005</v>
      </c>
      <c r="G12" s="635">
        <v>63935.479999999996</v>
      </c>
      <c r="H12" s="629">
        <v>50051.229999999996</v>
      </c>
      <c r="I12" s="637">
        <f t="shared" si="1"/>
        <v>259750.39219999989</v>
      </c>
      <c r="J12" s="635">
        <v>110882.7101999999</v>
      </c>
      <c r="K12" s="635">
        <v>27982.881000000005</v>
      </c>
      <c r="L12" s="635">
        <v>38865.830999999998</v>
      </c>
      <c r="M12" s="635">
        <v>31967.739999999998</v>
      </c>
      <c r="N12" s="635">
        <v>50051.229999999996</v>
      </c>
      <c r="O12" s="529"/>
    </row>
    <row r="13" spans="1:15">
      <c r="A13" s="529">
        <v>7</v>
      </c>
      <c r="B13" s="538" t="s">
        <v>568</v>
      </c>
      <c r="C13" s="636">
        <f t="shared" si="0"/>
        <v>4314709.6227999963</v>
      </c>
      <c r="D13" s="629">
        <v>4030345.695599996</v>
      </c>
      <c r="E13" s="629">
        <v>200091.55909999998</v>
      </c>
      <c r="F13" s="635">
        <v>58640.428100000005</v>
      </c>
      <c r="G13" s="635">
        <v>15123.73</v>
      </c>
      <c r="H13" s="629">
        <v>10508.21</v>
      </c>
      <c r="I13" s="637">
        <f t="shared" si="1"/>
        <v>136278.27320000008</v>
      </c>
      <c r="J13" s="635">
        <v>80606.913900000087</v>
      </c>
      <c r="K13" s="635">
        <v>20009.155899999998</v>
      </c>
      <c r="L13" s="635">
        <v>17592.128400000001</v>
      </c>
      <c r="M13" s="635">
        <v>7561.8649999999998</v>
      </c>
      <c r="N13" s="635">
        <v>10508.21</v>
      </c>
      <c r="O13" s="529"/>
    </row>
    <row r="14" spans="1:15">
      <c r="A14" s="529">
        <v>8</v>
      </c>
      <c r="B14" s="538" t="s">
        <v>569</v>
      </c>
      <c r="C14" s="636">
        <f t="shared" si="0"/>
        <v>119753485.13169977</v>
      </c>
      <c r="D14" s="629">
        <v>108100548.67469978</v>
      </c>
      <c r="E14" s="629">
        <v>6304360.4603000022</v>
      </c>
      <c r="F14" s="635">
        <v>3113222.1432999987</v>
      </c>
      <c r="G14" s="635">
        <v>1486413.5104000005</v>
      </c>
      <c r="H14" s="629">
        <v>748940.34300000023</v>
      </c>
      <c r="I14" s="637">
        <f t="shared" si="1"/>
        <v>5218560.7606999781</v>
      </c>
      <c r="J14" s="635">
        <v>2162010.9732999769</v>
      </c>
      <c r="K14" s="635">
        <v>630436.04600000102</v>
      </c>
      <c r="L14" s="635">
        <v>933966.6431000001</v>
      </c>
      <c r="M14" s="635">
        <v>743206.75530000019</v>
      </c>
      <c r="N14" s="635">
        <v>748940.34300000023</v>
      </c>
      <c r="O14" s="529"/>
    </row>
    <row r="15" spans="1:15">
      <c r="A15" s="529">
        <v>9</v>
      </c>
      <c r="B15" s="538" t="s">
        <v>570</v>
      </c>
      <c r="C15" s="636">
        <f t="shared" si="0"/>
        <v>19996514.466799982</v>
      </c>
      <c r="D15" s="629">
        <v>17631428.074099984</v>
      </c>
      <c r="E15" s="629">
        <v>1522055.3768999993</v>
      </c>
      <c r="F15" s="635">
        <v>425890.46340000012</v>
      </c>
      <c r="G15" s="635">
        <v>176254.2997</v>
      </c>
      <c r="H15" s="629">
        <v>240886.25269999995</v>
      </c>
      <c r="I15" s="637">
        <f t="shared" si="1"/>
        <v>961614.64070000034</v>
      </c>
      <c r="J15" s="635">
        <v>352628.56140000053</v>
      </c>
      <c r="K15" s="635">
        <v>152205.53769999996</v>
      </c>
      <c r="L15" s="635">
        <v>127767.13900000002</v>
      </c>
      <c r="M15" s="635">
        <v>88127.149900000004</v>
      </c>
      <c r="N15" s="635">
        <v>240886.25269999995</v>
      </c>
      <c r="O15" s="529"/>
    </row>
    <row r="16" spans="1:15">
      <c r="A16" s="529">
        <v>10</v>
      </c>
      <c r="B16" s="538" t="s">
        <v>571</v>
      </c>
      <c r="C16" s="636">
        <f t="shared" si="0"/>
        <v>7128642.4392999969</v>
      </c>
      <c r="D16" s="629">
        <v>6162873.8286999967</v>
      </c>
      <c r="E16" s="629">
        <v>673874.47120000003</v>
      </c>
      <c r="F16" s="635">
        <v>167219.49940000003</v>
      </c>
      <c r="G16" s="635">
        <v>76152.179999999978</v>
      </c>
      <c r="H16" s="629">
        <v>48522.460000000006</v>
      </c>
      <c r="I16" s="637">
        <f t="shared" si="1"/>
        <v>327409.32350000006</v>
      </c>
      <c r="J16" s="635">
        <v>123257.47660000002</v>
      </c>
      <c r="K16" s="635">
        <v>67387.447100000019</v>
      </c>
      <c r="L16" s="635">
        <v>50165.849799999996</v>
      </c>
      <c r="M16" s="635">
        <v>38076.089999999989</v>
      </c>
      <c r="N16" s="635">
        <v>48522.460000000006</v>
      </c>
      <c r="O16" s="529"/>
    </row>
    <row r="17" spans="1:15">
      <c r="A17" s="529">
        <v>11</v>
      </c>
      <c r="B17" s="538" t="s">
        <v>572</v>
      </c>
      <c r="C17" s="636">
        <f t="shared" si="0"/>
        <v>6619298.2038000058</v>
      </c>
      <c r="D17" s="629">
        <v>5747115.3384000054</v>
      </c>
      <c r="E17" s="629">
        <v>483468.41000000015</v>
      </c>
      <c r="F17" s="635">
        <v>181279.65000000005</v>
      </c>
      <c r="G17" s="635">
        <v>123099.41999999998</v>
      </c>
      <c r="H17" s="629">
        <v>84335.385399999999</v>
      </c>
      <c r="I17" s="637">
        <f t="shared" si="1"/>
        <v>363558.13819999993</v>
      </c>
      <c r="J17" s="635">
        <v>114942.30679999992</v>
      </c>
      <c r="K17" s="635">
        <v>48346.840999999993</v>
      </c>
      <c r="L17" s="635">
        <v>54383.895000000011</v>
      </c>
      <c r="M17" s="635">
        <v>61549.709999999992</v>
      </c>
      <c r="N17" s="635">
        <v>84335.385399999999</v>
      </c>
      <c r="O17" s="529"/>
    </row>
    <row r="18" spans="1:15">
      <c r="A18" s="529">
        <v>12</v>
      </c>
      <c r="B18" s="538" t="s">
        <v>573</v>
      </c>
      <c r="C18" s="636">
        <f t="shared" si="0"/>
        <v>85182670.844000146</v>
      </c>
      <c r="D18" s="629">
        <v>76201863.245000154</v>
      </c>
      <c r="E18" s="629">
        <v>5511383.6737999916</v>
      </c>
      <c r="F18" s="635">
        <v>2379257.7742000008</v>
      </c>
      <c r="G18" s="635">
        <v>678872.92949999974</v>
      </c>
      <c r="H18" s="629">
        <v>411293.22149999993</v>
      </c>
      <c r="I18" s="637">
        <f t="shared" si="1"/>
        <v>3539682.6505999877</v>
      </c>
      <c r="J18" s="635">
        <v>1524037.2645999887</v>
      </c>
      <c r="K18" s="635">
        <v>551138.36739999952</v>
      </c>
      <c r="L18" s="635">
        <v>713777.33229999978</v>
      </c>
      <c r="M18" s="635">
        <v>339436.4647999999</v>
      </c>
      <c r="N18" s="635">
        <v>411293.22149999993</v>
      </c>
      <c r="O18" s="529"/>
    </row>
    <row r="19" spans="1:15">
      <c r="A19" s="529">
        <v>13</v>
      </c>
      <c r="B19" s="538" t="s">
        <v>574</v>
      </c>
      <c r="C19" s="636">
        <f t="shared" si="0"/>
        <v>14664945.698099969</v>
      </c>
      <c r="D19" s="629">
        <v>13084550.658799971</v>
      </c>
      <c r="E19" s="629">
        <v>925781.55099999986</v>
      </c>
      <c r="F19" s="635">
        <v>375495.63620000001</v>
      </c>
      <c r="G19" s="635">
        <v>159286.64000000004</v>
      </c>
      <c r="H19" s="629">
        <v>119831.2121</v>
      </c>
      <c r="I19" s="637">
        <f t="shared" si="1"/>
        <v>666392.3914000002</v>
      </c>
      <c r="J19" s="635">
        <v>261691.01320000016</v>
      </c>
      <c r="K19" s="635">
        <v>92578.155200000037</v>
      </c>
      <c r="L19" s="635">
        <v>112648.69089999996</v>
      </c>
      <c r="M19" s="635">
        <v>79643.320000000022</v>
      </c>
      <c r="N19" s="635">
        <v>119831.2121</v>
      </c>
      <c r="O19" s="529"/>
    </row>
    <row r="20" spans="1:15">
      <c r="A20" s="529">
        <v>14</v>
      </c>
      <c r="B20" s="538" t="s">
        <v>575</v>
      </c>
      <c r="C20" s="636">
        <f t="shared" si="0"/>
        <v>48909828.139999993</v>
      </c>
      <c r="D20" s="629">
        <v>31247982.608199991</v>
      </c>
      <c r="E20" s="629">
        <v>14702070.234299995</v>
      </c>
      <c r="F20" s="635">
        <v>1389123.2194000001</v>
      </c>
      <c r="G20" s="635">
        <v>184420.42</v>
      </c>
      <c r="H20" s="629">
        <v>1386231.6581000001</v>
      </c>
      <c r="I20" s="637">
        <f t="shared" si="1"/>
        <v>3990345.5099000013</v>
      </c>
      <c r="J20" s="635">
        <v>624959.65229999938</v>
      </c>
      <c r="K20" s="635">
        <v>1470207.0237000016</v>
      </c>
      <c r="L20" s="635">
        <v>416736.96580000012</v>
      </c>
      <c r="M20" s="635">
        <v>92210.21</v>
      </c>
      <c r="N20" s="635">
        <v>1386231.6581000001</v>
      </c>
      <c r="O20" s="529"/>
    </row>
    <row r="21" spans="1:15">
      <c r="A21" s="529">
        <v>15</v>
      </c>
      <c r="B21" s="538" t="s">
        <v>576</v>
      </c>
      <c r="C21" s="636">
        <f t="shared" si="0"/>
        <v>24903403.109299999</v>
      </c>
      <c r="D21" s="629">
        <v>15495943.708300002</v>
      </c>
      <c r="E21" s="629">
        <v>4570808.2652999954</v>
      </c>
      <c r="F21" s="635">
        <v>3055472.3346000011</v>
      </c>
      <c r="G21" s="635">
        <v>225203.27000000002</v>
      </c>
      <c r="H21" s="629">
        <v>1555975.5311000005</v>
      </c>
      <c r="I21" s="637">
        <f t="shared" si="1"/>
        <v>3352218.5674000015</v>
      </c>
      <c r="J21" s="635">
        <v>309918.87420000049</v>
      </c>
      <c r="K21" s="635">
        <v>457080.82669999998</v>
      </c>
      <c r="L21" s="635">
        <v>916641.70040000032</v>
      </c>
      <c r="M21" s="635">
        <v>112601.63500000001</v>
      </c>
      <c r="N21" s="635">
        <v>1555975.5311000005</v>
      </c>
      <c r="O21" s="529"/>
    </row>
    <row r="22" spans="1:15">
      <c r="A22" s="529">
        <v>16</v>
      </c>
      <c r="B22" s="538" t="s">
        <v>577</v>
      </c>
      <c r="C22" s="636">
        <f t="shared" si="0"/>
        <v>6131076.9237000039</v>
      </c>
      <c r="D22" s="629">
        <v>5476319.9900000039</v>
      </c>
      <c r="E22" s="629">
        <v>498251.80369999999</v>
      </c>
      <c r="F22" s="635">
        <v>99760.84</v>
      </c>
      <c r="G22" s="635">
        <v>18414.82</v>
      </c>
      <c r="H22" s="629">
        <v>38329.47</v>
      </c>
      <c r="I22" s="637">
        <f t="shared" si="1"/>
        <v>236816.71219999995</v>
      </c>
      <c r="J22" s="635">
        <v>109526.39979999996</v>
      </c>
      <c r="K22" s="635">
        <v>49825.18039999999</v>
      </c>
      <c r="L22" s="635">
        <v>29928.252</v>
      </c>
      <c r="M22" s="635">
        <v>9207.41</v>
      </c>
      <c r="N22" s="635">
        <v>38329.47</v>
      </c>
      <c r="O22" s="529"/>
    </row>
    <row r="23" spans="1:15">
      <c r="A23" s="529">
        <v>17</v>
      </c>
      <c r="B23" s="538" t="s">
        <v>578</v>
      </c>
      <c r="C23" s="636">
        <f t="shared" si="0"/>
        <v>795619.63720000011</v>
      </c>
      <c r="D23" s="629">
        <v>755090.43720000004</v>
      </c>
      <c r="E23" s="629">
        <v>32425.309999999998</v>
      </c>
      <c r="F23" s="635">
        <v>274.59000000000003</v>
      </c>
      <c r="G23" s="635">
        <v>2895.06</v>
      </c>
      <c r="H23" s="629">
        <v>4934.24</v>
      </c>
      <c r="I23" s="637">
        <f t="shared" si="1"/>
        <v>24808.486699999994</v>
      </c>
      <c r="J23" s="635">
        <v>15101.808699999998</v>
      </c>
      <c r="K23" s="635">
        <v>3242.5309999999995</v>
      </c>
      <c r="L23" s="635">
        <v>82.376999999999995</v>
      </c>
      <c r="M23" s="635">
        <v>1447.53</v>
      </c>
      <c r="N23" s="635">
        <v>4934.24</v>
      </c>
      <c r="O23" s="529"/>
    </row>
    <row r="24" spans="1:15">
      <c r="A24" s="529">
        <v>18</v>
      </c>
      <c r="B24" s="538" t="s">
        <v>579</v>
      </c>
      <c r="C24" s="636">
        <f t="shared" si="0"/>
        <v>2476978.4900000016</v>
      </c>
      <c r="D24" s="629">
        <v>2340764.1900000018</v>
      </c>
      <c r="E24" s="629">
        <v>80731.86000000003</v>
      </c>
      <c r="F24" s="635">
        <v>44397.919999999991</v>
      </c>
      <c r="G24" s="635">
        <v>11000.52</v>
      </c>
      <c r="H24" s="629">
        <v>84</v>
      </c>
      <c r="I24" s="637">
        <f t="shared" si="1"/>
        <v>73792.105799999976</v>
      </c>
      <c r="J24" s="635">
        <v>46815.283799999976</v>
      </c>
      <c r="K24" s="635">
        <v>8073.1860000000006</v>
      </c>
      <c r="L24" s="635">
        <v>13319.375999999998</v>
      </c>
      <c r="M24" s="635">
        <v>5500.26</v>
      </c>
      <c r="N24" s="635">
        <v>84</v>
      </c>
      <c r="O24" s="529"/>
    </row>
    <row r="25" spans="1:15">
      <c r="A25" s="529">
        <v>19</v>
      </c>
      <c r="B25" s="538" t="s">
        <v>580</v>
      </c>
      <c r="C25" s="636">
        <f t="shared" si="0"/>
        <v>6533909.4234000016</v>
      </c>
      <c r="D25" s="629">
        <v>6049759.0905000009</v>
      </c>
      <c r="E25" s="629">
        <v>268802.96800000005</v>
      </c>
      <c r="F25" s="635">
        <v>103299.40000000001</v>
      </c>
      <c r="G25" s="635">
        <v>63401.309500000003</v>
      </c>
      <c r="H25" s="629">
        <v>48646.655400000003</v>
      </c>
      <c r="I25" s="637">
        <f t="shared" si="1"/>
        <v>259212.60879999993</v>
      </c>
      <c r="J25" s="635">
        <v>120995.18179999995</v>
      </c>
      <c r="K25" s="635">
        <v>26880.2968</v>
      </c>
      <c r="L25" s="635">
        <v>30989.82</v>
      </c>
      <c r="M25" s="635">
        <v>31700.654800000004</v>
      </c>
      <c r="N25" s="635">
        <v>48646.655400000003</v>
      </c>
      <c r="O25" s="529"/>
    </row>
    <row r="26" spans="1:15">
      <c r="A26" s="529">
        <v>20</v>
      </c>
      <c r="B26" s="538" t="s">
        <v>581</v>
      </c>
      <c r="C26" s="636">
        <f t="shared" si="0"/>
        <v>11764247.084699994</v>
      </c>
      <c r="D26" s="629">
        <v>11055287.477999995</v>
      </c>
      <c r="E26" s="629">
        <v>487068.96669999999</v>
      </c>
      <c r="F26" s="635">
        <v>133740.85</v>
      </c>
      <c r="G26" s="635">
        <v>76001.670000000013</v>
      </c>
      <c r="H26" s="629">
        <v>12148.119999999999</v>
      </c>
      <c r="I26" s="637">
        <f t="shared" si="1"/>
        <v>360083.85630000051</v>
      </c>
      <c r="J26" s="635">
        <v>221105.74960000048</v>
      </c>
      <c r="K26" s="635">
        <v>48706.89669999999</v>
      </c>
      <c r="L26" s="635">
        <v>40122.255000000005</v>
      </c>
      <c r="M26" s="635">
        <v>38000.835000000006</v>
      </c>
      <c r="N26" s="635">
        <v>12148.119999999999</v>
      </c>
      <c r="O26" s="529"/>
    </row>
    <row r="27" spans="1:15">
      <c r="A27" s="529">
        <v>21</v>
      </c>
      <c r="B27" s="538" t="s">
        <v>582</v>
      </c>
      <c r="C27" s="636">
        <f t="shared" si="0"/>
        <v>2380094.4847000004</v>
      </c>
      <c r="D27" s="629">
        <v>2229584.6347000008</v>
      </c>
      <c r="E27" s="629">
        <v>116149.34000000001</v>
      </c>
      <c r="F27" s="635">
        <v>11610.76</v>
      </c>
      <c r="G27" s="635">
        <v>22749.749999999996</v>
      </c>
      <c r="H27" s="629"/>
      <c r="I27" s="637">
        <f t="shared" si="1"/>
        <v>71064.729699999982</v>
      </c>
      <c r="J27" s="635">
        <v>44591.692699999978</v>
      </c>
      <c r="K27" s="635">
        <v>11614.933999999999</v>
      </c>
      <c r="L27" s="635">
        <v>3483.2280000000001</v>
      </c>
      <c r="M27" s="635">
        <v>11374.874999999998</v>
      </c>
      <c r="N27" s="635"/>
      <c r="O27" s="529"/>
    </row>
    <row r="28" spans="1:15">
      <c r="A28" s="529">
        <v>22</v>
      </c>
      <c r="B28" s="538" t="s">
        <v>583</v>
      </c>
      <c r="C28" s="636">
        <f t="shared" si="0"/>
        <v>524586.45999999973</v>
      </c>
      <c r="D28" s="629">
        <v>477916.89999999967</v>
      </c>
      <c r="E28" s="629">
        <v>17450.5</v>
      </c>
      <c r="F28" s="635">
        <v>16895.650000000001</v>
      </c>
      <c r="G28" s="635">
        <v>12323.41</v>
      </c>
      <c r="H28" s="629"/>
      <c r="I28" s="637">
        <f t="shared" si="1"/>
        <v>22533.788</v>
      </c>
      <c r="J28" s="635">
        <v>9558.3379999999997</v>
      </c>
      <c r="K28" s="635">
        <v>1745.0500000000002</v>
      </c>
      <c r="L28" s="635">
        <v>5068.6949999999997</v>
      </c>
      <c r="M28" s="635">
        <v>6161.7049999999999</v>
      </c>
      <c r="N28" s="635"/>
      <c r="O28" s="529"/>
    </row>
    <row r="29" spans="1:15">
      <c r="A29" s="529">
        <v>23</v>
      </c>
      <c r="B29" s="538" t="s">
        <v>584</v>
      </c>
      <c r="C29" s="636">
        <f t="shared" si="0"/>
        <v>296664232.32179928</v>
      </c>
      <c r="D29" s="629">
        <v>261762520.39399931</v>
      </c>
      <c r="E29" s="629">
        <v>20425790.21119995</v>
      </c>
      <c r="F29" s="635">
        <v>9049457.6747000106</v>
      </c>
      <c r="G29" s="635">
        <v>3025300.9989000014</v>
      </c>
      <c r="H29" s="629">
        <v>2401163.0429999991</v>
      </c>
      <c r="I29" s="637">
        <f t="shared" si="1"/>
        <v>13906480.274000142</v>
      </c>
      <c r="J29" s="635">
        <v>5235250.4078001399</v>
      </c>
      <c r="K29" s="635">
        <v>2042579.0212000015</v>
      </c>
      <c r="L29" s="635">
        <v>2714837.3023999999</v>
      </c>
      <c r="M29" s="635">
        <v>1512650.4996000007</v>
      </c>
      <c r="N29" s="635">
        <v>2401163.0429999991</v>
      </c>
      <c r="O29" s="529"/>
    </row>
    <row r="30" spans="1:15">
      <c r="A30" s="529">
        <v>24</v>
      </c>
      <c r="B30" s="538" t="s">
        <v>585</v>
      </c>
      <c r="C30" s="636">
        <f t="shared" si="0"/>
        <v>590475617.16440415</v>
      </c>
      <c r="D30" s="629">
        <v>545510274.81010413</v>
      </c>
      <c r="E30" s="629">
        <v>26689158.525500067</v>
      </c>
      <c r="F30" s="635">
        <v>9621354.5167999733</v>
      </c>
      <c r="G30" s="635">
        <v>5460082.4657000024</v>
      </c>
      <c r="H30" s="629">
        <v>3194746.8462999999</v>
      </c>
      <c r="I30" s="637">
        <f t="shared" si="1"/>
        <v>22390315.783400785</v>
      </c>
      <c r="J30" s="635">
        <v>10910205.496100783</v>
      </c>
      <c r="K30" s="635">
        <v>2668915.8527000058</v>
      </c>
      <c r="L30" s="635">
        <v>2886406.3552999967</v>
      </c>
      <c r="M30" s="635">
        <v>2730041.2330000009</v>
      </c>
      <c r="N30" s="635">
        <v>3194746.8462999999</v>
      </c>
      <c r="O30" s="529"/>
    </row>
    <row r="31" spans="1:15">
      <c r="A31" s="529">
        <v>25</v>
      </c>
      <c r="B31" s="538" t="s">
        <v>586</v>
      </c>
      <c r="C31" s="636">
        <f t="shared" si="0"/>
        <v>126315839.32149805</v>
      </c>
      <c r="D31" s="629">
        <v>110103739.82259808</v>
      </c>
      <c r="E31" s="629">
        <v>10395274.476999968</v>
      </c>
      <c r="F31" s="635">
        <v>3437744.4606000008</v>
      </c>
      <c r="G31" s="635">
        <v>1550626.6013000011</v>
      </c>
      <c r="H31" s="629">
        <v>828453.95999999973</v>
      </c>
      <c r="I31" s="637">
        <f t="shared" si="1"/>
        <v>5876692.8432000624</v>
      </c>
      <c r="J31" s="635">
        <v>2202074.7965000635</v>
      </c>
      <c r="K31" s="635">
        <v>1039527.447800001</v>
      </c>
      <c r="L31" s="635">
        <v>1031323.3381999976</v>
      </c>
      <c r="M31" s="635">
        <v>775313.30070000049</v>
      </c>
      <c r="N31" s="635">
        <v>828453.95999999973</v>
      </c>
      <c r="O31" s="529"/>
    </row>
    <row r="32" spans="1:15">
      <c r="A32" s="529">
        <v>26</v>
      </c>
      <c r="B32" s="538" t="s">
        <v>688</v>
      </c>
      <c r="C32" s="636">
        <f t="shared" si="0"/>
        <v>85941867.294799909</v>
      </c>
      <c r="D32" s="629">
        <v>78605509.139299914</v>
      </c>
      <c r="E32" s="629">
        <v>4206026.9973000027</v>
      </c>
      <c r="F32" s="635">
        <v>1642756.0081999998</v>
      </c>
      <c r="G32" s="635">
        <v>899456.40999999957</v>
      </c>
      <c r="H32" s="629">
        <v>588118.74000000022</v>
      </c>
      <c r="I32" s="637">
        <f t="shared" si="1"/>
        <v>3523386.6303999675</v>
      </c>
      <c r="J32" s="635">
        <v>1572110.1829999669</v>
      </c>
      <c r="K32" s="635">
        <v>420602.69990000001</v>
      </c>
      <c r="L32" s="635">
        <v>492826.80250000086</v>
      </c>
      <c r="M32" s="635">
        <v>449728.20499999978</v>
      </c>
      <c r="N32" s="635">
        <v>588118.74000000022</v>
      </c>
      <c r="O32" s="529"/>
    </row>
    <row r="33" spans="1:15">
      <c r="A33" s="529">
        <v>27</v>
      </c>
      <c r="B33" s="580" t="s">
        <v>68</v>
      </c>
      <c r="C33" s="636">
        <f>SUM(C7:C32)</f>
        <v>1516808740.1744013</v>
      </c>
      <c r="D33" s="637">
        <f>SUM(D7:D32)</f>
        <v>1350421511.7790012</v>
      </c>
      <c r="E33" s="637">
        <f t="shared" ref="E33:H33" si="2">SUM(E7:E32)</f>
        <v>103125961.46839997</v>
      </c>
      <c r="F33" s="637">
        <f t="shared" si="2"/>
        <v>36308663.358899988</v>
      </c>
      <c r="G33" s="637">
        <f t="shared" si="2"/>
        <v>14522878.875000006</v>
      </c>
      <c r="H33" s="637">
        <f t="shared" si="2"/>
        <v>12429724.6931</v>
      </c>
      <c r="I33" s="638">
        <f>SUM(I7:I32)</f>
        <v>67904789.522600919</v>
      </c>
      <c r="J33" s="638">
        <f t="shared" ref="J33:N33" si="3">SUM(J7:J32)</f>
        <v>27008430.235300925</v>
      </c>
      <c r="K33" s="638">
        <f t="shared" si="3"/>
        <v>10312596.148000009</v>
      </c>
      <c r="L33" s="638">
        <f t="shared" si="3"/>
        <v>10892599.008099994</v>
      </c>
      <c r="M33" s="638">
        <f t="shared" si="3"/>
        <v>7261439.4381000018</v>
      </c>
      <c r="N33" s="638">
        <f t="shared" si="3"/>
        <v>12429724.6931</v>
      </c>
      <c r="O33" s="529"/>
    </row>
    <row r="34" spans="1:15">
      <c r="A34" s="539"/>
      <c r="B34" s="539"/>
      <c r="C34" s="539"/>
      <c r="D34" s="539"/>
      <c r="E34" s="539"/>
      <c r="H34" s="539"/>
      <c r="I34" s="539"/>
      <c r="O34" s="539"/>
    </row>
    <row r="35" spans="1:15">
      <c r="A35" s="539"/>
      <c r="B35" s="541"/>
      <c r="C35" s="541"/>
      <c r="D35" s="539"/>
      <c r="E35" s="539"/>
      <c r="H35" s="539"/>
      <c r="I35" s="539"/>
      <c r="O35" s="539"/>
    </row>
    <row r="36" spans="1:15">
      <c r="A36" s="539"/>
      <c r="B36" s="539"/>
      <c r="C36" s="539"/>
      <c r="D36" s="539"/>
      <c r="E36" s="539"/>
      <c r="H36" s="539"/>
      <c r="I36" s="539"/>
      <c r="O36" s="539"/>
    </row>
    <row r="37" spans="1:15">
      <c r="A37" s="539"/>
      <c r="B37" s="539"/>
      <c r="C37" s="539"/>
      <c r="D37" s="539"/>
      <c r="E37" s="539"/>
      <c r="H37" s="539"/>
      <c r="I37" s="539"/>
      <c r="O37" s="539"/>
    </row>
    <row r="38" spans="1:15">
      <c r="A38" s="539"/>
      <c r="B38" s="539"/>
      <c r="C38" s="539"/>
      <c r="D38" s="539"/>
      <c r="E38" s="539"/>
      <c r="H38" s="539"/>
      <c r="I38" s="539"/>
      <c r="O38" s="539"/>
    </row>
    <row r="39" spans="1:15">
      <c r="A39" s="539"/>
      <c r="B39" s="539"/>
      <c r="C39" s="539"/>
      <c r="D39" s="539"/>
      <c r="E39" s="539"/>
      <c r="H39" s="539"/>
      <c r="I39" s="539"/>
      <c r="O39" s="539"/>
    </row>
    <row r="40" spans="1:15">
      <c r="A40" s="539"/>
      <c r="B40" s="539"/>
      <c r="C40" s="539"/>
      <c r="D40" s="539"/>
      <c r="E40" s="539"/>
      <c r="H40" s="539"/>
      <c r="I40" s="539"/>
      <c r="O40" s="539"/>
    </row>
    <row r="41" spans="1:15">
      <c r="A41" s="542"/>
      <c r="B41" s="542"/>
      <c r="C41" s="542"/>
      <c r="D41" s="539"/>
      <c r="E41" s="539"/>
      <c r="H41" s="539"/>
      <c r="I41" s="539"/>
      <c r="O41" s="539"/>
    </row>
    <row r="42" spans="1:15">
      <c r="A42" s="542"/>
      <c r="B42" s="542"/>
      <c r="C42" s="542"/>
      <c r="D42" s="539"/>
      <c r="E42" s="539"/>
      <c r="H42" s="539"/>
      <c r="I42" s="539"/>
      <c r="O42" s="539"/>
    </row>
    <row r="43" spans="1:15">
      <c r="A43" s="539"/>
      <c r="B43" s="543"/>
      <c r="C43" s="543"/>
      <c r="D43" s="539"/>
      <c r="E43" s="539"/>
      <c r="H43" s="539"/>
      <c r="I43" s="539"/>
      <c r="O43" s="539"/>
    </row>
    <row r="44" spans="1:15">
      <c r="A44" s="539"/>
      <c r="B44" s="543"/>
      <c r="C44" s="543"/>
      <c r="D44" s="539"/>
      <c r="E44" s="539"/>
      <c r="H44" s="539"/>
      <c r="I44" s="539"/>
      <c r="O44" s="539"/>
    </row>
    <row r="45" spans="1:15">
      <c r="A45" s="539"/>
      <c r="B45" s="543"/>
      <c r="C45" s="543"/>
      <c r="D45" s="539"/>
      <c r="E45" s="539"/>
      <c r="H45" s="539"/>
      <c r="I45" s="539"/>
      <c r="O45" s="539"/>
    </row>
    <row r="46" spans="1:15">
      <c r="A46" s="539"/>
      <c r="B46" s="539"/>
      <c r="C46" s="539"/>
      <c r="D46" s="539"/>
      <c r="E46" s="539"/>
      <c r="H46" s="539"/>
      <c r="I46" s="539"/>
      <c r="O46" s="53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80" zoomScaleNormal="80" workbookViewId="0">
      <selection activeCell="C6" sqref="C6:K11"/>
    </sheetView>
  </sheetViews>
  <sheetFormatPr defaultColWidth="8.7109375" defaultRowHeight="12"/>
  <cols>
    <col min="1" max="1" width="11.85546875" style="582" bestFit="1" customWidth="1"/>
    <col min="2" max="2" width="56.5703125" style="582" customWidth="1"/>
    <col min="3" max="3" width="23" style="582" customWidth="1"/>
    <col min="4" max="4" width="23.140625" style="582" customWidth="1"/>
    <col min="5" max="5" width="23.28515625" style="582" customWidth="1"/>
    <col min="6" max="6" width="22.140625" style="582" customWidth="1"/>
    <col min="7" max="7" width="20.7109375" style="582" customWidth="1"/>
    <col min="8" max="8" width="21.28515625" style="582" customWidth="1"/>
    <col min="9" max="9" width="22.28515625" style="582" customWidth="1"/>
    <col min="10" max="10" width="21.85546875" style="582" customWidth="1"/>
    <col min="11" max="11" width="24.28515625" style="582" customWidth="1"/>
    <col min="12" max="16384" width="8.7109375" style="582"/>
  </cols>
  <sheetData>
    <row r="1" spans="1:11" s="514" customFormat="1" ht="13.5">
      <c r="A1" s="513" t="s">
        <v>188</v>
      </c>
      <c r="B1" s="431" t="str">
        <f>Info!C2</f>
        <v>სს "კრედო ბანკი"</v>
      </c>
    </row>
    <row r="2" spans="1:11" s="514" customFormat="1" ht="12.75">
      <c r="A2" s="515" t="s">
        <v>189</v>
      </c>
      <c r="B2" s="517">
        <f>'1. key ratios'!B2</f>
        <v>44651</v>
      </c>
    </row>
    <row r="3" spans="1:11" s="514" customFormat="1" ht="12.75">
      <c r="A3" s="516" t="s">
        <v>689</v>
      </c>
    </row>
    <row r="4" spans="1:11">
      <c r="C4" s="583" t="s">
        <v>539</v>
      </c>
      <c r="D4" s="583" t="s">
        <v>540</v>
      </c>
      <c r="E4" s="583" t="s">
        <v>541</v>
      </c>
      <c r="F4" s="583" t="s">
        <v>542</v>
      </c>
      <c r="G4" s="583" t="s">
        <v>543</v>
      </c>
      <c r="H4" s="583" t="s">
        <v>544</v>
      </c>
      <c r="I4" s="583" t="s">
        <v>545</v>
      </c>
      <c r="J4" s="583" t="s">
        <v>546</v>
      </c>
      <c r="K4" s="583" t="s">
        <v>547</v>
      </c>
    </row>
    <row r="5" spans="1:11" ht="129.75" customHeight="1">
      <c r="A5" s="810" t="s">
        <v>690</v>
      </c>
      <c r="B5" s="811"/>
      <c r="C5" s="518" t="s">
        <v>691</v>
      </c>
      <c r="D5" s="518" t="s">
        <v>677</v>
      </c>
      <c r="E5" s="518" t="s">
        <v>678</v>
      </c>
      <c r="F5" s="518" t="s">
        <v>692</v>
      </c>
      <c r="G5" s="518" t="s">
        <v>693</v>
      </c>
      <c r="H5" s="518" t="s">
        <v>694</v>
      </c>
      <c r="I5" s="518" t="s">
        <v>695</v>
      </c>
      <c r="J5" s="518" t="s">
        <v>696</v>
      </c>
      <c r="K5" s="518" t="s">
        <v>697</v>
      </c>
    </row>
    <row r="6" spans="1:11" ht="12.75">
      <c r="A6" s="529">
        <v>1</v>
      </c>
      <c r="B6" s="529" t="s">
        <v>698</v>
      </c>
      <c r="C6" s="629">
        <v>5850249.2699999996</v>
      </c>
      <c r="D6" s="629">
        <v>9398777.4000000004</v>
      </c>
      <c r="E6" s="629"/>
      <c r="F6" s="629">
        <v>71477</v>
      </c>
      <c r="G6" s="629">
        <v>306266605.74930018</v>
      </c>
      <c r="H6" s="629"/>
      <c r="I6" s="629">
        <v>25457482</v>
      </c>
      <c r="J6" s="629">
        <v>41569.049899999998</v>
      </c>
      <c r="K6" s="629">
        <v>1169722579.5551999</v>
      </c>
    </row>
    <row r="7" spans="1:11" ht="12.75">
      <c r="A7" s="529">
        <v>2</v>
      </c>
      <c r="B7" s="530" t="s">
        <v>699</v>
      </c>
      <c r="C7" s="629"/>
      <c r="D7" s="629"/>
      <c r="E7" s="629"/>
      <c r="F7" s="629"/>
      <c r="G7" s="629"/>
      <c r="H7" s="629"/>
      <c r="I7" s="629"/>
      <c r="J7" s="629"/>
      <c r="K7" s="629"/>
    </row>
    <row r="8" spans="1:11" ht="12.75">
      <c r="A8" s="529">
        <v>3</v>
      </c>
      <c r="B8" s="530" t="s">
        <v>649</v>
      </c>
      <c r="C8" s="629"/>
      <c r="D8" s="629"/>
      <c r="E8" s="629"/>
      <c r="F8" s="629"/>
      <c r="G8" s="629">
        <v>30000</v>
      </c>
      <c r="H8" s="629"/>
      <c r="I8" s="629"/>
      <c r="J8" s="629"/>
      <c r="K8" s="629">
        <v>34698427.93</v>
      </c>
    </row>
    <row r="9" spans="1:11" ht="12.75">
      <c r="A9" s="529">
        <v>4</v>
      </c>
      <c r="B9" s="563" t="s">
        <v>700</v>
      </c>
      <c r="C9" s="629"/>
      <c r="D9" s="629"/>
      <c r="E9" s="629"/>
      <c r="F9" s="629"/>
      <c r="G9" s="629">
        <v>15721709</v>
      </c>
      <c r="H9" s="629"/>
      <c r="I9" s="629">
        <v>568800</v>
      </c>
      <c r="J9" s="629">
        <v>1839</v>
      </c>
      <c r="K9" s="629">
        <v>46968919</v>
      </c>
    </row>
    <row r="10" spans="1:11" ht="12.75">
      <c r="A10" s="529">
        <v>5</v>
      </c>
      <c r="B10" s="584" t="s">
        <v>701</v>
      </c>
      <c r="C10" s="629"/>
      <c r="D10" s="629"/>
      <c r="E10" s="629"/>
      <c r="F10" s="629"/>
      <c r="G10" s="629"/>
      <c r="H10" s="629"/>
      <c r="I10" s="629"/>
      <c r="J10" s="629"/>
      <c r="K10" s="629"/>
    </row>
    <row r="11" spans="1:11" ht="12.75">
      <c r="A11" s="529">
        <v>6</v>
      </c>
      <c r="B11" s="584" t="s">
        <v>702</v>
      </c>
      <c r="C11" s="629"/>
      <c r="D11" s="629"/>
      <c r="E11" s="629"/>
      <c r="F11" s="629"/>
      <c r="G11" s="629"/>
      <c r="H11" s="629"/>
      <c r="I11" s="629"/>
      <c r="J11" s="629"/>
      <c r="K11" s="62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tabSelected="1" zoomScale="80" zoomScaleNormal="80" workbookViewId="0">
      <pane xSplit="1" topLeftCell="H1" activePane="topRight" state="frozen"/>
      <selection pane="topRight" activeCell="R19" sqref="R19:S19"/>
    </sheetView>
  </sheetViews>
  <sheetFormatPr defaultRowHeight="15"/>
  <cols>
    <col min="1" max="1" width="10" bestFit="1" customWidth="1"/>
    <col min="2" max="2" width="48.85546875" customWidth="1"/>
    <col min="3" max="3" width="17.140625" bestFit="1" customWidth="1"/>
    <col min="4" max="4" width="15.28515625" bestFit="1" customWidth="1"/>
    <col min="5" max="5" width="14.28515625" bestFit="1" customWidth="1"/>
    <col min="6" max="6" width="16.140625" bestFit="1" customWidth="1"/>
    <col min="7" max="7" width="12.85546875" bestFit="1" customWidth="1"/>
    <col min="8" max="8" width="13.140625" bestFit="1" customWidth="1"/>
    <col min="9" max="9" width="14.28515625" bestFit="1" customWidth="1"/>
    <col min="10" max="10" width="14.140625" bestFit="1" customWidth="1"/>
    <col min="11" max="11" width="13.140625" bestFit="1" customWidth="1"/>
    <col min="12" max="12" width="16.140625" bestFit="1" customWidth="1"/>
    <col min="13" max="14" width="13.140625" bestFit="1" customWidth="1"/>
    <col min="15" max="15" width="18" bestFit="1" customWidth="1"/>
    <col min="16" max="17" width="26.5703125" customWidth="1"/>
    <col min="18" max="19" width="26.42578125" customWidth="1"/>
  </cols>
  <sheetData>
    <row r="1" spans="1:19">
      <c r="A1" s="659" t="s">
        <v>188</v>
      </c>
      <c r="B1" s="431" t="str">
        <f>'25. Collateral'!B1</f>
        <v>სს "კრედო ბანკი"</v>
      </c>
    </row>
    <row r="2" spans="1:19">
      <c r="A2" s="659" t="s">
        <v>189</v>
      </c>
      <c r="B2" s="517">
        <f>'25. Collateral'!B2</f>
        <v>44651</v>
      </c>
    </row>
    <row r="3" spans="1:19">
      <c r="A3" s="660" t="s">
        <v>716</v>
      </c>
      <c r="B3" s="514"/>
    </row>
    <row r="4" spans="1:19">
      <c r="A4" s="660"/>
      <c r="B4" s="514"/>
    </row>
    <row r="5" spans="1:19" ht="24" customHeight="1">
      <c r="A5" s="813" t="s">
        <v>732</v>
      </c>
      <c r="B5" s="813"/>
      <c r="C5" s="814" t="s">
        <v>652</v>
      </c>
      <c r="D5" s="814"/>
      <c r="E5" s="814"/>
      <c r="F5" s="814"/>
      <c r="G5" s="814"/>
      <c r="H5" s="814"/>
      <c r="I5" s="814" t="s">
        <v>738</v>
      </c>
      <c r="J5" s="814"/>
      <c r="K5" s="814"/>
      <c r="L5" s="814"/>
      <c r="M5" s="814"/>
      <c r="N5" s="814"/>
      <c r="O5" s="812" t="s">
        <v>729</v>
      </c>
      <c r="P5" s="812" t="s">
        <v>735</v>
      </c>
      <c r="Q5" s="812" t="s">
        <v>734</v>
      </c>
      <c r="R5" s="812" t="s">
        <v>737</v>
      </c>
      <c r="S5" s="812" t="s">
        <v>730</v>
      </c>
    </row>
    <row r="6" spans="1:19" ht="36" customHeight="1">
      <c r="A6" s="813"/>
      <c r="B6" s="813"/>
      <c r="C6" s="598"/>
      <c r="D6" s="647" t="s">
        <v>683</v>
      </c>
      <c r="E6" s="647" t="s">
        <v>684</v>
      </c>
      <c r="F6" s="647" t="s">
        <v>685</v>
      </c>
      <c r="G6" s="647" t="s">
        <v>686</v>
      </c>
      <c r="H6" s="647" t="s">
        <v>687</v>
      </c>
      <c r="I6" s="598"/>
      <c r="J6" s="647" t="s">
        <v>683</v>
      </c>
      <c r="K6" s="647" t="s">
        <v>684</v>
      </c>
      <c r="L6" s="647" t="s">
        <v>685</v>
      </c>
      <c r="M6" s="647" t="s">
        <v>686</v>
      </c>
      <c r="N6" s="647" t="s">
        <v>687</v>
      </c>
      <c r="O6" s="812"/>
      <c r="P6" s="812"/>
      <c r="Q6" s="812"/>
      <c r="R6" s="812"/>
      <c r="S6" s="812"/>
    </row>
    <row r="7" spans="1:19">
      <c r="A7" s="596">
        <v>1</v>
      </c>
      <c r="B7" s="661" t="s">
        <v>717</v>
      </c>
      <c r="C7" s="646">
        <f>SUM(D7:H7)</f>
        <v>14030476.740000002</v>
      </c>
      <c r="D7" s="644">
        <v>12146070.42</v>
      </c>
      <c r="E7" s="644">
        <v>862211.38</v>
      </c>
      <c r="F7" s="644">
        <v>634392.06000000006</v>
      </c>
      <c r="G7" s="644">
        <v>228343.32</v>
      </c>
      <c r="H7" s="644">
        <v>159459.56</v>
      </c>
      <c r="I7" s="646">
        <f>SUM(J7:N7)</f>
        <v>793091.3899999999</v>
      </c>
      <c r="J7" s="644">
        <v>242921.41</v>
      </c>
      <c r="K7" s="644">
        <v>86221.14</v>
      </c>
      <c r="L7" s="644">
        <v>190317.62</v>
      </c>
      <c r="M7" s="644">
        <v>114171.66</v>
      </c>
      <c r="N7" s="644">
        <v>159459.56</v>
      </c>
      <c r="O7" s="644">
        <v>13330</v>
      </c>
      <c r="P7" s="672">
        <v>0.18248570286328192</v>
      </c>
      <c r="Q7" s="672">
        <v>0.28939141233337989</v>
      </c>
      <c r="R7" s="672">
        <v>0.22</v>
      </c>
      <c r="S7" s="670">
        <v>27.016442999999999</v>
      </c>
    </row>
    <row r="8" spans="1:19">
      <c r="A8" s="596">
        <v>2</v>
      </c>
      <c r="B8" s="662" t="s">
        <v>718</v>
      </c>
      <c r="C8" s="646">
        <f t="shared" ref="C8:C18" si="0">SUM(D8:H8)</f>
        <v>691553484.38</v>
      </c>
      <c r="D8" s="644">
        <v>618059271.5</v>
      </c>
      <c r="E8" s="644">
        <v>44244366.25</v>
      </c>
      <c r="F8" s="644">
        <v>17636491.350000001</v>
      </c>
      <c r="G8" s="644">
        <v>6297861.8499999996</v>
      </c>
      <c r="H8" s="644">
        <v>5315493.4300000006</v>
      </c>
      <c r="I8" s="646">
        <f t="shared" ref="I8:I18" si="1">SUM(J8:N8)</f>
        <v>30540993.819999997</v>
      </c>
      <c r="J8" s="644">
        <v>12361185.43</v>
      </c>
      <c r="K8" s="644">
        <v>4424436.63</v>
      </c>
      <c r="L8" s="644">
        <v>5290947.3999999994</v>
      </c>
      <c r="M8" s="644">
        <v>3148930.93</v>
      </c>
      <c r="N8" s="644">
        <v>5315493.4300000006</v>
      </c>
      <c r="O8" s="644">
        <v>185697</v>
      </c>
      <c r="P8" s="672">
        <v>0.24276087392502002</v>
      </c>
      <c r="Q8" s="672">
        <v>0.33276087392502002</v>
      </c>
      <c r="R8" s="672">
        <v>0.24</v>
      </c>
      <c r="S8" s="670">
        <v>34.855254000000002</v>
      </c>
    </row>
    <row r="9" spans="1:19">
      <c r="A9" s="596">
        <v>3</v>
      </c>
      <c r="B9" s="662" t="s">
        <v>719</v>
      </c>
      <c r="C9" s="646">
        <f t="shared" si="0"/>
        <v>0</v>
      </c>
      <c r="D9" s="644">
        <v>0</v>
      </c>
      <c r="E9" s="644">
        <v>0</v>
      </c>
      <c r="F9" s="644">
        <v>0</v>
      </c>
      <c r="G9" s="644">
        <v>0</v>
      </c>
      <c r="H9" s="644">
        <v>0</v>
      </c>
      <c r="I9" s="646">
        <f t="shared" si="1"/>
        <v>0</v>
      </c>
      <c r="J9" s="644">
        <v>0</v>
      </c>
      <c r="K9" s="644">
        <v>0</v>
      </c>
      <c r="L9" s="644">
        <v>0</v>
      </c>
      <c r="M9" s="644">
        <v>0</v>
      </c>
      <c r="N9" s="644">
        <v>0</v>
      </c>
      <c r="O9" s="644">
        <v>0</v>
      </c>
      <c r="P9" s="673"/>
      <c r="Q9" s="672"/>
      <c r="R9" s="673"/>
      <c r="S9" s="670"/>
    </row>
    <row r="10" spans="1:19">
      <c r="A10" s="596">
        <v>4</v>
      </c>
      <c r="B10" s="662" t="s">
        <v>720</v>
      </c>
      <c r="C10" s="646">
        <f t="shared" si="0"/>
        <v>151750113.03000003</v>
      </c>
      <c r="D10" s="644">
        <v>145871257.83000001</v>
      </c>
      <c r="E10" s="644">
        <v>2951656.65</v>
      </c>
      <c r="F10" s="644">
        <v>1612536.08</v>
      </c>
      <c r="G10" s="644">
        <v>1188024.49</v>
      </c>
      <c r="H10" s="644">
        <v>126637.98</v>
      </c>
      <c r="I10" s="646">
        <f t="shared" si="1"/>
        <v>4417001.8800000008</v>
      </c>
      <c r="J10" s="644">
        <v>2917425.16</v>
      </c>
      <c r="K10" s="644">
        <v>295165.67</v>
      </c>
      <c r="L10" s="644">
        <v>483760.82</v>
      </c>
      <c r="M10" s="644">
        <v>594012.25</v>
      </c>
      <c r="N10" s="644">
        <v>126637.98</v>
      </c>
      <c r="O10" s="644">
        <v>233755</v>
      </c>
      <c r="P10" s="672">
        <v>3.0000000000000002E-2</v>
      </c>
      <c r="Q10" s="672">
        <v>0.21650626334401046</v>
      </c>
      <c r="R10" s="672">
        <v>0.03</v>
      </c>
      <c r="S10" s="670">
        <v>10.81508</v>
      </c>
    </row>
    <row r="11" spans="1:19">
      <c r="A11" s="596">
        <v>5</v>
      </c>
      <c r="B11" s="662" t="s">
        <v>721</v>
      </c>
      <c r="C11" s="646">
        <f t="shared" si="0"/>
        <v>60039.789999999994</v>
      </c>
      <c r="D11" s="644">
        <v>38248.199999999997</v>
      </c>
      <c r="E11" s="644">
        <v>10256.67</v>
      </c>
      <c r="F11" s="644">
        <v>10012.030000000001</v>
      </c>
      <c r="G11" s="644">
        <v>718.76</v>
      </c>
      <c r="H11" s="644">
        <v>804.13</v>
      </c>
      <c r="I11" s="646">
        <f t="shared" si="1"/>
        <v>5957.75</v>
      </c>
      <c r="J11" s="644">
        <v>764.96</v>
      </c>
      <c r="K11" s="644">
        <v>1025.67</v>
      </c>
      <c r="L11" s="644">
        <v>3003.61</v>
      </c>
      <c r="M11" s="644">
        <v>359.38</v>
      </c>
      <c r="N11" s="644">
        <v>804.13</v>
      </c>
      <c r="O11" s="644">
        <v>44</v>
      </c>
      <c r="P11" s="672">
        <v>0.19258984205148569</v>
      </c>
      <c r="Q11" s="672">
        <v>0.35173705602268401</v>
      </c>
      <c r="R11" s="672">
        <v>0.37</v>
      </c>
      <c r="S11" s="670">
        <v>8.1639850000000003</v>
      </c>
    </row>
    <row r="12" spans="1:19">
      <c r="A12" s="596">
        <v>6</v>
      </c>
      <c r="B12" s="662" t="s">
        <v>722</v>
      </c>
      <c r="C12" s="646">
        <f t="shared" si="0"/>
        <v>7917382.71</v>
      </c>
      <c r="D12" s="644">
        <v>7694859.71</v>
      </c>
      <c r="E12" s="644">
        <v>196186.66</v>
      </c>
      <c r="F12" s="644">
        <v>10335.620000000001</v>
      </c>
      <c r="G12" s="644">
        <v>10728.33</v>
      </c>
      <c r="H12" s="644">
        <v>5272.39</v>
      </c>
      <c r="I12" s="646">
        <f t="shared" si="1"/>
        <v>187253.11000000002</v>
      </c>
      <c r="J12" s="644">
        <v>153897.19</v>
      </c>
      <c r="K12" s="644">
        <v>19618.669999999998</v>
      </c>
      <c r="L12" s="644">
        <v>3100.69</v>
      </c>
      <c r="M12" s="644">
        <v>5364.17</v>
      </c>
      <c r="N12" s="644">
        <v>5272.39</v>
      </c>
      <c r="O12" s="644">
        <v>16767</v>
      </c>
      <c r="P12" s="672">
        <v>0.29999999999999993</v>
      </c>
      <c r="Q12" s="672">
        <v>0.37</v>
      </c>
      <c r="R12" s="672">
        <v>0.28999999999999998</v>
      </c>
      <c r="S12" s="670">
        <v>306.07402200000001</v>
      </c>
    </row>
    <row r="13" spans="1:19">
      <c r="A13" s="596">
        <v>7</v>
      </c>
      <c r="B13" s="662" t="s">
        <v>723</v>
      </c>
      <c r="C13" s="646">
        <f t="shared" si="0"/>
        <v>135034240.29999998</v>
      </c>
      <c r="D13" s="644">
        <v>126994247.47999999</v>
      </c>
      <c r="E13" s="644">
        <v>4056200.2499999995</v>
      </c>
      <c r="F13" s="644">
        <v>2513688.0099999998</v>
      </c>
      <c r="G13" s="644">
        <v>982837.99</v>
      </c>
      <c r="H13" s="644">
        <v>487266.57</v>
      </c>
      <c r="I13" s="646">
        <f t="shared" si="1"/>
        <v>4678296.9400000004</v>
      </c>
      <c r="J13" s="644">
        <v>2539884.94</v>
      </c>
      <c r="K13" s="644">
        <v>405620.04</v>
      </c>
      <c r="L13" s="644">
        <v>754106.39</v>
      </c>
      <c r="M13" s="644">
        <v>491419</v>
      </c>
      <c r="N13" s="644">
        <v>487266.57</v>
      </c>
      <c r="O13" s="644">
        <v>19680</v>
      </c>
      <c r="P13" s="672">
        <v>0.20368269004229014</v>
      </c>
      <c r="Q13" s="672">
        <v>0.27649079724361419</v>
      </c>
      <c r="R13" s="672">
        <v>0.21</v>
      </c>
      <c r="S13" s="670">
        <v>45.967008999999997</v>
      </c>
    </row>
    <row r="14" spans="1:19" ht="25.5">
      <c r="A14" s="663">
        <v>7.1</v>
      </c>
      <c r="B14" s="664" t="s">
        <v>724</v>
      </c>
      <c r="C14" s="646">
        <f t="shared" si="0"/>
        <v>27300576.629999999</v>
      </c>
      <c r="D14" s="644">
        <v>26054034.780000001</v>
      </c>
      <c r="E14" s="644">
        <v>437772.11000000004</v>
      </c>
      <c r="F14" s="644">
        <v>678159.79</v>
      </c>
      <c r="G14" s="644">
        <v>109753.64</v>
      </c>
      <c r="H14" s="644">
        <v>20856.310000000001</v>
      </c>
      <c r="I14" s="646">
        <f t="shared" si="1"/>
        <v>844038.96000000008</v>
      </c>
      <c r="J14" s="644">
        <v>521080.69</v>
      </c>
      <c r="K14" s="644">
        <v>43777.21</v>
      </c>
      <c r="L14" s="644">
        <v>203447.93</v>
      </c>
      <c r="M14" s="644">
        <v>54876.82</v>
      </c>
      <c r="N14" s="644">
        <v>20856.310000000001</v>
      </c>
      <c r="O14" s="644">
        <v>660</v>
      </c>
      <c r="P14" s="672">
        <v>0.11813445897556689</v>
      </c>
      <c r="Q14" s="672">
        <v>0.14232962039498753</v>
      </c>
      <c r="R14" s="672">
        <v>0.13</v>
      </c>
      <c r="S14" s="670">
        <v>97.525829000000002</v>
      </c>
    </row>
    <row r="15" spans="1:19" ht="25.5">
      <c r="A15" s="663">
        <v>7.2</v>
      </c>
      <c r="B15" s="664" t="s">
        <v>725</v>
      </c>
      <c r="C15" s="646">
        <f t="shared" si="0"/>
        <v>2445277.2999999998</v>
      </c>
      <c r="D15" s="644">
        <v>2381690.8199999998</v>
      </c>
      <c r="E15" s="644">
        <v>43666.67</v>
      </c>
      <c r="F15" s="644">
        <v>19919.810000000001</v>
      </c>
      <c r="G15" s="644">
        <v>0</v>
      </c>
      <c r="H15" s="644">
        <v>0</v>
      </c>
      <c r="I15" s="646">
        <f t="shared" si="1"/>
        <v>57976.420000000006</v>
      </c>
      <c r="J15" s="644">
        <v>47633.810000000005</v>
      </c>
      <c r="K15" s="644">
        <v>4366.67</v>
      </c>
      <c r="L15" s="644">
        <v>5975.9400000000005</v>
      </c>
      <c r="M15" s="644">
        <v>0</v>
      </c>
      <c r="N15" s="644">
        <v>0</v>
      </c>
      <c r="O15" s="644">
        <v>61</v>
      </c>
      <c r="P15" s="672">
        <v>0.11011073113125626</v>
      </c>
      <c r="Q15" s="672">
        <v>0.1294879565971046</v>
      </c>
      <c r="R15" s="672">
        <v>0.14000000000000001</v>
      </c>
      <c r="S15" s="670">
        <v>94.283178000000007</v>
      </c>
    </row>
    <row r="16" spans="1:19">
      <c r="A16" s="663">
        <v>7.3</v>
      </c>
      <c r="B16" s="664" t="s">
        <v>726</v>
      </c>
      <c r="C16" s="646">
        <f t="shared" si="0"/>
        <v>105288386.36999999</v>
      </c>
      <c r="D16" s="644">
        <v>98558521.879999995</v>
      </c>
      <c r="E16" s="644">
        <v>3574761.4699999997</v>
      </c>
      <c r="F16" s="644">
        <v>1815608.41</v>
      </c>
      <c r="G16" s="644">
        <v>873084.35</v>
      </c>
      <c r="H16" s="644">
        <v>466410.26</v>
      </c>
      <c r="I16" s="646">
        <f t="shared" si="1"/>
        <v>3776281.5600000005</v>
      </c>
      <c r="J16" s="644">
        <v>1971170.44</v>
      </c>
      <c r="K16" s="644">
        <v>357476.16</v>
      </c>
      <c r="L16" s="644">
        <v>544682.52</v>
      </c>
      <c r="M16" s="644">
        <v>436542.18</v>
      </c>
      <c r="N16" s="644">
        <v>466410.26</v>
      </c>
      <c r="O16" s="644">
        <v>18959</v>
      </c>
      <c r="P16" s="672">
        <v>0.24283602814467084</v>
      </c>
      <c r="Q16" s="672">
        <v>0.33567205628934166</v>
      </c>
      <c r="R16" s="672">
        <v>0.23</v>
      </c>
      <c r="S16" s="670">
        <v>31.390471999999999</v>
      </c>
    </row>
    <row r="17" spans="1:19">
      <c r="A17" s="596">
        <v>8</v>
      </c>
      <c r="B17" s="662" t="s">
        <v>727</v>
      </c>
      <c r="C17" s="646">
        <f t="shared" si="0"/>
        <v>0</v>
      </c>
      <c r="D17" s="644">
        <v>0</v>
      </c>
      <c r="E17" s="644">
        <v>0</v>
      </c>
      <c r="F17" s="644">
        <v>0</v>
      </c>
      <c r="G17" s="644">
        <v>0</v>
      </c>
      <c r="H17" s="644">
        <v>0</v>
      </c>
      <c r="I17" s="646">
        <f t="shared" si="1"/>
        <v>0</v>
      </c>
      <c r="J17" s="644">
        <v>0</v>
      </c>
      <c r="K17" s="644">
        <v>0</v>
      </c>
      <c r="L17" s="644">
        <v>0</v>
      </c>
      <c r="M17" s="644">
        <v>0</v>
      </c>
      <c r="N17" s="644">
        <v>0</v>
      </c>
      <c r="O17" s="644">
        <v>0</v>
      </c>
      <c r="P17" s="673"/>
      <c r="Q17" s="672"/>
      <c r="R17" s="673"/>
      <c r="S17" s="670"/>
    </row>
    <row r="18" spans="1:19">
      <c r="A18" s="597">
        <v>9</v>
      </c>
      <c r="B18" s="665" t="s">
        <v>728</v>
      </c>
      <c r="C18" s="646">
        <f t="shared" si="0"/>
        <v>2132103.5499999998</v>
      </c>
      <c r="D18" s="645">
        <v>1934330.76</v>
      </c>
      <c r="E18" s="645">
        <v>149714.39000000001</v>
      </c>
      <c r="F18" s="645">
        <v>27286.83</v>
      </c>
      <c r="G18" s="645">
        <v>20771.57</v>
      </c>
      <c r="H18" s="645">
        <v>0</v>
      </c>
      <c r="I18" s="646">
        <f t="shared" si="1"/>
        <v>72229.899999999994</v>
      </c>
      <c r="J18" s="645">
        <v>38686.620000000003</v>
      </c>
      <c r="K18" s="645">
        <v>14971.439999999999</v>
      </c>
      <c r="L18" s="645">
        <v>8186.05</v>
      </c>
      <c r="M18" s="645">
        <v>10385.790000000001</v>
      </c>
      <c r="N18" s="645">
        <v>0</v>
      </c>
      <c r="O18" s="645">
        <v>945</v>
      </c>
      <c r="P18" s="674">
        <v>0.16151490802344143</v>
      </c>
      <c r="Q18" s="674">
        <v>0.21151490802344144</v>
      </c>
      <c r="R18" s="674">
        <v>0.15</v>
      </c>
      <c r="S18" s="671">
        <v>32.844673999999998</v>
      </c>
    </row>
    <row r="19" spans="1:19">
      <c r="A19" s="596">
        <v>10</v>
      </c>
      <c r="B19" s="666" t="s">
        <v>733</v>
      </c>
      <c r="C19" s="646">
        <f>SUM(C7:C13)+SUM(C17:C18)</f>
        <v>1002477840.5</v>
      </c>
      <c r="D19" s="646">
        <f>SUM(D7:D13)+SUM(D17:D18)</f>
        <v>912738285.9000001</v>
      </c>
      <c r="E19" s="646">
        <f t="shared" ref="E19:H19" si="2">SUM(E7:E13)+SUM(E17:E18)</f>
        <v>52470592.25</v>
      </c>
      <c r="F19" s="646">
        <f t="shared" si="2"/>
        <v>22444741.980000004</v>
      </c>
      <c r="G19" s="646">
        <f t="shared" si="2"/>
        <v>8729286.3100000005</v>
      </c>
      <c r="H19" s="646">
        <f t="shared" si="2"/>
        <v>6094934.0600000005</v>
      </c>
      <c r="I19" s="646">
        <f>SUM(I7:I13)+SUM(I17:I18)</f>
        <v>40694824.789999992</v>
      </c>
      <c r="J19" s="646">
        <f>SUM(J7:J13)+SUM(J17:J18)</f>
        <v>18254765.710000001</v>
      </c>
      <c r="K19" s="646">
        <f t="shared" ref="K19:O19" si="3">SUM(K7:K13)+SUM(K17:K18)</f>
        <v>5247059.26</v>
      </c>
      <c r="L19" s="646">
        <f t="shared" si="3"/>
        <v>6733422.5800000001</v>
      </c>
      <c r="M19" s="646">
        <f t="shared" si="3"/>
        <v>4364643.1800000006</v>
      </c>
      <c r="N19" s="646">
        <f t="shared" si="3"/>
        <v>6094934.0600000005</v>
      </c>
      <c r="O19" s="646">
        <f t="shared" si="3"/>
        <v>470218</v>
      </c>
      <c r="P19" s="669">
        <v>0.19870312080957137</v>
      </c>
      <c r="Q19" s="669">
        <v>0.30307113431353516</v>
      </c>
      <c r="R19" s="816">
        <v>0.2</v>
      </c>
      <c r="S19" s="817">
        <v>34.72</v>
      </c>
    </row>
    <row r="20" spans="1:19" ht="25.5">
      <c r="A20" s="663">
        <v>10.1</v>
      </c>
      <c r="B20" s="664" t="s">
        <v>736</v>
      </c>
      <c r="C20" s="644"/>
      <c r="D20" s="644"/>
      <c r="E20" s="644"/>
      <c r="F20" s="644"/>
      <c r="G20" s="644"/>
      <c r="H20" s="644"/>
      <c r="I20" s="644"/>
      <c r="J20" s="644"/>
      <c r="K20" s="644"/>
      <c r="L20" s="644"/>
      <c r="M20" s="644"/>
      <c r="N20" s="644"/>
      <c r="O20" s="644"/>
      <c r="P20" s="667"/>
      <c r="Q20" s="667"/>
      <c r="R20" s="667"/>
      <c r="S20" s="668"/>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workbookViewId="0">
      <pane xSplit="1" ySplit="5" topLeftCell="B29" activePane="bottomRight" state="frozen"/>
      <selection pane="topRight" activeCell="B1" sqref="B1"/>
      <selection pane="bottomLeft" activeCell="A5" sqref="A5"/>
      <selection pane="bottomRight" activeCell="D43" sqref="D43"/>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9" ht="15.75">
      <c r="A1" s="17" t="s">
        <v>188</v>
      </c>
      <c r="B1" s="335" t="str">
        <f>Info!C2</f>
        <v>სს "კრედო ბანკი"</v>
      </c>
    </row>
    <row r="2" spans="1:9" ht="15.75">
      <c r="A2" s="17" t="s">
        <v>189</v>
      </c>
      <c r="B2" s="469">
        <f>'1. key ratios'!B2</f>
        <v>44651</v>
      </c>
    </row>
    <row r="3" spans="1:9" ht="15.75">
      <c r="A3" s="17"/>
    </row>
    <row r="4" spans="1:9" ht="16.5" thickBot="1">
      <c r="A4" s="30" t="s">
        <v>328</v>
      </c>
      <c r="B4" s="69" t="s">
        <v>243</v>
      </c>
      <c r="C4" s="30"/>
      <c r="D4" s="31"/>
      <c r="E4" s="31"/>
      <c r="F4" s="32"/>
      <c r="G4" s="32"/>
      <c r="H4" s="33" t="s">
        <v>93</v>
      </c>
    </row>
    <row r="5" spans="1:9" ht="15.75">
      <c r="A5" s="34"/>
      <c r="B5" s="35"/>
      <c r="C5" s="710" t="s">
        <v>194</v>
      </c>
      <c r="D5" s="711"/>
      <c r="E5" s="712"/>
      <c r="F5" s="710" t="s">
        <v>195</v>
      </c>
      <c r="G5" s="711"/>
      <c r="H5" s="713"/>
    </row>
    <row r="6" spans="1:9" ht="15.75">
      <c r="A6" s="36" t="s">
        <v>26</v>
      </c>
      <c r="B6" s="37" t="s">
        <v>153</v>
      </c>
      <c r="C6" s="38" t="s">
        <v>27</v>
      </c>
      <c r="D6" s="38" t="s">
        <v>94</v>
      </c>
      <c r="E6" s="38" t="s">
        <v>68</v>
      </c>
      <c r="F6" s="38" t="s">
        <v>27</v>
      </c>
      <c r="G6" s="38" t="s">
        <v>94</v>
      </c>
      <c r="H6" s="39" t="s">
        <v>68</v>
      </c>
    </row>
    <row r="7" spans="1:9" ht="15.75">
      <c r="A7" s="36">
        <v>1</v>
      </c>
      <c r="B7" s="40" t="s">
        <v>154</v>
      </c>
      <c r="C7" s="229">
        <v>37691043.120000005</v>
      </c>
      <c r="D7" s="229">
        <v>25083907.259999998</v>
      </c>
      <c r="E7" s="230">
        <f>C7+D7</f>
        <v>62774950.380000003</v>
      </c>
      <c r="F7" s="231">
        <v>25664474.629999999</v>
      </c>
      <c r="G7" s="232">
        <v>19806445.02</v>
      </c>
      <c r="H7" s="233">
        <f>F7+G7</f>
        <v>45470919.649999999</v>
      </c>
    </row>
    <row r="8" spans="1:9" ht="15.75">
      <c r="A8" s="36">
        <v>2</v>
      </c>
      <c r="B8" s="40" t="s">
        <v>155</v>
      </c>
      <c r="C8" s="229">
        <v>72804557.090000004</v>
      </c>
      <c r="D8" s="229">
        <v>18162513.710000001</v>
      </c>
      <c r="E8" s="230">
        <f t="shared" ref="E8:E20" si="0">C8+D8</f>
        <v>90967070.800000012</v>
      </c>
      <c r="F8" s="231">
        <v>38442853.649999999</v>
      </c>
      <c r="G8" s="232">
        <v>61856868.410000004</v>
      </c>
      <c r="H8" s="233">
        <f t="shared" ref="H8:H40" si="1">F8+G8</f>
        <v>100299722.06</v>
      </c>
    </row>
    <row r="9" spans="1:9" ht="15.75">
      <c r="A9" s="36">
        <v>3</v>
      </c>
      <c r="B9" s="40" t="s">
        <v>156</v>
      </c>
      <c r="C9" s="229">
        <v>1620082.63</v>
      </c>
      <c r="D9" s="229">
        <v>19768875.809999999</v>
      </c>
      <c r="E9" s="230">
        <f t="shared" si="0"/>
        <v>21388958.439999998</v>
      </c>
      <c r="F9" s="231">
        <v>695776.98</v>
      </c>
      <c r="G9" s="232">
        <v>36631353.680000007</v>
      </c>
      <c r="H9" s="233">
        <f t="shared" si="1"/>
        <v>37327130.660000004</v>
      </c>
    </row>
    <row r="10" spans="1:9" ht="15.75">
      <c r="A10" s="36">
        <v>4</v>
      </c>
      <c r="B10" s="40" t="s">
        <v>185</v>
      </c>
      <c r="C10" s="229">
        <v>0</v>
      </c>
      <c r="D10" s="229">
        <v>0</v>
      </c>
      <c r="E10" s="230">
        <f t="shared" si="0"/>
        <v>0</v>
      </c>
      <c r="F10" s="231">
        <v>0</v>
      </c>
      <c r="G10" s="232">
        <v>0</v>
      </c>
      <c r="H10" s="233">
        <f t="shared" si="1"/>
        <v>0</v>
      </c>
    </row>
    <row r="11" spans="1:9" ht="15.75">
      <c r="A11" s="36">
        <v>5</v>
      </c>
      <c r="B11" s="40" t="s">
        <v>157</v>
      </c>
      <c r="C11" s="229">
        <v>50990421.810000002</v>
      </c>
      <c r="D11" s="229">
        <v>0</v>
      </c>
      <c r="E11" s="230">
        <f t="shared" si="0"/>
        <v>50990421.810000002</v>
      </c>
      <c r="F11" s="231">
        <v>42819663.519999996</v>
      </c>
      <c r="G11" s="232">
        <v>0</v>
      </c>
      <c r="H11" s="233">
        <f t="shared" si="1"/>
        <v>42819663.519999996</v>
      </c>
    </row>
    <row r="12" spans="1:9" ht="15.75">
      <c r="A12" s="36">
        <v>6.1</v>
      </c>
      <c r="B12" s="41" t="s">
        <v>158</v>
      </c>
      <c r="C12" s="229">
        <v>1368499725.5199997</v>
      </c>
      <c r="D12" s="229">
        <v>148309014.65440002</v>
      </c>
      <c r="E12" s="230">
        <f t="shared" si="0"/>
        <v>1516808740.1743999</v>
      </c>
      <c r="F12" s="231">
        <v>982486427.13999999</v>
      </c>
      <c r="G12" s="232">
        <v>105277895.8175</v>
      </c>
      <c r="H12" s="233">
        <f t="shared" si="1"/>
        <v>1087764322.9575</v>
      </c>
    </row>
    <row r="13" spans="1:9" ht="15.75">
      <c r="A13" s="36">
        <v>6.2</v>
      </c>
      <c r="B13" s="41" t="s">
        <v>159</v>
      </c>
      <c r="C13" s="229">
        <v>-57597204.209800005</v>
      </c>
      <c r="D13" s="229">
        <v>-10307585.312800001</v>
      </c>
      <c r="E13" s="230">
        <f t="shared" si="0"/>
        <v>-67904789.52260001</v>
      </c>
      <c r="F13" s="231">
        <v>-34687255.000597298</v>
      </c>
      <c r="G13" s="232">
        <v>-4676719.0288620004</v>
      </c>
      <c r="H13" s="233">
        <f t="shared" si="1"/>
        <v>-39363974.029459298</v>
      </c>
    </row>
    <row r="14" spans="1:9" ht="15.75">
      <c r="A14" s="36">
        <v>6</v>
      </c>
      <c r="B14" s="40" t="s">
        <v>160</v>
      </c>
      <c r="C14" s="230">
        <f>C12+C13</f>
        <v>1310902521.3101997</v>
      </c>
      <c r="D14" s="230">
        <f>D12+D13</f>
        <v>138001429.34160003</v>
      </c>
      <c r="E14" s="230">
        <f t="shared" si="0"/>
        <v>1448903950.6517997</v>
      </c>
      <c r="F14" s="230">
        <f>F12+F13</f>
        <v>947799172.13940263</v>
      </c>
      <c r="G14" s="230">
        <f>G12+G13</f>
        <v>100601176.788638</v>
      </c>
      <c r="H14" s="233">
        <f t="shared" si="1"/>
        <v>1048400348.9280406</v>
      </c>
      <c r="I14" s="607"/>
    </row>
    <row r="15" spans="1:9" ht="15.75">
      <c r="A15" s="36">
        <v>7</v>
      </c>
      <c r="B15" s="40" t="s">
        <v>161</v>
      </c>
      <c r="C15" s="229">
        <v>27288943.329999994</v>
      </c>
      <c r="D15" s="229">
        <v>1867721.11</v>
      </c>
      <c r="E15" s="230">
        <f t="shared" si="0"/>
        <v>29156664.439999994</v>
      </c>
      <c r="F15" s="231">
        <v>27001246.239999998</v>
      </c>
      <c r="G15" s="232">
        <v>2339673.7999999998</v>
      </c>
      <c r="H15" s="233">
        <f t="shared" si="1"/>
        <v>29340920.039999999</v>
      </c>
    </row>
    <row r="16" spans="1:9" ht="15.75">
      <c r="A16" s="36">
        <v>8</v>
      </c>
      <c r="B16" s="40" t="s">
        <v>162</v>
      </c>
      <c r="C16" s="229">
        <v>1974350.3299999994</v>
      </c>
      <c r="D16" s="229">
        <v>0</v>
      </c>
      <c r="E16" s="230">
        <f t="shared" si="0"/>
        <v>1974350.3299999994</v>
      </c>
      <c r="F16" s="231">
        <v>953826</v>
      </c>
      <c r="G16" s="232">
        <v>0</v>
      </c>
      <c r="H16" s="233">
        <f t="shared" si="1"/>
        <v>953826</v>
      </c>
    </row>
    <row r="17" spans="1:8" ht="15.75">
      <c r="A17" s="36">
        <v>9</v>
      </c>
      <c r="B17" s="40" t="s">
        <v>163</v>
      </c>
      <c r="C17" s="229">
        <v>0</v>
      </c>
      <c r="D17" s="229">
        <v>0</v>
      </c>
      <c r="E17" s="230">
        <f t="shared" si="0"/>
        <v>0</v>
      </c>
      <c r="F17" s="231">
        <v>0</v>
      </c>
      <c r="G17" s="232">
        <v>0</v>
      </c>
      <c r="H17" s="233">
        <f t="shared" si="1"/>
        <v>0</v>
      </c>
    </row>
    <row r="18" spans="1:8" ht="15.75">
      <c r="A18" s="36">
        <v>10</v>
      </c>
      <c r="B18" s="40" t="s">
        <v>164</v>
      </c>
      <c r="C18" s="229">
        <v>40190762.060000002</v>
      </c>
      <c r="D18" s="229">
        <v>0</v>
      </c>
      <c r="E18" s="230">
        <f t="shared" si="0"/>
        <v>40190762.060000002</v>
      </c>
      <c r="F18" s="231">
        <v>29710338.549999997</v>
      </c>
      <c r="G18" s="232">
        <v>0</v>
      </c>
      <c r="H18" s="233">
        <f t="shared" si="1"/>
        <v>29710338.549999997</v>
      </c>
    </row>
    <row r="19" spans="1:8" ht="15.75">
      <c r="A19" s="36">
        <v>11</v>
      </c>
      <c r="B19" s="40" t="s">
        <v>165</v>
      </c>
      <c r="C19" s="229">
        <v>37978689.939999998</v>
      </c>
      <c r="D19" s="229">
        <v>2505690.7599999993</v>
      </c>
      <c r="E19" s="230">
        <f t="shared" si="0"/>
        <v>40484380.699999996</v>
      </c>
      <c r="F19" s="231">
        <v>49966992.399999999</v>
      </c>
      <c r="G19" s="232">
        <v>8419574.5500000007</v>
      </c>
      <c r="H19" s="233">
        <f t="shared" si="1"/>
        <v>58386566.950000003</v>
      </c>
    </row>
    <row r="20" spans="1:8" ht="15.75">
      <c r="A20" s="36">
        <v>12</v>
      </c>
      <c r="B20" s="42" t="s">
        <v>166</v>
      </c>
      <c r="C20" s="230">
        <f>SUM(C7:C11)+SUM(C14:C19)</f>
        <v>1581441371.6201997</v>
      </c>
      <c r="D20" s="230">
        <f>SUM(D7:D11)+SUM(D14:D19)</f>
        <v>205390137.99160004</v>
      </c>
      <c r="E20" s="230">
        <f t="shared" si="0"/>
        <v>1786831509.6117997</v>
      </c>
      <c r="F20" s="230">
        <f>SUM(F7:F11)+SUM(F14:F19)</f>
        <v>1163054344.1094027</v>
      </c>
      <c r="G20" s="230">
        <f>SUM(G7:G11)+SUM(G14:G19)</f>
        <v>229655092.248638</v>
      </c>
      <c r="H20" s="233">
        <f t="shared" si="1"/>
        <v>1392709436.3580406</v>
      </c>
    </row>
    <row r="21" spans="1:8" ht="15.75">
      <c r="A21" s="36"/>
      <c r="B21" s="37" t="s">
        <v>183</v>
      </c>
      <c r="C21" s="234"/>
      <c r="D21" s="234"/>
      <c r="E21" s="234"/>
      <c r="F21" s="235"/>
      <c r="G21" s="236"/>
      <c r="H21" s="237"/>
    </row>
    <row r="22" spans="1:8" ht="15.75">
      <c r="A22" s="36">
        <v>13</v>
      </c>
      <c r="B22" s="40" t="s">
        <v>167</v>
      </c>
      <c r="C22" s="229">
        <v>0</v>
      </c>
      <c r="D22" s="229">
        <v>0</v>
      </c>
      <c r="E22" s="230">
        <f>C22+D22</f>
        <v>0</v>
      </c>
      <c r="F22" s="231">
        <v>0</v>
      </c>
      <c r="G22" s="232">
        <v>0</v>
      </c>
      <c r="H22" s="233">
        <f t="shared" si="1"/>
        <v>0</v>
      </c>
    </row>
    <row r="23" spans="1:8" ht="15.75">
      <c r="A23" s="36">
        <v>14</v>
      </c>
      <c r="B23" s="40" t="s">
        <v>168</v>
      </c>
      <c r="C23" s="229">
        <v>57006625.410800755</v>
      </c>
      <c r="D23" s="229">
        <v>17050824.280000001</v>
      </c>
      <c r="E23" s="230">
        <f t="shared" ref="E23:E40" si="2">C23+D23</f>
        <v>74057449.690800756</v>
      </c>
      <c r="F23" s="231">
        <v>41275065.18</v>
      </c>
      <c r="G23" s="232">
        <v>6625371.1999999974</v>
      </c>
      <c r="H23" s="233">
        <f t="shared" si="1"/>
        <v>47900436.379999995</v>
      </c>
    </row>
    <row r="24" spans="1:8" ht="15.75">
      <c r="A24" s="36">
        <v>15</v>
      </c>
      <c r="B24" s="40" t="s">
        <v>169</v>
      </c>
      <c r="C24" s="229">
        <v>11508868.691699954</v>
      </c>
      <c r="D24" s="229">
        <v>15678068.458900001</v>
      </c>
      <c r="E24" s="230">
        <f t="shared" si="2"/>
        <v>27186937.150599957</v>
      </c>
      <c r="F24" s="231">
        <v>9486270.6999999993</v>
      </c>
      <c r="G24" s="232">
        <v>13504344.92</v>
      </c>
      <c r="H24" s="233">
        <f t="shared" si="1"/>
        <v>22990615.619999997</v>
      </c>
    </row>
    <row r="25" spans="1:8" ht="15.75">
      <c r="A25" s="36">
        <v>16</v>
      </c>
      <c r="B25" s="40" t="s">
        <v>170</v>
      </c>
      <c r="C25" s="229">
        <v>289712142.9297998</v>
      </c>
      <c r="D25" s="229">
        <v>44700822.936799996</v>
      </c>
      <c r="E25" s="230">
        <f t="shared" si="2"/>
        <v>334412965.8665998</v>
      </c>
      <c r="F25" s="231">
        <v>73101634.479999989</v>
      </c>
      <c r="G25" s="232">
        <v>18495356.889999993</v>
      </c>
      <c r="H25" s="233">
        <f t="shared" si="1"/>
        <v>91596991.369999975</v>
      </c>
    </row>
    <row r="26" spans="1:8" ht="15.75">
      <c r="A26" s="36">
        <v>17</v>
      </c>
      <c r="B26" s="40" t="s">
        <v>171</v>
      </c>
      <c r="C26" s="234"/>
      <c r="D26" s="234"/>
      <c r="E26" s="230">
        <f t="shared" si="2"/>
        <v>0</v>
      </c>
      <c r="F26" s="235"/>
      <c r="G26" s="236"/>
      <c r="H26" s="233">
        <f t="shared" si="1"/>
        <v>0</v>
      </c>
    </row>
    <row r="27" spans="1:8" ht="15.75">
      <c r="A27" s="36">
        <v>18</v>
      </c>
      <c r="B27" s="40" t="s">
        <v>172</v>
      </c>
      <c r="C27" s="229">
        <v>817764288.0247618</v>
      </c>
      <c r="D27" s="229">
        <v>126254257.045095</v>
      </c>
      <c r="E27" s="230">
        <f t="shared" si="2"/>
        <v>944018545.06985676</v>
      </c>
      <c r="F27" s="231">
        <v>648009963.44650793</v>
      </c>
      <c r="G27" s="232">
        <v>260230447.67729628</v>
      </c>
      <c r="H27" s="233">
        <f t="shared" si="1"/>
        <v>908240411.12380421</v>
      </c>
    </row>
    <row r="28" spans="1:8" ht="15.75">
      <c r="A28" s="36">
        <v>19</v>
      </c>
      <c r="B28" s="40" t="s">
        <v>173</v>
      </c>
      <c r="C28" s="229">
        <v>28851554.02</v>
      </c>
      <c r="D28" s="229">
        <v>1578809.98</v>
      </c>
      <c r="E28" s="230">
        <f t="shared" si="2"/>
        <v>30430364</v>
      </c>
      <c r="F28" s="231">
        <v>20175749.5</v>
      </c>
      <c r="G28" s="232">
        <v>3009219.0100000002</v>
      </c>
      <c r="H28" s="233">
        <f t="shared" si="1"/>
        <v>23184968.510000002</v>
      </c>
    </row>
    <row r="29" spans="1:8" ht="15.75">
      <c r="A29" s="36">
        <v>20</v>
      </c>
      <c r="B29" s="40" t="s">
        <v>95</v>
      </c>
      <c r="C29" s="229">
        <v>79154292.989999995</v>
      </c>
      <c r="D29" s="229">
        <v>8287085.120000001</v>
      </c>
      <c r="E29" s="230">
        <f t="shared" si="2"/>
        <v>87441378.109999999</v>
      </c>
      <c r="F29" s="231">
        <v>81488855.739999995</v>
      </c>
      <c r="G29" s="232">
        <v>9488781.8399999999</v>
      </c>
      <c r="H29" s="233">
        <f t="shared" si="1"/>
        <v>90977637.579999998</v>
      </c>
    </row>
    <row r="30" spans="1:8" ht="15.75">
      <c r="A30" s="36">
        <v>21</v>
      </c>
      <c r="B30" s="40" t="s">
        <v>174</v>
      </c>
      <c r="C30" s="229">
        <v>61847730</v>
      </c>
      <c r="D30" s="229">
        <v>15506500</v>
      </c>
      <c r="E30" s="230">
        <f t="shared" si="2"/>
        <v>77354230</v>
      </c>
      <c r="F30" s="231">
        <v>47031330</v>
      </c>
      <c r="G30" s="232">
        <v>0</v>
      </c>
      <c r="H30" s="233">
        <f t="shared" si="1"/>
        <v>47031330</v>
      </c>
    </row>
    <row r="31" spans="1:8" ht="15.75">
      <c r="A31" s="36">
        <v>22</v>
      </c>
      <c r="B31" s="42" t="s">
        <v>175</v>
      </c>
      <c r="C31" s="230">
        <f>SUM(C22:C30)</f>
        <v>1345845502.0670621</v>
      </c>
      <c r="D31" s="230">
        <f>SUM(D22:D30)</f>
        <v>229056367.82079497</v>
      </c>
      <c r="E31" s="230">
        <f>C31+D31</f>
        <v>1574901869.8878572</v>
      </c>
      <c r="F31" s="230">
        <f>SUM(F22:F30)</f>
        <v>920568869.04650795</v>
      </c>
      <c r="G31" s="230">
        <f>SUM(G22:G30)</f>
        <v>311353521.53729624</v>
      </c>
      <c r="H31" s="233">
        <f t="shared" si="1"/>
        <v>1231922390.5838041</v>
      </c>
    </row>
    <row r="32" spans="1:8" ht="15.75">
      <c r="A32" s="36"/>
      <c r="B32" s="37" t="s">
        <v>184</v>
      </c>
      <c r="C32" s="234"/>
      <c r="D32" s="234"/>
      <c r="E32" s="229"/>
      <c r="F32" s="235"/>
      <c r="G32" s="236"/>
      <c r="H32" s="237"/>
    </row>
    <row r="33" spans="1:9" ht="15.75">
      <c r="A33" s="36">
        <v>23</v>
      </c>
      <c r="B33" s="40" t="s">
        <v>176</v>
      </c>
      <c r="C33" s="229">
        <v>5176780</v>
      </c>
      <c r="D33" s="234"/>
      <c r="E33" s="230">
        <f t="shared" si="2"/>
        <v>5176780</v>
      </c>
      <c r="F33" s="231">
        <v>4400000</v>
      </c>
      <c r="G33" s="236"/>
      <c r="H33" s="233">
        <f t="shared" si="1"/>
        <v>4400000</v>
      </c>
    </row>
    <row r="34" spans="1:9" ht="15.75">
      <c r="A34" s="36">
        <v>24</v>
      </c>
      <c r="B34" s="40" t="s">
        <v>177</v>
      </c>
      <c r="C34" s="229">
        <v>0</v>
      </c>
      <c r="D34" s="234"/>
      <c r="E34" s="230">
        <f t="shared" si="2"/>
        <v>0</v>
      </c>
      <c r="F34" s="231">
        <v>0</v>
      </c>
      <c r="G34" s="236"/>
      <c r="H34" s="233">
        <f t="shared" si="1"/>
        <v>0</v>
      </c>
    </row>
    <row r="35" spans="1:9" ht="15.75">
      <c r="A35" s="36">
        <v>25</v>
      </c>
      <c r="B35" s="41" t="s">
        <v>178</v>
      </c>
      <c r="C35" s="229">
        <v>0</v>
      </c>
      <c r="D35" s="234"/>
      <c r="E35" s="230">
        <f t="shared" si="2"/>
        <v>0</v>
      </c>
      <c r="F35" s="231">
        <v>0</v>
      </c>
      <c r="G35" s="236"/>
      <c r="H35" s="233">
        <f t="shared" si="1"/>
        <v>0</v>
      </c>
    </row>
    <row r="36" spans="1:9" ht="15.75">
      <c r="A36" s="36">
        <v>26</v>
      </c>
      <c r="B36" s="40" t="s">
        <v>179</v>
      </c>
      <c r="C36" s="229">
        <v>35305300.5</v>
      </c>
      <c r="D36" s="234"/>
      <c r="E36" s="230">
        <f t="shared" si="2"/>
        <v>35305300.5</v>
      </c>
      <c r="F36" s="231">
        <v>0</v>
      </c>
      <c r="G36" s="236"/>
      <c r="H36" s="233">
        <f t="shared" si="1"/>
        <v>0</v>
      </c>
    </row>
    <row r="37" spans="1:9" ht="15.75">
      <c r="A37" s="36">
        <v>27</v>
      </c>
      <c r="B37" s="40" t="s">
        <v>180</v>
      </c>
      <c r="C37" s="229">
        <v>0</v>
      </c>
      <c r="D37" s="234"/>
      <c r="E37" s="230">
        <f t="shared" si="2"/>
        <v>0</v>
      </c>
      <c r="F37" s="231">
        <v>0</v>
      </c>
      <c r="G37" s="236"/>
      <c r="H37" s="233">
        <f t="shared" si="1"/>
        <v>0</v>
      </c>
    </row>
    <row r="38" spans="1:9" ht="15.75">
      <c r="A38" s="36">
        <v>28</v>
      </c>
      <c r="B38" s="40" t="s">
        <v>181</v>
      </c>
      <c r="C38" s="229">
        <v>171051100.90000045</v>
      </c>
      <c r="D38" s="234"/>
      <c r="E38" s="230">
        <f t="shared" si="2"/>
        <v>171051100.90000045</v>
      </c>
      <c r="F38" s="231">
        <v>155990586.63999999</v>
      </c>
      <c r="G38" s="236"/>
      <c r="H38" s="233">
        <f t="shared" si="1"/>
        <v>155990586.63999999</v>
      </c>
    </row>
    <row r="39" spans="1:9" ht="15.75">
      <c r="A39" s="36">
        <v>29</v>
      </c>
      <c r="B39" s="40" t="s">
        <v>196</v>
      </c>
      <c r="C39" s="229">
        <v>396459</v>
      </c>
      <c r="D39" s="234"/>
      <c r="E39" s="230">
        <f t="shared" si="2"/>
        <v>396459</v>
      </c>
      <c r="F39" s="231">
        <v>396459</v>
      </c>
      <c r="G39" s="236"/>
      <c r="H39" s="233">
        <f t="shared" si="1"/>
        <v>396459</v>
      </c>
    </row>
    <row r="40" spans="1:9" ht="15.75">
      <c r="A40" s="36">
        <v>30</v>
      </c>
      <c r="B40" s="42" t="s">
        <v>182</v>
      </c>
      <c r="C40" s="229">
        <f>SUM(C33:C39)</f>
        <v>211929640.40000045</v>
      </c>
      <c r="D40" s="234"/>
      <c r="E40" s="230">
        <f t="shared" si="2"/>
        <v>211929640.40000045</v>
      </c>
      <c r="F40" s="229">
        <f>SUM(F33:F39)</f>
        <v>160787045.63999999</v>
      </c>
      <c r="G40" s="236"/>
      <c r="H40" s="233">
        <f t="shared" si="1"/>
        <v>160787045.63999999</v>
      </c>
      <c r="I40" s="607"/>
    </row>
    <row r="41" spans="1:9" ht="16.5" thickBot="1">
      <c r="A41" s="43">
        <v>31</v>
      </c>
      <c r="B41" s="44" t="s">
        <v>197</v>
      </c>
      <c r="C41" s="238">
        <f>C31+C40</f>
        <v>1557775142.4670625</v>
      </c>
      <c r="D41" s="238">
        <f>D31+D40</f>
        <v>229056367.82079497</v>
      </c>
      <c r="E41" s="238">
        <f>C41+D41</f>
        <v>1786831510.2878575</v>
      </c>
      <c r="F41" s="238">
        <f>F31+F40</f>
        <v>1081355914.6865079</v>
      </c>
      <c r="G41" s="238">
        <f>G31+G40</f>
        <v>311353521.53729624</v>
      </c>
      <c r="H41" s="239">
        <f>F41+G41</f>
        <v>1392709436.2238042</v>
      </c>
    </row>
    <row r="43" spans="1:9">
      <c r="B43" s="45"/>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C20:D20 F20:G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workbookViewId="0">
      <pane xSplit="1" ySplit="6" topLeftCell="B55"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"კრედო ბანკი"</v>
      </c>
      <c r="C1" s="16"/>
    </row>
    <row r="2" spans="1:8" ht="15.75">
      <c r="A2" s="17" t="s">
        <v>189</v>
      </c>
      <c r="B2" s="469">
        <f>'1. key ratios'!B2</f>
        <v>44651</v>
      </c>
      <c r="C2" s="28"/>
      <c r="D2" s="18"/>
      <c r="E2" s="18"/>
      <c r="F2" s="18"/>
      <c r="G2" s="18"/>
      <c r="H2" s="18"/>
    </row>
    <row r="3" spans="1:8" ht="15.75">
      <c r="A3" s="17"/>
      <c r="B3" s="16"/>
      <c r="C3" s="28"/>
      <c r="D3" s="18"/>
      <c r="E3" s="18"/>
      <c r="F3" s="18"/>
      <c r="G3" s="18"/>
      <c r="H3" s="18"/>
    </row>
    <row r="4" spans="1:8" ht="16.5" thickBot="1">
      <c r="A4" s="46" t="s">
        <v>329</v>
      </c>
      <c r="B4" s="29" t="s">
        <v>222</v>
      </c>
      <c r="C4" s="32"/>
      <c r="D4" s="32"/>
      <c r="E4" s="32"/>
      <c r="F4" s="46"/>
      <c r="G4" s="46"/>
      <c r="H4" s="47" t="s">
        <v>93</v>
      </c>
    </row>
    <row r="5" spans="1:8" ht="15.75">
      <c r="A5" s="121"/>
      <c r="B5" s="122"/>
      <c r="C5" s="710" t="s">
        <v>194</v>
      </c>
      <c r="D5" s="711"/>
      <c r="E5" s="712"/>
      <c r="F5" s="710" t="s">
        <v>195</v>
      </c>
      <c r="G5" s="711"/>
      <c r="H5" s="713"/>
    </row>
    <row r="6" spans="1:8">
      <c r="A6" s="123" t="s">
        <v>26</v>
      </c>
      <c r="B6" s="48"/>
      <c r="C6" s="49" t="s">
        <v>27</v>
      </c>
      <c r="D6" s="49" t="s">
        <v>96</v>
      </c>
      <c r="E6" s="49" t="s">
        <v>68</v>
      </c>
      <c r="F6" s="49" t="s">
        <v>27</v>
      </c>
      <c r="G6" s="49" t="s">
        <v>96</v>
      </c>
      <c r="H6" s="124" t="s">
        <v>68</v>
      </c>
    </row>
    <row r="7" spans="1:8">
      <c r="A7" s="125"/>
      <c r="B7" s="51" t="s">
        <v>92</v>
      </c>
      <c r="C7" s="52"/>
      <c r="D7" s="52"/>
      <c r="E7" s="52"/>
      <c r="F7" s="52"/>
      <c r="G7" s="52"/>
      <c r="H7" s="126"/>
    </row>
    <row r="8" spans="1:8" ht="15.75">
      <c r="A8" s="125">
        <v>1</v>
      </c>
      <c r="B8" s="53" t="s">
        <v>97</v>
      </c>
      <c r="C8" s="240">
        <v>1531806.6600000001</v>
      </c>
      <c r="D8" s="240">
        <v>-25913.23</v>
      </c>
      <c r="E8" s="230">
        <f>C8+D8</f>
        <v>1505893.4300000002</v>
      </c>
      <c r="F8" s="240">
        <v>889221.01</v>
      </c>
      <c r="G8" s="240">
        <v>-74666.929999999993</v>
      </c>
      <c r="H8" s="241">
        <f>F8+G8</f>
        <v>814554.08000000007</v>
      </c>
    </row>
    <row r="9" spans="1:8" ht="15.75">
      <c r="A9" s="125">
        <v>2</v>
      </c>
      <c r="B9" s="53" t="s">
        <v>98</v>
      </c>
      <c r="C9" s="242">
        <f>SUM(C10:C18)</f>
        <v>68078406.409999996</v>
      </c>
      <c r="D9" s="242">
        <f>SUM(D10:D18)</f>
        <v>2134198.5299999998</v>
      </c>
      <c r="E9" s="230">
        <f t="shared" ref="E9:E67" si="0">C9+D9</f>
        <v>70212604.939999998</v>
      </c>
      <c r="F9" s="242">
        <f>SUM(F10:F18)</f>
        <v>50107388.890000001</v>
      </c>
      <c r="G9" s="242">
        <f>SUM(G10:G18)</f>
        <v>1871185.76</v>
      </c>
      <c r="H9" s="241">
        <f t="shared" ref="H9:H67" si="1">F9+G9</f>
        <v>51978574.649999999</v>
      </c>
    </row>
    <row r="10" spans="1:8" ht="15.75">
      <c r="A10" s="125">
        <v>2.1</v>
      </c>
      <c r="B10" s="54" t="s">
        <v>99</v>
      </c>
      <c r="C10" s="240">
        <v>0</v>
      </c>
      <c r="D10" s="240">
        <v>0</v>
      </c>
      <c r="E10" s="230">
        <f t="shared" si="0"/>
        <v>0</v>
      </c>
      <c r="F10" s="240">
        <v>0</v>
      </c>
      <c r="G10" s="240">
        <v>0</v>
      </c>
      <c r="H10" s="241">
        <f t="shared" si="1"/>
        <v>0</v>
      </c>
    </row>
    <row r="11" spans="1:8" ht="15.75">
      <c r="A11" s="125">
        <v>2.2000000000000002</v>
      </c>
      <c r="B11" s="54" t="s">
        <v>100</v>
      </c>
      <c r="C11" s="240">
        <v>397270.95999999996</v>
      </c>
      <c r="D11" s="240">
        <v>469327.8</v>
      </c>
      <c r="E11" s="230">
        <f t="shared" si="0"/>
        <v>866598.76</v>
      </c>
      <c r="F11" s="240">
        <v>159195.60999999999</v>
      </c>
      <c r="G11" s="240">
        <v>312032.33</v>
      </c>
      <c r="H11" s="241">
        <f t="shared" si="1"/>
        <v>471227.94</v>
      </c>
    </row>
    <row r="12" spans="1:8" ht="15.75">
      <c r="A12" s="125">
        <v>2.2999999999999998</v>
      </c>
      <c r="B12" s="54" t="s">
        <v>101</v>
      </c>
      <c r="C12" s="240">
        <v>0</v>
      </c>
      <c r="D12" s="240">
        <v>0</v>
      </c>
      <c r="E12" s="230">
        <f t="shared" si="0"/>
        <v>0</v>
      </c>
      <c r="F12" s="240">
        <v>0</v>
      </c>
      <c r="G12" s="240">
        <v>0</v>
      </c>
      <c r="H12" s="241">
        <f t="shared" si="1"/>
        <v>0</v>
      </c>
    </row>
    <row r="13" spans="1:8" ht="15.75">
      <c r="A13" s="125">
        <v>2.4</v>
      </c>
      <c r="B13" s="54" t="s">
        <v>102</v>
      </c>
      <c r="C13" s="240">
        <v>95293.56</v>
      </c>
      <c r="D13" s="240">
        <v>656.99</v>
      </c>
      <c r="E13" s="230">
        <f t="shared" si="0"/>
        <v>95950.55</v>
      </c>
      <c r="F13" s="240">
        <v>24648.560000000001</v>
      </c>
      <c r="G13" s="240">
        <v>7254.58</v>
      </c>
      <c r="H13" s="241">
        <f t="shared" si="1"/>
        <v>31903.14</v>
      </c>
    </row>
    <row r="14" spans="1:8" ht="15.75">
      <c r="A14" s="125">
        <v>2.5</v>
      </c>
      <c r="B14" s="54" t="s">
        <v>103</v>
      </c>
      <c r="C14" s="240">
        <v>26417.26</v>
      </c>
      <c r="D14" s="240">
        <v>57556.04</v>
      </c>
      <c r="E14" s="230">
        <f t="shared" si="0"/>
        <v>83973.3</v>
      </c>
      <c r="F14" s="240">
        <v>15453</v>
      </c>
      <c r="G14" s="240">
        <v>51114.68</v>
      </c>
      <c r="H14" s="241">
        <f t="shared" si="1"/>
        <v>66567.679999999993</v>
      </c>
    </row>
    <row r="15" spans="1:8" ht="15.75">
      <c r="A15" s="125">
        <v>2.6</v>
      </c>
      <c r="B15" s="54" t="s">
        <v>104</v>
      </c>
      <c r="C15" s="240">
        <v>78133.89</v>
      </c>
      <c r="D15" s="240">
        <v>55168.67</v>
      </c>
      <c r="E15" s="230">
        <f t="shared" si="0"/>
        <v>133302.56</v>
      </c>
      <c r="F15" s="240">
        <v>60536.639999999999</v>
      </c>
      <c r="G15" s="240">
        <v>46515.29</v>
      </c>
      <c r="H15" s="241">
        <f t="shared" si="1"/>
        <v>107051.93</v>
      </c>
    </row>
    <row r="16" spans="1:8" ht="15.75">
      <c r="A16" s="125">
        <v>2.7</v>
      </c>
      <c r="B16" s="54" t="s">
        <v>105</v>
      </c>
      <c r="C16" s="240">
        <v>29246.579999999998</v>
      </c>
      <c r="D16" s="240">
        <v>30486.11</v>
      </c>
      <c r="E16" s="230">
        <f t="shared" si="0"/>
        <v>59732.69</v>
      </c>
      <c r="F16" s="240">
        <v>21891.13</v>
      </c>
      <c r="G16" s="240">
        <v>29247.9</v>
      </c>
      <c r="H16" s="241">
        <f t="shared" si="1"/>
        <v>51139.03</v>
      </c>
    </row>
    <row r="17" spans="1:8" ht="15.75">
      <c r="A17" s="125">
        <v>2.8</v>
      </c>
      <c r="B17" s="54" t="s">
        <v>106</v>
      </c>
      <c r="C17" s="240">
        <v>67430006.899999991</v>
      </c>
      <c r="D17" s="240">
        <v>1517962.12</v>
      </c>
      <c r="E17" s="230">
        <f t="shared" si="0"/>
        <v>68947969.019999996</v>
      </c>
      <c r="F17" s="240">
        <v>49801282.550000004</v>
      </c>
      <c r="G17" s="240">
        <v>1413404.44</v>
      </c>
      <c r="H17" s="241">
        <f t="shared" si="1"/>
        <v>51214686.990000002</v>
      </c>
    </row>
    <row r="18" spans="1:8" ht="15.75">
      <c r="A18" s="125">
        <v>2.9</v>
      </c>
      <c r="B18" s="54" t="s">
        <v>107</v>
      </c>
      <c r="C18" s="240">
        <v>22037.260000000006</v>
      </c>
      <c r="D18" s="240">
        <v>3040.7999999999993</v>
      </c>
      <c r="E18" s="230">
        <f t="shared" si="0"/>
        <v>25078.060000000005</v>
      </c>
      <c r="F18" s="240">
        <v>24381.4</v>
      </c>
      <c r="G18" s="240">
        <v>11616.54</v>
      </c>
      <c r="H18" s="241">
        <f t="shared" si="1"/>
        <v>35997.94</v>
      </c>
    </row>
    <row r="19" spans="1:8" ht="15.75">
      <c r="A19" s="125">
        <v>3</v>
      </c>
      <c r="B19" s="53" t="s">
        <v>108</v>
      </c>
      <c r="C19" s="240">
        <v>4801023.6399999997</v>
      </c>
      <c r="D19" s="240">
        <v>178447.01</v>
      </c>
      <c r="E19" s="230">
        <f t="shared" si="0"/>
        <v>4979470.6499999994</v>
      </c>
      <c r="F19" s="240">
        <v>3067162.96</v>
      </c>
      <c r="G19" s="240">
        <v>44700.25</v>
      </c>
      <c r="H19" s="241">
        <f t="shared" si="1"/>
        <v>3111863.21</v>
      </c>
    </row>
    <row r="20" spans="1:8" ht="15.75">
      <c r="A20" s="125">
        <v>4</v>
      </c>
      <c r="B20" s="53" t="s">
        <v>109</v>
      </c>
      <c r="C20" s="240">
        <v>1199242.58</v>
      </c>
      <c r="D20" s="240">
        <v>0</v>
      </c>
      <c r="E20" s="230">
        <f t="shared" si="0"/>
        <v>1199242.58</v>
      </c>
      <c r="F20" s="240">
        <v>899275.48</v>
      </c>
      <c r="G20" s="240">
        <v>0</v>
      </c>
      <c r="H20" s="241">
        <f t="shared" si="1"/>
        <v>899275.48</v>
      </c>
    </row>
    <row r="21" spans="1:8" ht="15.75">
      <c r="A21" s="125">
        <v>5</v>
      </c>
      <c r="B21" s="53" t="s">
        <v>110</v>
      </c>
      <c r="C21" s="240">
        <v>0</v>
      </c>
      <c r="D21" s="240">
        <v>0</v>
      </c>
      <c r="E21" s="230">
        <f t="shared" si="0"/>
        <v>0</v>
      </c>
      <c r="F21" s="240">
        <v>0</v>
      </c>
      <c r="G21" s="240">
        <v>0</v>
      </c>
      <c r="H21" s="241">
        <f>F21+G21</f>
        <v>0</v>
      </c>
    </row>
    <row r="22" spans="1:8" ht="15.75">
      <c r="A22" s="125">
        <v>6</v>
      </c>
      <c r="B22" s="55" t="s">
        <v>111</v>
      </c>
      <c r="C22" s="242">
        <f>C8+C9+C19+C20+C21</f>
        <v>75610479.289999992</v>
      </c>
      <c r="D22" s="242">
        <f>D8+D9+D19+D20+D21</f>
        <v>2286732.3099999996</v>
      </c>
      <c r="E22" s="230">
        <f>C22+D22</f>
        <v>77897211.599999994</v>
      </c>
      <c r="F22" s="242">
        <f>F8+F9+F19+F20+F21</f>
        <v>54963048.339999996</v>
      </c>
      <c r="G22" s="242">
        <f>G8+G9+G19+G20+G21</f>
        <v>1841219.08</v>
      </c>
      <c r="H22" s="241">
        <f>F22+G22</f>
        <v>56804267.419999994</v>
      </c>
    </row>
    <row r="23" spans="1:8" ht="15.75">
      <c r="A23" s="125"/>
      <c r="B23" s="51" t="s">
        <v>90</v>
      </c>
      <c r="C23" s="240"/>
      <c r="D23" s="240"/>
      <c r="E23" s="229"/>
      <c r="F23" s="240"/>
      <c r="G23" s="240"/>
      <c r="H23" s="243"/>
    </row>
    <row r="24" spans="1:8" ht="15.75">
      <c r="A24" s="125">
        <v>7</v>
      </c>
      <c r="B24" s="53" t="s">
        <v>112</v>
      </c>
      <c r="C24" s="240">
        <v>461287.07</v>
      </c>
      <c r="D24" s="240">
        <v>8170.49</v>
      </c>
      <c r="E24" s="230">
        <f t="shared" si="0"/>
        <v>469457.56</v>
      </c>
      <c r="F24" s="240">
        <v>289935.81</v>
      </c>
      <c r="G24" s="240">
        <v>10543.33</v>
      </c>
      <c r="H24" s="241">
        <f t="shared" si="1"/>
        <v>300479.14</v>
      </c>
    </row>
    <row r="25" spans="1:8" ht="15.75">
      <c r="A25" s="125">
        <v>8</v>
      </c>
      <c r="B25" s="53" t="s">
        <v>113</v>
      </c>
      <c r="C25" s="240">
        <v>8114026.9000000004</v>
      </c>
      <c r="D25" s="240">
        <v>126476.42</v>
      </c>
      <c r="E25" s="230">
        <f t="shared" si="0"/>
        <v>8240503.3200000003</v>
      </c>
      <c r="F25" s="240">
        <v>1776949.8599999999</v>
      </c>
      <c r="G25" s="240">
        <v>79074.73</v>
      </c>
      <c r="H25" s="241">
        <f t="shared" si="1"/>
        <v>1856024.5899999999</v>
      </c>
    </row>
    <row r="26" spans="1:8" ht="15.75">
      <c r="A26" s="125">
        <v>9</v>
      </c>
      <c r="B26" s="53" t="s">
        <v>114</v>
      </c>
      <c r="C26" s="240">
        <v>0</v>
      </c>
      <c r="D26" s="240">
        <v>0</v>
      </c>
      <c r="E26" s="230">
        <f t="shared" si="0"/>
        <v>0</v>
      </c>
      <c r="F26" s="240">
        <v>0</v>
      </c>
      <c r="G26" s="240">
        <v>0</v>
      </c>
      <c r="H26" s="241">
        <f t="shared" si="1"/>
        <v>0</v>
      </c>
    </row>
    <row r="27" spans="1:8" ht="15.75">
      <c r="A27" s="125">
        <v>10</v>
      </c>
      <c r="B27" s="53" t="s">
        <v>115</v>
      </c>
      <c r="C27" s="240">
        <v>0</v>
      </c>
      <c r="D27" s="240">
        <v>0</v>
      </c>
      <c r="E27" s="230">
        <f t="shared" si="0"/>
        <v>0</v>
      </c>
      <c r="F27" s="240">
        <v>0</v>
      </c>
      <c r="G27" s="240">
        <v>0</v>
      </c>
      <c r="H27" s="241">
        <f t="shared" si="1"/>
        <v>0</v>
      </c>
    </row>
    <row r="28" spans="1:8" ht="15.75">
      <c r="A28" s="125">
        <v>11</v>
      </c>
      <c r="B28" s="53" t="s">
        <v>116</v>
      </c>
      <c r="C28" s="240">
        <v>31784030.25</v>
      </c>
      <c r="D28" s="240">
        <v>1556778.7200000002</v>
      </c>
      <c r="E28" s="230">
        <f t="shared" si="0"/>
        <v>33340808.969999999</v>
      </c>
      <c r="F28" s="240">
        <v>22817691.239999998</v>
      </c>
      <c r="G28" s="240">
        <v>2853234.58</v>
      </c>
      <c r="H28" s="241">
        <f t="shared" si="1"/>
        <v>25670925.82</v>
      </c>
    </row>
    <row r="29" spans="1:8" ht="15.75">
      <c r="A29" s="125">
        <v>12</v>
      </c>
      <c r="B29" s="53" t="s">
        <v>117</v>
      </c>
      <c r="C29" s="240">
        <v>0</v>
      </c>
      <c r="D29" s="240">
        <v>0</v>
      </c>
      <c r="E29" s="230">
        <f t="shared" si="0"/>
        <v>0</v>
      </c>
      <c r="F29" s="240">
        <v>0</v>
      </c>
      <c r="G29" s="240">
        <v>0</v>
      </c>
      <c r="H29" s="241">
        <f t="shared" si="1"/>
        <v>0</v>
      </c>
    </row>
    <row r="30" spans="1:8" ht="15.75">
      <c r="A30" s="125">
        <v>13</v>
      </c>
      <c r="B30" s="56" t="s">
        <v>118</v>
      </c>
      <c r="C30" s="242">
        <f>SUM(C24:C29)</f>
        <v>40359344.219999999</v>
      </c>
      <c r="D30" s="242">
        <f>SUM(D24:D29)</f>
        <v>1691425.6300000001</v>
      </c>
      <c r="E30" s="230">
        <f t="shared" si="0"/>
        <v>42050769.850000001</v>
      </c>
      <c r="F30" s="242">
        <f>SUM(F24:F29)</f>
        <v>24884576.909999996</v>
      </c>
      <c r="G30" s="242">
        <f>SUM(G24:G29)</f>
        <v>2942852.64</v>
      </c>
      <c r="H30" s="241">
        <f t="shared" si="1"/>
        <v>27827429.549999997</v>
      </c>
    </row>
    <row r="31" spans="1:8" ht="15.75">
      <c r="A31" s="125">
        <v>14</v>
      </c>
      <c r="B31" s="56" t="s">
        <v>119</v>
      </c>
      <c r="C31" s="242">
        <f>C22-C30</f>
        <v>35251135.069999993</v>
      </c>
      <c r="D31" s="242">
        <f>D22-D30</f>
        <v>595306.67999999947</v>
      </c>
      <c r="E31" s="230">
        <f t="shared" si="0"/>
        <v>35846441.749999993</v>
      </c>
      <c r="F31" s="242">
        <f>F22-F30</f>
        <v>30078471.43</v>
      </c>
      <c r="G31" s="242">
        <f>G22-G30</f>
        <v>-1101633.56</v>
      </c>
      <c r="H31" s="241">
        <f t="shared" si="1"/>
        <v>28976837.870000001</v>
      </c>
    </row>
    <row r="32" spans="1:8">
      <c r="A32" s="125"/>
      <c r="B32" s="51"/>
      <c r="C32" s="244"/>
      <c r="D32" s="244"/>
      <c r="E32" s="244"/>
      <c r="F32" s="244"/>
      <c r="G32" s="244"/>
      <c r="H32" s="245"/>
    </row>
    <row r="33" spans="1:8" ht="15.75">
      <c r="A33" s="125"/>
      <c r="B33" s="51" t="s">
        <v>120</v>
      </c>
      <c r="C33" s="240"/>
      <c r="D33" s="240"/>
      <c r="E33" s="229"/>
      <c r="F33" s="240"/>
      <c r="G33" s="240"/>
      <c r="H33" s="243"/>
    </row>
    <row r="34" spans="1:8" ht="15.75">
      <c r="A34" s="125">
        <v>15</v>
      </c>
      <c r="B34" s="50" t="s">
        <v>91</v>
      </c>
      <c r="C34" s="246">
        <f>C35-C36</f>
        <v>18789872.040000003</v>
      </c>
      <c r="D34" s="246">
        <f>D35-D36</f>
        <v>-64999.830000000307</v>
      </c>
      <c r="E34" s="230">
        <f t="shared" si="0"/>
        <v>18724872.210000001</v>
      </c>
      <c r="F34" s="246">
        <f>F35-F36</f>
        <v>15550902.709999997</v>
      </c>
      <c r="G34" s="246">
        <f>G35-G36</f>
        <v>-225044.33999999991</v>
      </c>
      <c r="H34" s="241">
        <f t="shared" si="1"/>
        <v>15325858.369999997</v>
      </c>
    </row>
    <row r="35" spans="1:8" ht="15.75">
      <c r="A35" s="125">
        <v>15.1</v>
      </c>
      <c r="B35" s="54" t="s">
        <v>121</v>
      </c>
      <c r="C35" s="240">
        <v>21959164.720000003</v>
      </c>
      <c r="D35" s="240">
        <v>527449.79999999981</v>
      </c>
      <c r="E35" s="230">
        <f t="shared" si="0"/>
        <v>22486614.520000003</v>
      </c>
      <c r="F35" s="240">
        <v>17599046.259999998</v>
      </c>
      <c r="G35" s="240">
        <v>427390.61000000004</v>
      </c>
      <c r="H35" s="241">
        <f t="shared" si="1"/>
        <v>18026436.869999997</v>
      </c>
    </row>
    <row r="36" spans="1:8" ht="15.75">
      <c r="A36" s="125">
        <v>15.2</v>
      </c>
      <c r="B36" s="54" t="s">
        <v>122</v>
      </c>
      <c r="C36" s="240">
        <v>3169292.6799999997</v>
      </c>
      <c r="D36" s="240">
        <v>592449.63000000012</v>
      </c>
      <c r="E36" s="230">
        <f t="shared" si="0"/>
        <v>3761742.3099999996</v>
      </c>
      <c r="F36" s="240">
        <v>2048143.5500000003</v>
      </c>
      <c r="G36" s="240">
        <v>652434.94999999995</v>
      </c>
      <c r="H36" s="241">
        <f t="shared" si="1"/>
        <v>2700578.5</v>
      </c>
    </row>
    <row r="37" spans="1:8" ht="15.75">
      <c r="A37" s="125">
        <v>16</v>
      </c>
      <c r="B37" s="53" t="s">
        <v>123</v>
      </c>
      <c r="C37" s="240">
        <v>0</v>
      </c>
      <c r="D37" s="240">
        <v>0</v>
      </c>
      <c r="E37" s="230">
        <f t="shared" si="0"/>
        <v>0</v>
      </c>
      <c r="F37" s="240">
        <v>0</v>
      </c>
      <c r="G37" s="240">
        <v>0</v>
      </c>
      <c r="H37" s="241">
        <f t="shared" si="1"/>
        <v>0</v>
      </c>
    </row>
    <row r="38" spans="1:8" ht="15.75">
      <c r="A38" s="125">
        <v>17</v>
      </c>
      <c r="B38" s="53" t="s">
        <v>124</v>
      </c>
      <c r="C38" s="240">
        <v>0</v>
      </c>
      <c r="D38" s="240">
        <v>0</v>
      </c>
      <c r="E38" s="230">
        <f t="shared" si="0"/>
        <v>0</v>
      </c>
      <c r="F38" s="240">
        <v>0</v>
      </c>
      <c r="G38" s="240">
        <v>0</v>
      </c>
      <c r="H38" s="241">
        <f t="shared" si="1"/>
        <v>0</v>
      </c>
    </row>
    <row r="39" spans="1:8" ht="15.75">
      <c r="A39" s="125">
        <v>18</v>
      </c>
      <c r="B39" s="53" t="s">
        <v>125</v>
      </c>
      <c r="C39" s="240">
        <v>0</v>
      </c>
      <c r="D39" s="240">
        <v>0</v>
      </c>
      <c r="E39" s="230">
        <f t="shared" si="0"/>
        <v>0</v>
      </c>
      <c r="F39" s="240">
        <v>0</v>
      </c>
      <c r="G39" s="240">
        <v>0</v>
      </c>
      <c r="H39" s="241">
        <f t="shared" si="1"/>
        <v>0</v>
      </c>
    </row>
    <row r="40" spans="1:8" ht="15.75">
      <c r="A40" s="125">
        <v>19</v>
      </c>
      <c r="B40" s="53" t="s">
        <v>126</v>
      </c>
      <c r="C40" s="240">
        <v>546131.40999999992</v>
      </c>
      <c r="D40" s="240"/>
      <c r="E40" s="230">
        <f t="shared" si="0"/>
        <v>546131.40999999992</v>
      </c>
      <c r="F40" s="240">
        <v>-1190745.3999999999</v>
      </c>
      <c r="G40" s="240"/>
      <c r="H40" s="241">
        <f t="shared" si="1"/>
        <v>-1190745.3999999999</v>
      </c>
    </row>
    <row r="41" spans="1:8" ht="15.75">
      <c r="A41" s="125">
        <v>20</v>
      </c>
      <c r="B41" s="53" t="s">
        <v>127</v>
      </c>
      <c r="C41" s="240">
        <v>-206270.4999994738</v>
      </c>
      <c r="D41" s="240"/>
      <c r="E41" s="230">
        <f t="shared" si="0"/>
        <v>-206270.4999994738</v>
      </c>
      <c r="F41" s="240">
        <v>210226.57999996655</v>
      </c>
      <c r="G41" s="240"/>
      <c r="H41" s="241">
        <f t="shared" si="1"/>
        <v>210226.57999996655</v>
      </c>
    </row>
    <row r="42" spans="1:8" ht="15.75">
      <c r="A42" s="125">
        <v>21</v>
      </c>
      <c r="B42" s="53" t="s">
        <v>128</v>
      </c>
      <c r="C42" s="240">
        <v>4054.9800000000032</v>
      </c>
      <c r="D42" s="240">
        <v>0</v>
      </c>
      <c r="E42" s="230">
        <f t="shared" si="0"/>
        <v>4054.9800000000032</v>
      </c>
      <c r="F42" s="240">
        <v>3289.0899999999965</v>
      </c>
      <c r="G42" s="240">
        <v>0</v>
      </c>
      <c r="H42" s="241">
        <f t="shared" si="1"/>
        <v>3289.0899999999965</v>
      </c>
    </row>
    <row r="43" spans="1:8" ht="15.75">
      <c r="A43" s="125">
        <v>22</v>
      </c>
      <c r="B43" s="53" t="s">
        <v>129</v>
      </c>
      <c r="C43" s="240">
        <v>12721.21</v>
      </c>
      <c r="D43" s="240">
        <v>236.9</v>
      </c>
      <c r="E43" s="230">
        <f t="shared" si="0"/>
        <v>12958.109999999999</v>
      </c>
      <c r="F43" s="240">
        <v>5620.46</v>
      </c>
      <c r="G43" s="240">
        <v>33.25</v>
      </c>
      <c r="H43" s="241">
        <f t="shared" si="1"/>
        <v>5653.71</v>
      </c>
    </row>
    <row r="44" spans="1:8" ht="15.75">
      <c r="A44" s="125">
        <v>23</v>
      </c>
      <c r="B44" s="53" t="s">
        <v>130</v>
      </c>
      <c r="C44" s="240">
        <v>66988.239999999991</v>
      </c>
      <c r="D44" s="240">
        <v>0</v>
      </c>
      <c r="E44" s="230">
        <f t="shared" si="0"/>
        <v>66988.239999999991</v>
      </c>
      <c r="F44" s="240">
        <v>73951.170000000013</v>
      </c>
      <c r="G44" s="240">
        <v>0</v>
      </c>
      <c r="H44" s="241">
        <f t="shared" si="1"/>
        <v>73951.170000000013</v>
      </c>
    </row>
    <row r="45" spans="1:8" ht="15.75">
      <c r="A45" s="125">
        <v>24</v>
      </c>
      <c r="B45" s="56" t="s">
        <v>131</v>
      </c>
      <c r="C45" s="242">
        <f>C34+C37+C38+C39+C40+C41+C42+C43+C44</f>
        <v>19213497.380000528</v>
      </c>
      <c r="D45" s="242">
        <f>D34+D37+D38+D39+D40+D41+D42+D43+D44</f>
        <v>-64762.930000000306</v>
      </c>
      <c r="E45" s="230">
        <f t="shared" si="0"/>
        <v>19148734.450000528</v>
      </c>
      <c r="F45" s="242">
        <f>F34+F37+F38+F39+F40+F41+F42+F43+F44</f>
        <v>14653244.609999964</v>
      </c>
      <c r="G45" s="242">
        <f>G34+G37+G38+G39+G40+G41+G42+G43+G44</f>
        <v>-225011.08999999991</v>
      </c>
      <c r="H45" s="241">
        <f t="shared" si="1"/>
        <v>14428233.519999964</v>
      </c>
    </row>
    <row r="46" spans="1:8">
      <c r="A46" s="125"/>
      <c r="B46" s="51" t="s">
        <v>132</v>
      </c>
      <c r="C46" s="240"/>
      <c r="D46" s="240"/>
      <c r="E46" s="240"/>
      <c r="F46" s="240"/>
      <c r="G46" s="240"/>
      <c r="H46" s="247"/>
    </row>
    <row r="47" spans="1:8" ht="15.75">
      <c r="A47" s="125">
        <v>25</v>
      </c>
      <c r="B47" s="53" t="s">
        <v>133</v>
      </c>
      <c r="C47" s="240">
        <v>979864.93</v>
      </c>
      <c r="D47" s="240">
        <v>53764.759999999995</v>
      </c>
      <c r="E47" s="230">
        <f t="shared" si="0"/>
        <v>1033629.6900000001</v>
      </c>
      <c r="F47" s="240">
        <v>608362.43999999994</v>
      </c>
      <c r="G47" s="240">
        <v>54191.56</v>
      </c>
      <c r="H47" s="241">
        <f t="shared" si="1"/>
        <v>662554</v>
      </c>
    </row>
    <row r="48" spans="1:8" ht="15.75">
      <c r="A48" s="125">
        <v>26</v>
      </c>
      <c r="B48" s="53" t="s">
        <v>134</v>
      </c>
      <c r="C48" s="240">
        <v>452315</v>
      </c>
      <c r="D48" s="240">
        <v>86493.95</v>
      </c>
      <c r="E48" s="230">
        <f t="shared" si="0"/>
        <v>538808.94999999995</v>
      </c>
      <c r="F48" s="240">
        <v>1268143.1599999999</v>
      </c>
      <c r="G48" s="240">
        <v>69154.7</v>
      </c>
      <c r="H48" s="241">
        <f t="shared" si="1"/>
        <v>1337297.8599999999</v>
      </c>
    </row>
    <row r="49" spans="1:9" ht="15.75">
      <c r="A49" s="125">
        <v>27</v>
      </c>
      <c r="B49" s="53" t="s">
        <v>135</v>
      </c>
      <c r="C49" s="240">
        <v>23387240.800000004</v>
      </c>
      <c r="D49" s="240"/>
      <c r="E49" s="230">
        <f t="shared" si="0"/>
        <v>23387240.800000004</v>
      </c>
      <c r="F49" s="240">
        <v>20009302.169999998</v>
      </c>
      <c r="G49" s="240"/>
      <c r="H49" s="241">
        <f t="shared" si="1"/>
        <v>20009302.169999998</v>
      </c>
    </row>
    <row r="50" spans="1:9" ht="15.75">
      <c r="A50" s="125">
        <v>28</v>
      </c>
      <c r="B50" s="53" t="s">
        <v>270</v>
      </c>
      <c r="C50" s="240">
        <v>381122.91000000003</v>
      </c>
      <c r="D50" s="240"/>
      <c r="E50" s="230">
        <f t="shared" si="0"/>
        <v>381122.91000000003</v>
      </c>
      <c r="F50" s="240">
        <v>225795.16999999998</v>
      </c>
      <c r="G50" s="240"/>
      <c r="H50" s="241">
        <f t="shared" si="1"/>
        <v>225795.16999999998</v>
      </c>
    </row>
    <row r="51" spans="1:9" ht="15.75">
      <c r="A51" s="125">
        <v>29</v>
      </c>
      <c r="B51" s="53" t="s">
        <v>136</v>
      </c>
      <c r="C51" s="240">
        <v>4053056.95</v>
      </c>
      <c r="D51" s="240"/>
      <c r="E51" s="230">
        <f t="shared" si="0"/>
        <v>4053056.95</v>
      </c>
      <c r="F51" s="240">
        <v>2811771.2</v>
      </c>
      <c r="G51" s="240"/>
      <c r="H51" s="241">
        <f t="shared" si="1"/>
        <v>2811771.2</v>
      </c>
    </row>
    <row r="52" spans="1:9" ht="15.75">
      <c r="A52" s="125">
        <v>30</v>
      </c>
      <c r="B52" s="53" t="s">
        <v>137</v>
      </c>
      <c r="C52" s="240">
        <v>5263434.78</v>
      </c>
      <c r="D52" s="240">
        <v>4001.86</v>
      </c>
      <c r="E52" s="230">
        <f t="shared" si="0"/>
        <v>5267436.6400000006</v>
      </c>
      <c r="F52" s="240">
        <v>3724020.01</v>
      </c>
      <c r="G52" s="240">
        <v>90592.68</v>
      </c>
      <c r="H52" s="241">
        <f t="shared" si="1"/>
        <v>3814612.69</v>
      </c>
    </row>
    <row r="53" spans="1:9" ht="15.75">
      <c r="A53" s="125">
        <v>31</v>
      </c>
      <c r="B53" s="56" t="s">
        <v>138</v>
      </c>
      <c r="C53" s="242">
        <f>C47+C48+C49+C50+C51+C52</f>
        <v>34517035.370000005</v>
      </c>
      <c r="D53" s="242">
        <f>D47+D48+D49+D50+D51+D52</f>
        <v>144260.56999999998</v>
      </c>
      <c r="E53" s="230">
        <f t="shared" si="0"/>
        <v>34661295.940000005</v>
      </c>
      <c r="F53" s="242">
        <f>F47+F48+F49+F50+F51+F52</f>
        <v>28647394.149999999</v>
      </c>
      <c r="G53" s="242">
        <f>G47+G48+G49+G50+G51+G52</f>
        <v>213938.94</v>
      </c>
      <c r="H53" s="241">
        <f t="shared" si="1"/>
        <v>28861333.09</v>
      </c>
    </row>
    <row r="54" spans="1:9" ht="15.75">
      <c r="A54" s="125">
        <v>32</v>
      </c>
      <c r="B54" s="56" t="s">
        <v>139</v>
      </c>
      <c r="C54" s="242">
        <f>C45-C53</f>
        <v>-15303537.989999477</v>
      </c>
      <c r="D54" s="242">
        <f>D45-D53</f>
        <v>-209023.50000000029</v>
      </c>
      <c r="E54" s="230">
        <f t="shared" si="0"/>
        <v>-15512561.489999477</v>
      </c>
      <c r="F54" s="242">
        <f>F45-F53</f>
        <v>-13994149.540000034</v>
      </c>
      <c r="G54" s="242">
        <f>G45-G53</f>
        <v>-438950.02999999991</v>
      </c>
      <c r="H54" s="241">
        <f t="shared" si="1"/>
        <v>-14433099.570000034</v>
      </c>
    </row>
    <row r="55" spans="1:9">
      <c r="A55" s="125"/>
      <c r="B55" s="51"/>
      <c r="C55" s="244"/>
      <c r="D55" s="244"/>
      <c r="E55" s="244"/>
      <c r="F55" s="244"/>
      <c r="G55" s="244"/>
      <c r="H55" s="245"/>
    </row>
    <row r="56" spans="1:9" ht="15.75">
      <c r="A56" s="125">
        <v>33</v>
      </c>
      <c r="B56" s="56" t="s">
        <v>140</v>
      </c>
      <c r="C56" s="242">
        <f>C31+C54</f>
        <v>19947597.080000516</v>
      </c>
      <c r="D56" s="242">
        <f>D31+D54</f>
        <v>386283.17999999918</v>
      </c>
      <c r="E56" s="230">
        <f t="shared" si="0"/>
        <v>20333880.260000516</v>
      </c>
      <c r="F56" s="242">
        <f>F31+F54</f>
        <v>16084321.889999965</v>
      </c>
      <c r="G56" s="242">
        <f>G31+G54</f>
        <v>-1540583.5899999999</v>
      </c>
      <c r="H56" s="241">
        <f t="shared" si="1"/>
        <v>14543738.299999965</v>
      </c>
    </row>
    <row r="57" spans="1:9">
      <c r="A57" s="125"/>
      <c r="B57" s="51"/>
      <c r="C57" s="244"/>
      <c r="D57" s="244"/>
      <c r="E57" s="244"/>
      <c r="F57" s="244"/>
      <c r="G57" s="244"/>
      <c r="H57" s="245"/>
    </row>
    <row r="58" spans="1:9" ht="15.75">
      <c r="A58" s="125">
        <v>34</v>
      </c>
      <c r="B58" s="53" t="s">
        <v>141</v>
      </c>
      <c r="C58" s="240">
        <v>11228458.060000001</v>
      </c>
      <c r="D58" s="240"/>
      <c r="E58" s="230">
        <f t="shared" si="0"/>
        <v>11228458.060000001</v>
      </c>
      <c r="F58" s="240">
        <v>5465429.5499999998</v>
      </c>
      <c r="G58" s="240"/>
      <c r="H58" s="241">
        <f t="shared" si="1"/>
        <v>5465429.5499999998</v>
      </c>
    </row>
    <row r="59" spans="1:9" s="203" customFormat="1" ht="15.75">
      <c r="A59" s="125">
        <v>35</v>
      </c>
      <c r="B59" s="50" t="s">
        <v>142</v>
      </c>
      <c r="C59" s="248"/>
      <c r="D59" s="248"/>
      <c r="E59" s="249">
        <f t="shared" si="0"/>
        <v>0</v>
      </c>
      <c r="F59" s="250"/>
      <c r="G59" s="250"/>
      <c r="H59" s="251">
        <f t="shared" si="1"/>
        <v>0</v>
      </c>
      <c r="I59" s="202"/>
    </row>
    <row r="60" spans="1:9" ht="15.75">
      <c r="A60" s="125">
        <v>36</v>
      </c>
      <c r="B60" s="53" t="s">
        <v>143</v>
      </c>
      <c r="C60" s="240">
        <v>319760.03000000003</v>
      </c>
      <c r="D60" s="240"/>
      <c r="E60" s="230">
        <f t="shared" si="0"/>
        <v>319760.03000000003</v>
      </c>
      <c r="F60" s="240">
        <v>216713.4</v>
      </c>
      <c r="G60" s="240"/>
      <c r="H60" s="241">
        <f t="shared" si="1"/>
        <v>216713.4</v>
      </c>
    </row>
    <row r="61" spans="1:9" ht="15.75">
      <c r="A61" s="125">
        <v>37</v>
      </c>
      <c r="B61" s="56" t="s">
        <v>144</v>
      </c>
      <c r="C61" s="242">
        <f>C58+C59+C60</f>
        <v>11548218.09</v>
      </c>
      <c r="D61" s="242">
        <f>D58+D59+D60</f>
        <v>0</v>
      </c>
      <c r="E61" s="230">
        <f t="shared" si="0"/>
        <v>11548218.09</v>
      </c>
      <c r="F61" s="242">
        <f>F58+F59+F60</f>
        <v>5682142.9500000002</v>
      </c>
      <c r="G61" s="242">
        <f>G58+G59+G60</f>
        <v>0</v>
      </c>
      <c r="H61" s="241">
        <f t="shared" si="1"/>
        <v>5682142.9500000002</v>
      </c>
    </row>
    <row r="62" spans="1:9">
      <c r="A62" s="125"/>
      <c r="B62" s="57"/>
      <c r="C62" s="240"/>
      <c r="D62" s="240"/>
      <c r="E62" s="240"/>
      <c r="F62" s="240"/>
      <c r="G62" s="240"/>
      <c r="H62" s="247"/>
    </row>
    <row r="63" spans="1:9" ht="15.75">
      <c r="A63" s="125">
        <v>38</v>
      </c>
      <c r="B63" s="58" t="s">
        <v>271</v>
      </c>
      <c r="C63" s="242">
        <f>C56-C61</f>
        <v>8399378.9900005162</v>
      </c>
      <c r="D63" s="242">
        <f>D56-D61</f>
        <v>386283.17999999918</v>
      </c>
      <c r="E63" s="230">
        <f t="shared" si="0"/>
        <v>8785662.1700005159</v>
      </c>
      <c r="F63" s="242">
        <f>F56-F61</f>
        <v>10402178.939999964</v>
      </c>
      <c r="G63" s="242">
        <f>G56-G61</f>
        <v>-1540583.5899999999</v>
      </c>
      <c r="H63" s="241">
        <f t="shared" si="1"/>
        <v>8861595.3499999642</v>
      </c>
    </row>
    <row r="64" spans="1:9" ht="15.75">
      <c r="A64" s="123">
        <v>39</v>
      </c>
      <c r="B64" s="53" t="s">
        <v>145</v>
      </c>
      <c r="C64" s="252">
        <v>1299191.7299999995</v>
      </c>
      <c r="D64" s="252"/>
      <c r="E64" s="230">
        <f t="shared" si="0"/>
        <v>1299191.7299999995</v>
      </c>
      <c r="F64" s="252">
        <v>1328970.7899999998</v>
      </c>
      <c r="G64" s="252"/>
      <c r="H64" s="241">
        <f t="shared" si="1"/>
        <v>1328970.7899999998</v>
      </c>
    </row>
    <row r="65" spans="1:8" ht="15.75">
      <c r="A65" s="125">
        <v>40</v>
      </c>
      <c r="B65" s="56" t="s">
        <v>146</v>
      </c>
      <c r="C65" s="242">
        <f>C63-C64</f>
        <v>7100187.2600005167</v>
      </c>
      <c r="D65" s="242">
        <f>D63-D64</f>
        <v>386283.17999999918</v>
      </c>
      <c r="E65" s="230">
        <f t="shared" si="0"/>
        <v>7486470.4400005154</v>
      </c>
      <c r="F65" s="242">
        <f>F63-F64</f>
        <v>9073208.149999965</v>
      </c>
      <c r="G65" s="242">
        <f>G63-G64</f>
        <v>-1540583.5899999999</v>
      </c>
      <c r="H65" s="241">
        <f t="shared" si="1"/>
        <v>7532624.5599999651</v>
      </c>
    </row>
    <row r="66" spans="1:8" ht="15.75">
      <c r="A66" s="123">
        <v>41</v>
      </c>
      <c r="B66" s="53" t="s">
        <v>147</v>
      </c>
      <c r="C66" s="252">
        <v>-124384</v>
      </c>
      <c r="D66" s="252"/>
      <c r="E66" s="230">
        <f t="shared" si="0"/>
        <v>-124384</v>
      </c>
      <c r="F66" s="252">
        <v>-1790.12</v>
      </c>
      <c r="G66" s="252"/>
      <c r="H66" s="241">
        <f t="shared" si="1"/>
        <v>-1790.12</v>
      </c>
    </row>
    <row r="67" spans="1:8" ht="16.5" thickBot="1">
      <c r="A67" s="127">
        <v>42</v>
      </c>
      <c r="B67" s="128" t="s">
        <v>148</v>
      </c>
      <c r="C67" s="253">
        <f>C65+C66</f>
        <v>6975803.2600005167</v>
      </c>
      <c r="D67" s="253">
        <f>D65+D66</f>
        <v>386283.17999999918</v>
      </c>
      <c r="E67" s="238">
        <f t="shared" si="0"/>
        <v>7362086.4400005154</v>
      </c>
      <c r="F67" s="253">
        <f>F65+F66</f>
        <v>9071418.0299999658</v>
      </c>
      <c r="G67" s="253">
        <f>G65+G66</f>
        <v>-1540583.5899999999</v>
      </c>
      <c r="H67" s="254">
        <f t="shared" si="1"/>
        <v>7530834.439999966</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4" zoomScaleNormal="100" workbookViewId="0">
      <selection activeCell="F41" sqref="F41:G44"/>
    </sheetView>
  </sheetViews>
  <sheetFormatPr defaultRowHeight="15"/>
  <cols>
    <col min="1" max="1" width="9.5703125" bestFit="1" customWidth="1"/>
    <col min="2" max="2" width="72.28515625" customWidth="1"/>
    <col min="3" max="8" width="12.7109375" customWidth="1"/>
  </cols>
  <sheetData>
    <row r="1" spans="1:8">
      <c r="A1" s="2" t="s">
        <v>188</v>
      </c>
      <c r="B1" t="str">
        <f>Info!C2</f>
        <v>სს "კრედო ბანკი"</v>
      </c>
    </row>
    <row r="2" spans="1:8">
      <c r="A2" s="2" t="s">
        <v>189</v>
      </c>
      <c r="B2" s="469">
        <f>'1. key ratios'!B2</f>
        <v>44651</v>
      </c>
    </row>
    <row r="3" spans="1:8">
      <c r="A3" s="2"/>
    </row>
    <row r="4" spans="1:8" ht="16.5" thickBot="1">
      <c r="A4" s="2" t="s">
        <v>330</v>
      </c>
      <c r="B4" s="2"/>
      <c r="C4" s="212"/>
      <c r="D4" s="212"/>
      <c r="E4" s="212"/>
      <c r="F4" s="213"/>
      <c r="G4" s="213"/>
      <c r="H4" s="214" t="s">
        <v>93</v>
      </c>
    </row>
    <row r="5" spans="1:8" ht="15.75">
      <c r="A5" s="714" t="s">
        <v>26</v>
      </c>
      <c r="B5" s="716" t="s">
        <v>244</v>
      </c>
      <c r="C5" s="718" t="s">
        <v>194</v>
      </c>
      <c r="D5" s="718"/>
      <c r="E5" s="718"/>
      <c r="F5" s="718" t="s">
        <v>195</v>
      </c>
      <c r="G5" s="718"/>
      <c r="H5" s="719"/>
    </row>
    <row r="6" spans="1:8">
      <c r="A6" s="715"/>
      <c r="B6" s="717"/>
      <c r="C6" s="38" t="s">
        <v>27</v>
      </c>
      <c r="D6" s="38" t="s">
        <v>94</v>
      </c>
      <c r="E6" s="38" t="s">
        <v>68</v>
      </c>
      <c r="F6" s="38" t="s">
        <v>27</v>
      </c>
      <c r="G6" s="38" t="s">
        <v>94</v>
      </c>
      <c r="H6" s="39" t="s">
        <v>68</v>
      </c>
    </row>
    <row r="7" spans="1:8" s="3" customFormat="1" ht="15.75">
      <c r="A7" s="215">
        <v>1</v>
      </c>
      <c r="B7" s="216" t="s">
        <v>365</v>
      </c>
      <c r="C7" s="232"/>
      <c r="D7" s="232"/>
      <c r="E7" s="255">
        <f>SUM(E8:E11)</f>
        <v>34728427.93</v>
      </c>
      <c r="F7" s="232"/>
      <c r="G7" s="232"/>
      <c r="H7" s="255">
        <f>SUM(H8:H11)</f>
        <v>31661617.370000001</v>
      </c>
    </row>
    <row r="8" spans="1:8" s="3" customFormat="1" ht="15.75">
      <c r="A8" s="215">
        <v>1.1000000000000001</v>
      </c>
      <c r="B8" s="217" t="s">
        <v>275</v>
      </c>
      <c r="C8" s="232">
        <v>30000</v>
      </c>
      <c r="D8" s="232"/>
      <c r="E8" s="255">
        <f t="shared" ref="E8:E53" si="0">C8+D8</f>
        <v>30000</v>
      </c>
      <c r="F8" s="232">
        <v>35000</v>
      </c>
      <c r="G8" s="232"/>
      <c r="H8" s="233">
        <f t="shared" ref="H8:H53" si="1">F8+G8</f>
        <v>35000</v>
      </c>
    </row>
    <row r="9" spans="1:8" s="3" customFormat="1" ht="15.75">
      <c r="A9" s="215">
        <v>1.2</v>
      </c>
      <c r="B9" s="217" t="s">
        <v>276</v>
      </c>
      <c r="C9" s="232"/>
      <c r="D9" s="232"/>
      <c r="E9" s="255">
        <f t="shared" si="0"/>
        <v>0</v>
      </c>
      <c r="F9" s="232"/>
      <c r="G9" s="232"/>
      <c r="H9" s="233">
        <f t="shared" si="1"/>
        <v>0</v>
      </c>
    </row>
    <row r="10" spans="1:8" s="3" customFormat="1" ht="15.75">
      <c r="A10" s="215">
        <v>1.3</v>
      </c>
      <c r="B10" s="217" t="s">
        <v>277</v>
      </c>
      <c r="C10" s="232">
        <v>15042552.48</v>
      </c>
      <c r="D10" s="232">
        <v>6177681.2699999996</v>
      </c>
      <c r="E10" s="255">
        <f t="shared" si="0"/>
        <v>21220233.75</v>
      </c>
      <c r="F10" s="232">
        <v>3828982.69</v>
      </c>
      <c r="G10" s="232">
        <v>2180065.2200000002</v>
      </c>
      <c r="H10" s="233">
        <f t="shared" si="1"/>
        <v>6009047.9100000001</v>
      </c>
    </row>
    <row r="11" spans="1:8" s="3" customFormat="1" ht="15.75">
      <c r="A11" s="215">
        <v>1.4</v>
      </c>
      <c r="B11" s="217" t="s">
        <v>278</v>
      </c>
      <c r="C11" s="232">
        <v>13478194.18</v>
      </c>
      <c r="D11" s="232"/>
      <c r="E11" s="255">
        <f t="shared" si="0"/>
        <v>13478194.18</v>
      </c>
      <c r="F11" s="232">
        <v>25617569.460000001</v>
      </c>
      <c r="G11" s="232"/>
      <c r="H11" s="233">
        <f t="shared" si="1"/>
        <v>25617569.460000001</v>
      </c>
    </row>
    <row r="12" spans="1:8" s="3" customFormat="1" ht="29.25" customHeight="1">
      <c r="A12" s="215">
        <v>2</v>
      </c>
      <c r="B12" s="216" t="s">
        <v>279</v>
      </c>
      <c r="C12" s="232"/>
      <c r="D12" s="232"/>
      <c r="E12" s="255">
        <f t="shared" si="0"/>
        <v>0</v>
      </c>
      <c r="F12" s="232"/>
      <c r="G12" s="232"/>
      <c r="H12" s="233">
        <f t="shared" si="1"/>
        <v>0</v>
      </c>
    </row>
    <row r="13" spans="1:8" s="3" customFormat="1" ht="25.5">
      <c r="A13" s="215">
        <v>3</v>
      </c>
      <c r="B13" s="216" t="s">
        <v>280</v>
      </c>
      <c r="C13" s="232"/>
      <c r="D13" s="232"/>
      <c r="E13" s="255">
        <f t="shared" si="0"/>
        <v>0</v>
      </c>
      <c r="F13" s="232"/>
      <c r="G13" s="232"/>
      <c r="H13" s="233">
        <f t="shared" si="1"/>
        <v>0</v>
      </c>
    </row>
    <row r="14" spans="1:8" s="3" customFormat="1" ht="15.75">
      <c r="A14" s="215">
        <v>3.1</v>
      </c>
      <c r="B14" s="217" t="s">
        <v>281</v>
      </c>
      <c r="C14" s="232"/>
      <c r="D14" s="232"/>
      <c r="E14" s="255">
        <f t="shared" si="0"/>
        <v>0</v>
      </c>
      <c r="F14" s="232"/>
      <c r="G14" s="232"/>
      <c r="H14" s="233">
        <f t="shared" si="1"/>
        <v>0</v>
      </c>
    </row>
    <row r="15" spans="1:8" s="3" customFormat="1" ht="15.75">
      <c r="A15" s="215">
        <v>3.2</v>
      </c>
      <c r="B15" s="217" t="s">
        <v>282</v>
      </c>
      <c r="C15" s="232"/>
      <c r="D15" s="232"/>
      <c r="E15" s="255">
        <f t="shared" si="0"/>
        <v>0</v>
      </c>
      <c r="F15" s="232"/>
      <c r="G15" s="232"/>
      <c r="H15" s="233">
        <f t="shared" si="1"/>
        <v>0</v>
      </c>
    </row>
    <row r="16" spans="1:8" s="3" customFormat="1" ht="15.75">
      <c r="A16" s="215">
        <v>4</v>
      </c>
      <c r="B16" s="216" t="s">
        <v>283</v>
      </c>
      <c r="C16" s="232"/>
      <c r="D16" s="232"/>
      <c r="E16" s="255">
        <f>E17+E18</f>
        <v>888174311.63</v>
      </c>
      <c r="F16" s="232"/>
      <c r="G16" s="232"/>
      <c r="H16" s="255">
        <f>H17+H18</f>
        <v>5050644.71</v>
      </c>
    </row>
    <row r="17" spans="1:8" s="3" customFormat="1" ht="15.75">
      <c r="A17" s="215">
        <v>4.0999999999999996</v>
      </c>
      <c r="B17" s="217" t="s">
        <v>284</v>
      </c>
      <c r="C17" s="232">
        <v>887903351.62</v>
      </c>
      <c r="D17" s="232"/>
      <c r="E17" s="255">
        <f t="shared" si="0"/>
        <v>887903351.62</v>
      </c>
      <c r="F17" s="232">
        <v>4784539.71</v>
      </c>
      <c r="G17" s="232"/>
      <c r="H17" s="233">
        <f t="shared" si="1"/>
        <v>4784539.71</v>
      </c>
    </row>
    <row r="18" spans="1:8" s="3" customFormat="1" ht="15.75">
      <c r="A18" s="215">
        <v>4.2</v>
      </c>
      <c r="B18" s="217" t="s">
        <v>285</v>
      </c>
      <c r="C18" s="232">
        <v>270960.01</v>
      </c>
      <c r="D18" s="232"/>
      <c r="E18" s="255">
        <f t="shared" si="0"/>
        <v>270960.01</v>
      </c>
      <c r="F18" s="232">
        <v>266105</v>
      </c>
      <c r="G18" s="232"/>
      <c r="H18" s="233">
        <f t="shared" si="1"/>
        <v>266105</v>
      </c>
    </row>
    <row r="19" spans="1:8" s="3" customFormat="1" ht="25.5">
      <c r="A19" s="215">
        <v>5</v>
      </c>
      <c r="B19" s="216" t="s">
        <v>286</v>
      </c>
      <c r="C19" s="232"/>
      <c r="D19" s="232"/>
      <c r="E19" s="255">
        <f>E20+E21+E22+E28</f>
        <v>688450928.93000007</v>
      </c>
      <c r="F19" s="232"/>
      <c r="G19" s="232"/>
      <c r="H19" s="255">
        <f>H20+H21+H22+H28</f>
        <v>739669723.75999999</v>
      </c>
    </row>
    <row r="20" spans="1:8" s="3" customFormat="1" ht="15.75">
      <c r="A20" s="215">
        <v>5.0999999999999996</v>
      </c>
      <c r="B20" s="217" t="s">
        <v>287</v>
      </c>
      <c r="C20" s="232">
        <v>9565261.6899999995</v>
      </c>
      <c r="D20" s="232"/>
      <c r="E20" s="255">
        <f t="shared" si="0"/>
        <v>9565261.6899999995</v>
      </c>
      <c r="F20" s="232"/>
      <c r="G20" s="232"/>
      <c r="H20" s="233">
        <f t="shared" si="1"/>
        <v>0</v>
      </c>
    </row>
    <row r="21" spans="1:8" s="3" customFormat="1" ht="15.75">
      <c r="A21" s="215">
        <v>5.2</v>
      </c>
      <c r="B21" s="217" t="s">
        <v>288</v>
      </c>
      <c r="C21" s="232">
        <v>46591.38</v>
      </c>
      <c r="D21" s="232"/>
      <c r="E21" s="255">
        <f t="shared" si="0"/>
        <v>46591.38</v>
      </c>
      <c r="F21" s="232">
        <v>102956.27</v>
      </c>
      <c r="G21" s="232"/>
      <c r="H21" s="233">
        <f t="shared" si="1"/>
        <v>102956.27</v>
      </c>
    </row>
    <row r="22" spans="1:8" s="3" customFormat="1" ht="15.75">
      <c r="A22" s="215">
        <v>5.3</v>
      </c>
      <c r="B22" s="217" t="s">
        <v>289</v>
      </c>
      <c r="C22" s="608">
        <f>SUM(C23:C27)</f>
        <v>637259170.47000003</v>
      </c>
      <c r="D22" s="232"/>
      <c r="E22" s="255">
        <f t="shared" si="0"/>
        <v>637259170.47000003</v>
      </c>
      <c r="F22" s="608">
        <f>SUM(F23:F27)</f>
        <v>725152360.71000004</v>
      </c>
      <c r="G22" s="232"/>
      <c r="H22" s="233">
        <f t="shared" si="1"/>
        <v>725152360.71000004</v>
      </c>
    </row>
    <row r="23" spans="1:8" s="3" customFormat="1" ht="15.75">
      <c r="A23" s="215" t="s">
        <v>290</v>
      </c>
      <c r="B23" s="218" t="s">
        <v>291</v>
      </c>
      <c r="C23" s="232">
        <v>434339243.75</v>
      </c>
      <c r="D23" s="232"/>
      <c r="E23" s="255">
        <f t="shared" si="0"/>
        <v>434339243.75</v>
      </c>
      <c r="F23" s="232">
        <v>501413624.35000002</v>
      </c>
      <c r="G23" s="232"/>
      <c r="H23" s="233">
        <f t="shared" si="1"/>
        <v>501413624.35000002</v>
      </c>
    </row>
    <row r="24" spans="1:8" s="3" customFormat="1" ht="15.75">
      <c r="A24" s="215" t="s">
        <v>292</v>
      </c>
      <c r="B24" s="218" t="s">
        <v>293</v>
      </c>
      <c r="C24" s="232">
        <v>99038197.790000007</v>
      </c>
      <c r="D24" s="232"/>
      <c r="E24" s="255">
        <f t="shared" si="0"/>
        <v>99038197.790000007</v>
      </c>
      <c r="F24" s="232">
        <v>123091973.13</v>
      </c>
      <c r="G24" s="232"/>
      <c r="H24" s="233">
        <f t="shared" si="1"/>
        <v>123091973.13</v>
      </c>
    </row>
    <row r="25" spans="1:8" s="3" customFormat="1" ht="15.75">
      <c r="A25" s="215" t="s">
        <v>294</v>
      </c>
      <c r="B25" s="219" t="s">
        <v>295</v>
      </c>
      <c r="C25" s="232">
        <v>0</v>
      </c>
      <c r="D25" s="232"/>
      <c r="E25" s="255">
        <f t="shared" si="0"/>
        <v>0</v>
      </c>
      <c r="F25" s="232"/>
      <c r="G25" s="232"/>
      <c r="H25" s="233">
        <f t="shared" si="1"/>
        <v>0</v>
      </c>
    </row>
    <row r="26" spans="1:8" s="3" customFormat="1" ht="15.75">
      <c r="A26" s="215" t="s">
        <v>296</v>
      </c>
      <c r="B26" s="218" t="s">
        <v>297</v>
      </c>
      <c r="C26" s="232">
        <v>101126218.14</v>
      </c>
      <c r="D26" s="232"/>
      <c r="E26" s="255">
        <f t="shared" si="0"/>
        <v>101126218.14</v>
      </c>
      <c r="F26" s="232">
        <v>93050697.579999998</v>
      </c>
      <c r="G26" s="232"/>
      <c r="H26" s="233">
        <f t="shared" si="1"/>
        <v>93050697.579999998</v>
      </c>
    </row>
    <row r="27" spans="1:8" s="3" customFormat="1" ht="15.75">
      <c r="A27" s="215" t="s">
        <v>298</v>
      </c>
      <c r="B27" s="218" t="s">
        <v>299</v>
      </c>
      <c r="C27" s="232">
        <v>2755510.79</v>
      </c>
      <c r="D27" s="232"/>
      <c r="E27" s="255">
        <f t="shared" si="0"/>
        <v>2755510.79</v>
      </c>
      <c r="F27" s="232">
        <v>7596065.6500000004</v>
      </c>
      <c r="G27" s="232"/>
      <c r="H27" s="233">
        <f t="shared" si="1"/>
        <v>7596065.6500000004</v>
      </c>
    </row>
    <row r="28" spans="1:8" s="3" customFormat="1" ht="15.75">
      <c r="A28" s="215">
        <v>5.4</v>
      </c>
      <c r="B28" s="217" t="s">
        <v>300</v>
      </c>
      <c r="C28" s="232">
        <v>41579905.390000001</v>
      </c>
      <c r="D28" s="232"/>
      <c r="E28" s="255">
        <f t="shared" si="0"/>
        <v>41579905.390000001</v>
      </c>
      <c r="F28" s="232">
        <v>14414406.779999999</v>
      </c>
      <c r="G28" s="232"/>
      <c r="H28" s="233">
        <f t="shared" si="1"/>
        <v>14414406.779999999</v>
      </c>
    </row>
    <row r="29" spans="1:8" s="3" customFormat="1" ht="15.75">
      <c r="A29" s="215">
        <v>5.5</v>
      </c>
      <c r="B29" s="217" t="s">
        <v>301</v>
      </c>
      <c r="C29" s="232"/>
      <c r="D29" s="232"/>
      <c r="E29" s="255">
        <f t="shared" si="0"/>
        <v>0</v>
      </c>
      <c r="F29" s="232"/>
      <c r="G29" s="232"/>
      <c r="H29" s="233">
        <f t="shared" si="1"/>
        <v>0</v>
      </c>
    </row>
    <row r="30" spans="1:8" s="3" customFormat="1" ht="15.75">
      <c r="A30" s="215">
        <v>5.6</v>
      </c>
      <c r="B30" s="217" t="s">
        <v>302</v>
      </c>
      <c r="C30" s="232"/>
      <c r="D30" s="232"/>
      <c r="E30" s="255">
        <f t="shared" si="0"/>
        <v>0</v>
      </c>
      <c r="F30" s="232"/>
      <c r="G30" s="232"/>
      <c r="H30" s="233">
        <f t="shared" si="1"/>
        <v>0</v>
      </c>
    </row>
    <row r="31" spans="1:8" s="3" customFormat="1" ht="15.75">
      <c r="A31" s="215">
        <v>5.7</v>
      </c>
      <c r="B31" s="217" t="s">
        <v>303</v>
      </c>
      <c r="C31" s="232"/>
      <c r="D31" s="232"/>
      <c r="E31" s="255">
        <f t="shared" si="0"/>
        <v>0</v>
      </c>
      <c r="F31" s="232"/>
      <c r="G31" s="232"/>
      <c r="H31" s="233">
        <f t="shared" si="1"/>
        <v>0</v>
      </c>
    </row>
    <row r="32" spans="1:8" s="3" customFormat="1" ht="15.75">
      <c r="A32" s="215">
        <v>6</v>
      </c>
      <c r="B32" s="216" t="s">
        <v>304</v>
      </c>
      <c r="C32" s="232">
        <f t="shared" ref="C32:H32" si="2">C33+C34</f>
        <v>13527500</v>
      </c>
      <c r="D32" s="232">
        <f t="shared" si="2"/>
        <v>9658880</v>
      </c>
      <c r="E32" s="255">
        <f t="shared" si="2"/>
        <v>23186380</v>
      </c>
      <c r="F32" s="232"/>
      <c r="G32" s="232"/>
      <c r="H32" s="255">
        <f t="shared" si="2"/>
        <v>79752841.120000005</v>
      </c>
    </row>
    <row r="33" spans="1:8" s="3" customFormat="1" ht="25.5">
      <c r="A33" s="215">
        <v>6.1</v>
      </c>
      <c r="B33" s="217" t="s">
        <v>366</v>
      </c>
      <c r="C33" s="232">
        <v>13527500</v>
      </c>
      <c r="D33" s="232">
        <v>9658880</v>
      </c>
      <c r="E33" s="255">
        <f t="shared" si="0"/>
        <v>23186380</v>
      </c>
      <c r="F33" s="232">
        <v>78382670</v>
      </c>
      <c r="G33" s="232">
        <v>1370171.12</v>
      </c>
      <c r="H33" s="233">
        <f t="shared" si="1"/>
        <v>79752841.120000005</v>
      </c>
    </row>
    <row r="34" spans="1:8" s="3" customFormat="1" ht="25.5">
      <c r="A34" s="215">
        <v>6.2</v>
      </c>
      <c r="B34" s="217" t="s">
        <v>305</v>
      </c>
      <c r="C34" s="232"/>
      <c r="D34" s="232"/>
      <c r="E34" s="255">
        <f t="shared" si="0"/>
        <v>0</v>
      </c>
      <c r="F34" s="232"/>
      <c r="G34" s="232"/>
      <c r="H34" s="233">
        <f t="shared" si="1"/>
        <v>0</v>
      </c>
    </row>
    <row r="35" spans="1:8" s="3" customFormat="1" ht="25.5">
      <c r="A35" s="215">
        <v>6.3</v>
      </c>
      <c r="B35" s="217" t="s">
        <v>306</v>
      </c>
      <c r="C35" s="232"/>
      <c r="D35" s="232"/>
      <c r="E35" s="255">
        <f t="shared" si="0"/>
        <v>0</v>
      </c>
      <c r="F35" s="232"/>
      <c r="G35" s="232"/>
      <c r="H35" s="233">
        <f t="shared" si="1"/>
        <v>0</v>
      </c>
    </row>
    <row r="36" spans="1:8" s="3" customFormat="1" ht="15.75">
      <c r="A36" s="215">
        <v>6.4</v>
      </c>
      <c r="B36" s="217" t="s">
        <v>307</v>
      </c>
      <c r="C36" s="232"/>
      <c r="D36" s="232"/>
      <c r="E36" s="255">
        <f t="shared" si="0"/>
        <v>0</v>
      </c>
      <c r="F36" s="232"/>
      <c r="G36" s="232"/>
      <c r="H36" s="233">
        <f t="shared" si="1"/>
        <v>0</v>
      </c>
    </row>
    <row r="37" spans="1:8" s="3" customFormat="1" ht="15.75">
      <c r="A37" s="215">
        <v>6.5</v>
      </c>
      <c r="B37" s="217" t="s">
        <v>308</v>
      </c>
      <c r="C37" s="232"/>
      <c r="D37" s="232"/>
      <c r="E37" s="255">
        <f t="shared" si="0"/>
        <v>0</v>
      </c>
      <c r="F37" s="232"/>
      <c r="G37" s="232"/>
      <c r="H37" s="233">
        <f t="shared" si="1"/>
        <v>0</v>
      </c>
    </row>
    <row r="38" spans="1:8" s="3" customFormat="1" ht="25.5">
      <c r="A38" s="215">
        <v>6.6</v>
      </c>
      <c r="B38" s="217" t="s">
        <v>309</v>
      </c>
      <c r="C38" s="232"/>
      <c r="D38" s="232"/>
      <c r="E38" s="255">
        <f t="shared" si="0"/>
        <v>0</v>
      </c>
      <c r="F38" s="232"/>
      <c r="G38" s="232"/>
      <c r="H38" s="233">
        <f t="shared" si="1"/>
        <v>0</v>
      </c>
    </row>
    <row r="39" spans="1:8" s="3" customFormat="1" ht="25.5">
      <c r="A39" s="215">
        <v>6.7</v>
      </c>
      <c r="B39" s="217" t="s">
        <v>310</v>
      </c>
      <c r="C39" s="232"/>
      <c r="D39" s="232"/>
      <c r="E39" s="255">
        <f t="shared" si="0"/>
        <v>0</v>
      </c>
      <c r="F39" s="232"/>
      <c r="G39" s="232"/>
      <c r="H39" s="233">
        <f t="shared" si="1"/>
        <v>0</v>
      </c>
    </row>
    <row r="40" spans="1:8" s="3" customFormat="1" ht="15.75">
      <c r="A40" s="215">
        <v>7</v>
      </c>
      <c r="B40" s="216" t="s">
        <v>311</v>
      </c>
      <c r="C40" s="255">
        <f t="shared" ref="C40:H40" si="3">SUM(C41:C44)</f>
        <v>117537237.31000003</v>
      </c>
      <c r="D40" s="255">
        <f t="shared" si="3"/>
        <v>25069441.414254002</v>
      </c>
      <c r="E40" s="255">
        <f t="shared" si="3"/>
        <v>142606678.72425404</v>
      </c>
      <c r="F40" s="255">
        <f t="shared" si="3"/>
        <v>57759694.970000021</v>
      </c>
      <c r="G40" s="255">
        <f t="shared" si="3"/>
        <v>24919887.390388999</v>
      </c>
      <c r="H40" s="255">
        <f t="shared" si="3"/>
        <v>82679582.360389024</v>
      </c>
    </row>
    <row r="41" spans="1:8" s="3" customFormat="1" ht="25.5">
      <c r="A41" s="215">
        <v>7.1</v>
      </c>
      <c r="B41" s="217" t="s">
        <v>312</v>
      </c>
      <c r="C41" s="232">
        <v>10895047.220000012</v>
      </c>
      <c r="D41" s="232">
        <v>35564.964088000001</v>
      </c>
      <c r="E41" s="255">
        <f t="shared" si="0"/>
        <v>10930612.184088012</v>
      </c>
      <c r="F41" s="232">
        <v>5195131.33</v>
      </c>
      <c r="G41" s="232">
        <v>137935.39000000001</v>
      </c>
      <c r="H41" s="233">
        <f t="shared" si="1"/>
        <v>5333066.72</v>
      </c>
    </row>
    <row r="42" spans="1:8" s="3" customFormat="1" ht="25.5">
      <c r="A42" s="215">
        <v>7.2</v>
      </c>
      <c r="B42" s="217" t="s">
        <v>313</v>
      </c>
      <c r="C42" s="232">
        <v>6513780</v>
      </c>
      <c r="D42" s="232">
        <v>12676</v>
      </c>
      <c r="E42" s="255">
        <f t="shared" si="0"/>
        <v>6526456</v>
      </c>
      <c r="F42" s="232">
        <v>3570464</v>
      </c>
      <c r="G42" s="232">
        <v>23486.805</v>
      </c>
      <c r="H42" s="233">
        <f t="shared" si="1"/>
        <v>3593950.8050000002</v>
      </c>
    </row>
    <row r="43" spans="1:8" s="3" customFormat="1" ht="25.5">
      <c r="A43" s="215">
        <v>7.3</v>
      </c>
      <c r="B43" s="217" t="s">
        <v>314</v>
      </c>
      <c r="C43" s="232">
        <v>60809136.400000036</v>
      </c>
      <c r="D43" s="232">
        <v>17001844.292463001</v>
      </c>
      <c r="E43" s="255">
        <f t="shared" si="0"/>
        <v>77810980.69246304</v>
      </c>
      <c r="F43" s="232">
        <v>29299439.550000019</v>
      </c>
      <c r="G43" s="232">
        <v>16791920.476498</v>
      </c>
      <c r="H43" s="233">
        <f t="shared" si="1"/>
        <v>46091360.02649802</v>
      </c>
    </row>
    <row r="44" spans="1:8" s="3" customFormat="1" ht="25.5">
      <c r="A44" s="215">
        <v>7.4</v>
      </c>
      <c r="B44" s="217" t="s">
        <v>315</v>
      </c>
      <c r="C44" s="232">
        <v>39319273.689999983</v>
      </c>
      <c r="D44" s="232">
        <v>8019356.1577030001</v>
      </c>
      <c r="E44" s="255">
        <f t="shared" si="0"/>
        <v>47338629.84770298</v>
      </c>
      <c r="F44" s="232">
        <v>19694660.090000004</v>
      </c>
      <c r="G44" s="232">
        <v>7966544.7188909994</v>
      </c>
      <c r="H44" s="233">
        <f t="shared" si="1"/>
        <v>27661204.808891002</v>
      </c>
    </row>
    <row r="45" spans="1:8" s="3" customFormat="1" ht="15.75">
      <c r="A45" s="215">
        <v>8</v>
      </c>
      <c r="B45" s="216" t="s">
        <v>316</v>
      </c>
      <c r="C45" s="232"/>
      <c r="D45" s="232"/>
      <c r="E45" s="255">
        <f t="shared" si="0"/>
        <v>0</v>
      </c>
      <c r="F45" s="232"/>
      <c r="G45" s="232"/>
      <c r="H45" s="233">
        <f t="shared" si="1"/>
        <v>0</v>
      </c>
    </row>
    <row r="46" spans="1:8" s="3" customFormat="1" ht="15.75">
      <c r="A46" s="215">
        <v>8.1</v>
      </c>
      <c r="B46" s="217" t="s">
        <v>317</v>
      </c>
      <c r="C46" s="232"/>
      <c r="D46" s="232"/>
      <c r="E46" s="255">
        <f t="shared" si="0"/>
        <v>0</v>
      </c>
      <c r="F46" s="232"/>
      <c r="G46" s="232"/>
      <c r="H46" s="233">
        <f t="shared" si="1"/>
        <v>0</v>
      </c>
    </row>
    <row r="47" spans="1:8" s="3" customFormat="1" ht="15.75">
      <c r="A47" s="215">
        <v>8.1999999999999993</v>
      </c>
      <c r="B47" s="217" t="s">
        <v>318</v>
      </c>
      <c r="C47" s="232"/>
      <c r="D47" s="232"/>
      <c r="E47" s="255">
        <f t="shared" si="0"/>
        <v>0</v>
      </c>
      <c r="F47" s="232"/>
      <c r="G47" s="232"/>
      <c r="H47" s="233">
        <f t="shared" si="1"/>
        <v>0</v>
      </c>
    </row>
    <row r="48" spans="1:8" s="3" customFormat="1" ht="15.75">
      <c r="A48" s="215">
        <v>8.3000000000000007</v>
      </c>
      <c r="B48" s="217" t="s">
        <v>319</v>
      </c>
      <c r="C48" s="232"/>
      <c r="D48" s="232"/>
      <c r="E48" s="255">
        <f t="shared" si="0"/>
        <v>0</v>
      </c>
      <c r="F48" s="232"/>
      <c r="G48" s="232"/>
      <c r="H48" s="233">
        <f t="shared" si="1"/>
        <v>0</v>
      </c>
    </row>
    <row r="49" spans="1:8" s="3" customFormat="1" ht="15.75">
      <c r="A49" s="215">
        <v>8.4</v>
      </c>
      <c r="B49" s="217" t="s">
        <v>320</v>
      </c>
      <c r="C49" s="232"/>
      <c r="D49" s="232"/>
      <c r="E49" s="255">
        <f t="shared" si="0"/>
        <v>0</v>
      </c>
      <c r="F49" s="232"/>
      <c r="G49" s="232"/>
      <c r="H49" s="233">
        <f t="shared" si="1"/>
        <v>0</v>
      </c>
    </row>
    <row r="50" spans="1:8" s="3" customFormat="1" ht="15.75">
      <c r="A50" s="215">
        <v>8.5</v>
      </c>
      <c r="B50" s="217" t="s">
        <v>321</v>
      </c>
      <c r="C50" s="232"/>
      <c r="D50" s="232"/>
      <c r="E50" s="255">
        <f t="shared" si="0"/>
        <v>0</v>
      </c>
      <c r="F50" s="232"/>
      <c r="G50" s="232"/>
      <c r="H50" s="233">
        <f t="shared" si="1"/>
        <v>0</v>
      </c>
    </row>
    <row r="51" spans="1:8" s="3" customFormat="1" ht="15.75">
      <c r="A51" s="215">
        <v>8.6</v>
      </c>
      <c r="B51" s="217" t="s">
        <v>322</v>
      </c>
      <c r="C51" s="232"/>
      <c r="D51" s="232"/>
      <c r="E51" s="255">
        <f t="shared" si="0"/>
        <v>0</v>
      </c>
      <c r="F51" s="232"/>
      <c r="G51" s="232"/>
      <c r="H51" s="233">
        <f t="shared" si="1"/>
        <v>0</v>
      </c>
    </row>
    <row r="52" spans="1:8" s="3" customFormat="1" ht="15.75">
      <c r="A52" s="215">
        <v>8.6999999999999993</v>
      </c>
      <c r="B52" s="217" t="s">
        <v>323</v>
      </c>
      <c r="C52" s="232"/>
      <c r="D52" s="232"/>
      <c r="E52" s="255">
        <f t="shared" si="0"/>
        <v>0</v>
      </c>
      <c r="F52" s="232"/>
      <c r="G52" s="232"/>
      <c r="H52" s="233">
        <f t="shared" si="1"/>
        <v>0</v>
      </c>
    </row>
    <row r="53" spans="1:8" s="3" customFormat="1" ht="26.25" thickBot="1">
      <c r="A53" s="220">
        <v>9</v>
      </c>
      <c r="B53" s="221" t="s">
        <v>324</v>
      </c>
      <c r="C53" s="256"/>
      <c r="D53" s="256"/>
      <c r="E53" s="257">
        <f t="shared" si="0"/>
        <v>0</v>
      </c>
      <c r="F53" s="256"/>
      <c r="G53" s="256"/>
      <c r="H53" s="239">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188</v>
      </c>
      <c r="B1" s="16" t="str">
        <f>Info!C2</f>
        <v>სს "კრედო ბანკი"</v>
      </c>
      <c r="C1" s="16"/>
      <c r="D1" s="335"/>
    </row>
    <row r="2" spans="1:8" ht="15">
      <c r="A2" s="17" t="s">
        <v>189</v>
      </c>
      <c r="B2" s="453">
        <f>'1. key ratios'!B2</f>
        <v>44651</v>
      </c>
      <c r="C2" s="28"/>
      <c r="D2" s="18"/>
      <c r="E2" s="12"/>
      <c r="F2" s="12"/>
      <c r="G2" s="12"/>
      <c r="H2" s="12"/>
    </row>
    <row r="3" spans="1:8" ht="15">
      <c r="A3" s="17"/>
      <c r="B3" s="16"/>
      <c r="C3" s="28"/>
      <c r="D3" s="18"/>
      <c r="E3" s="12"/>
      <c r="F3" s="12"/>
      <c r="G3" s="12"/>
      <c r="H3" s="12"/>
    </row>
    <row r="4" spans="1:8" ht="15" customHeight="1" thickBot="1">
      <c r="A4" s="209" t="s">
        <v>331</v>
      </c>
      <c r="B4" s="210" t="s">
        <v>187</v>
      </c>
      <c r="C4" s="211" t="s">
        <v>93</v>
      </c>
    </row>
    <row r="5" spans="1:8" ht="15" customHeight="1">
      <c r="A5" s="207" t="s">
        <v>26</v>
      </c>
      <c r="B5" s="208"/>
      <c r="C5" s="454" t="str">
        <f>INT((MONTH($B$2))/3)&amp;"Q"&amp;"-"&amp;YEAR($B$2)</f>
        <v>1Q-2022</v>
      </c>
      <c r="D5" s="454" t="str">
        <f>IF(INT(MONTH($B$2))=3, "4"&amp;"Q"&amp;"-"&amp;YEAR($B$2)-1, IF(INT(MONTH($B$2))=6, "1"&amp;"Q"&amp;"-"&amp;YEAR($B$2), IF(INT(MONTH($B$2))=9, "2"&amp;"Q"&amp;"-"&amp;YEAR($B$2),IF(INT(MONTH($B$2))=12, "3"&amp;"Q"&amp;"-"&amp;YEAR($B$2), 0))))</f>
        <v>4Q-2021</v>
      </c>
      <c r="E5" s="454" t="str">
        <f>IF(INT(MONTH($B$2))=3, "3"&amp;"Q"&amp;"-"&amp;YEAR($B$2)-1, IF(INT(MONTH($B$2))=6, "4"&amp;"Q"&amp;"-"&amp;YEAR($B$2)-1, IF(INT(MONTH($B$2))=9, "1"&amp;"Q"&amp;"-"&amp;YEAR($B$2),IF(INT(MONTH($B$2))=12, "2"&amp;"Q"&amp;"-"&amp;YEAR($B$2), 0))))</f>
        <v>3Q-2021</v>
      </c>
      <c r="F5" s="454" t="str">
        <f>IF(INT(MONTH($B$2))=3, "2"&amp;"Q"&amp;"-"&amp;YEAR($B$2)-1, IF(INT(MONTH($B$2))=6, "3"&amp;"Q"&amp;"-"&amp;YEAR($B$2)-1, IF(INT(MONTH($B$2))=9, "4"&amp;"Q"&amp;"-"&amp;YEAR($B$2)-1,IF(INT(MONTH($B$2))=12, "1"&amp;"Q"&amp;"-"&amp;YEAR($B$2), 0))))</f>
        <v>2Q-2021</v>
      </c>
      <c r="G5" s="454" t="str">
        <f>IF(INT(MONTH($B$2))=3, "1"&amp;"Q"&amp;"-"&amp;YEAR($B$2)-1, IF(INT(MONTH($B$2))=6, "2"&amp;"Q"&amp;"-"&amp;YEAR($B$2)-1, IF(INT(MONTH($B$2))=9, "3"&amp;"Q"&amp;"-"&amp;YEAR($B$2)-1,IF(INT(MONTH($B$2))=12, "4"&amp;"Q"&amp;"-"&amp;YEAR($B$2)-1, 0))))</f>
        <v>1Q-2021</v>
      </c>
    </row>
    <row r="6" spans="1:8" ht="15" customHeight="1">
      <c r="A6" s="379">
        <v>1</v>
      </c>
      <c r="B6" s="438" t="s">
        <v>192</v>
      </c>
      <c r="C6" s="380">
        <f>C7+C9+C10</f>
        <v>1300531320.9891191</v>
      </c>
      <c r="D6" s="441">
        <f>D7+D9+D10</f>
        <v>1302738555.0045171</v>
      </c>
      <c r="E6" s="381">
        <f t="shared" ref="E6:G6" si="0">E7+E9+E10</f>
        <v>1100423981.5046682</v>
      </c>
      <c r="F6" s="380">
        <f t="shared" si="0"/>
        <v>1050330912.8101695</v>
      </c>
      <c r="G6" s="442">
        <f t="shared" si="0"/>
        <v>1017900326.6960396</v>
      </c>
    </row>
    <row r="7" spans="1:8" ht="15" customHeight="1">
      <c r="A7" s="379">
        <v>1.1000000000000001</v>
      </c>
      <c r="B7" s="382" t="s">
        <v>475</v>
      </c>
      <c r="C7" s="383">
        <v>1292252353.3328691</v>
      </c>
      <c r="D7" s="443">
        <v>1295844527.668267</v>
      </c>
      <c r="E7" s="383">
        <v>1095982955.7234182</v>
      </c>
      <c r="F7" s="383">
        <v>1046961019.8576695</v>
      </c>
      <c r="G7" s="444">
        <v>1014780858.7297896</v>
      </c>
    </row>
    <row r="8" spans="1:8" ht="25.5">
      <c r="A8" s="379" t="s">
        <v>251</v>
      </c>
      <c r="B8" s="384" t="s">
        <v>325</v>
      </c>
      <c r="C8" s="383">
        <v>810408.24</v>
      </c>
      <c r="D8" s="443">
        <v>810408.24</v>
      </c>
      <c r="E8" s="383">
        <v>15504176.054999962</v>
      </c>
      <c r="F8" s="383"/>
      <c r="G8" s="444"/>
    </row>
    <row r="9" spans="1:8" ht="15" customHeight="1">
      <c r="A9" s="379">
        <v>1.2</v>
      </c>
      <c r="B9" s="382" t="s">
        <v>22</v>
      </c>
      <c r="C9" s="383">
        <v>7968837.65625</v>
      </c>
      <c r="D9" s="443">
        <v>6584267.3362499997</v>
      </c>
      <c r="E9" s="383">
        <v>3660325.78125</v>
      </c>
      <c r="F9" s="383">
        <v>2579817.9525000001</v>
      </c>
      <c r="G9" s="444">
        <v>2266517.9662500001</v>
      </c>
    </row>
    <row r="10" spans="1:8" ht="15" customHeight="1">
      <c r="A10" s="379">
        <v>1.3</v>
      </c>
      <c r="B10" s="439" t="s">
        <v>77</v>
      </c>
      <c r="C10" s="385">
        <v>310130</v>
      </c>
      <c r="D10" s="443">
        <v>309760</v>
      </c>
      <c r="E10" s="385">
        <v>780700</v>
      </c>
      <c r="F10" s="383">
        <v>790075</v>
      </c>
      <c r="G10" s="445">
        <v>852950</v>
      </c>
    </row>
    <row r="11" spans="1:8" ht="15" customHeight="1">
      <c r="A11" s="379">
        <v>2</v>
      </c>
      <c r="B11" s="438" t="s">
        <v>193</v>
      </c>
      <c r="C11" s="383">
        <v>4349460</v>
      </c>
      <c r="D11" s="443">
        <v>1358496.962495995</v>
      </c>
      <c r="E11" s="383">
        <v>3551131.222152031</v>
      </c>
      <c r="F11" s="383">
        <v>2528123</v>
      </c>
      <c r="G11" s="444">
        <v>4121641.3017799947</v>
      </c>
    </row>
    <row r="12" spans="1:8" ht="15" customHeight="1">
      <c r="A12" s="396">
        <v>3</v>
      </c>
      <c r="B12" s="440" t="s">
        <v>191</v>
      </c>
      <c r="C12" s="385">
        <v>351858011.60018724</v>
      </c>
      <c r="D12" s="691">
        <v>351858011.60018724</v>
      </c>
      <c r="E12" s="385">
        <v>250750724.04375002</v>
      </c>
      <c r="F12" s="383">
        <v>250750724.04375002</v>
      </c>
      <c r="G12" s="445">
        <v>250750724.04375002</v>
      </c>
    </row>
    <row r="13" spans="1:8" ht="15" customHeight="1" thickBot="1">
      <c r="A13" s="130">
        <v>4</v>
      </c>
      <c r="B13" s="448" t="s">
        <v>252</v>
      </c>
      <c r="C13" s="258">
        <f>C6+C11+C12</f>
        <v>1656738792.5893064</v>
      </c>
      <c r="D13" s="446">
        <f>D6+D11+D12</f>
        <v>1655955063.5672004</v>
      </c>
      <c r="E13" s="259">
        <f t="shared" ref="E13:G13" si="1">E6+E11+E12</f>
        <v>1354725836.7705703</v>
      </c>
      <c r="F13" s="258">
        <f t="shared" si="1"/>
        <v>1303609759.8539195</v>
      </c>
      <c r="G13" s="447">
        <f t="shared" si="1"/>
        <v>1272772692.0415695</v>
      </c>
    </row>
    <row r="14" spans="1:8">
      <c r="B14" s="23"/>
    </row>
    <row r="15" spans="1:8" ht="25.5">
      <c r="B15" s="103" t="s">
        <v>476</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22" activePane="bottomRight" state="frozen"/>
      <selection pane="topRight" activeCell="B1" sqref="B1"/>
      <selection pane="bottomLeft" activeCell="A4" sqref="A4"/>
      <selection pane="bottomRight" activeCell="B32" sqref="B32"/>
    </sheetView>
  </sheetViews>
  <sheetFormatPr defaultRowHeight="15"/>
  <cols>
    <col min="1" max="1" width="9.5703125" style="2" bestFit="1" customWidth="1"/>
    <col min="2" max="2" width="58.85546875" style="2" customWidth="1"/>
    <col min="3" max="3" width="41.140625" style="2" bestFit="1" customWidth="1"/>
  </cols>
  <sheetData>
    <row r="1" spans="1:8">
      <c r="A1" s="2" t="s">
        <v>188</v>
      </c>
      <c r="B1" s="335" t="str">
        <f>Info!C2</f>
        <v>სს "კრედო ბანკი"</v>
      </c>
    </row>
    <row r="2" spans="1:8">
      <c r="A2" s="2" t="s">
        <v>189</v>
      </c>
      <c r="B2" s="469">
        <f>'1. key ratios'!B2</f>
        <v>44651</v>
      </c>
    </row>
    <row r="3" spans="1:8" ht="13.5" customHeight="1"/>
    <row r="4" spans="1:8" ht="33.75" customHeight="1" thickBot="1">
      <c r="A4" s="222" t="s">
        <v>332</v>
      </c>
      <c r="B4" s="60" t="s">
        <v>149</v>
      </c>
      <c r="C4" s="14"/>
    </row>
    <row r="5" spans="1:8" ht="15.75">
      <c r="A5" s="11"/>
      <c r="B5" s="433" t="s">
        <v>150</v>
      </c>
      <c r="C5" s="451" t="s">
        <v>490</v>
      </c>
    </row>
    <row r="6" spans="1:8">
      <c r="A6" s="15">
        <v>1</v>
      </c>
      <c r="B6" s="61" t="s">
        <v>749</v>
      </c>
      <c r="C6" s="449" t="s">
        <v>750</v>
      </c>
    </row>
    <row r="7" spans="1:8">
      <c r="A7" s="15">
        <v>2</v>
      </c>
      <c r="B7" s="61" t="s">
        <v>780</v>
      </c>
      <c r="C7" s="449" t="s">
        <v>751</v>
      </c>
    </row>
    <row r="8" spans="1:8">
      <c r="A8" s="15">
        <v>3</v>
      </c>
      <c r="B8" s="61" t="s">
        <v>752</v>
      </c>
      <c r="C8" s="449" t="s">
        <v>753</v>
      </c>
    </row>
    <row r="9" spans="1:8">
      <c r="A9" s="15">
        <v>4</v>
      </c>
      <c r="B9" s="61" t="s">
        <v>754</v>
      </c>
      <c r="C9" s="449" t="s">
        <v>750</v>
      </c>
    </row>
    <row r="10" spans="1:8">
      <c r="A10" s="15">
        <v>5</v>
      </c>
      <c r="B10" s="61" t="s">
        <v>755</v>
      </c>
      <c r="C10" s="449" t="s">
        <v>753</v>
      </c>
    </row>
    <row r="11" spans="1:8">
      <c r="A11" s="15"/>
      <c r="B11" s="61"/>
      <c r="C11" s="449"/>
    </row>
    <row r="12" spans="1:8">
      <c r="A12" s="15"/>
      <c r="B12" s="61"/>
      <c r="C12" s="449"/>
      <c r="H12" s="4"/>
    </row>
    <row r="13" spans="1:8" ht="45">
      <c r="A13" s="15"/>
      <c r="B13" s="434" t="s">
        <v>151</v>
      </c>
      <c r="C13" s="452" t="s">
        <v>491</v>
      </c>
    </row>
    <row r="14" spans="1:8" ht="15.75">
      <c r="A14" s="15">
        <v>1</v>
      </c>
      <c r="B14" s="27" t="s">
        <v>741</v>
      </c>
      <c r="C14" s="450" t="s">
        <v>756</v>
      </c>
    </row>
    <row r="15" spans="1:8" ht="15.75">
      <c r="A15" s="15">
        <v>2</v>
      </c>
      <c r="B15" s="27" t="s">
        <v>757</v>
      </c>
      <c r="C15" s="450" t="s">
        <v>758</v>
      </c>
    </row>
    <row r="16" spans="1:8" ht="15.75">
      <c r="A16" s="15">
        <v>3</v>
      </c>
      <c r="B16" s="27" t="s">
        <v>759</v>
      </c>
      <c r="C16" s="450" t="s">
        <v>760</v>
      </c>
    </row>
    <row r="17" spans="1:3" ht="15.75">
      <c r="A17" s="15">
        <v>4</v>
      </c>
      <c r="B17" s="27" t="s">
        <v>761</v>
      </c>
      <c r="C17" s="450" t="s">
        <v>762</v>
      </c>
    </row>
    <row r="18" spans="1:3" ht="15.75">
      <c r="A18" s="15">
        <v>5</v>
      </c>
      <c r="B18" s="27" t="s">
        <v>763</v>
      </c>
      <c r="C18" s="450" t="s">
        <v>764</v>
      </c>
    </row>
    <row r="19" spans="1:3" ht="15.75">
      <c r="A19" s="15">
        <v>6</v>
      </c>
      <c r="B19" s="27" t="s">
        <v>781</v>
      </c>
      <c r="C19" s="450" t="s">
        <v>782</v>
      </c>
    </row>
    <row r="20" spans="1:3" ht="15.75">
      <c r="A20" s="15"/>
      <c r="B20" s="27"/>
      <c r="C20" s="450"/>
    </row>
    <row r="21" spans="1:3" ht="30" customHeight="1">
      <c r="A21" s="15"/>
      <c r="B21" s="720" t="s">
        <v>152</v>
      </c>
      <c r="C21" s="721"/>
    </row>
    <row r="22" spans="1:3">
      <c r="A22" s="15">
        <v>1</v>
      </c>
      <c r="B22" s="650" t="s">
        <v>765</v>
      </c>
      <c r="C22" s="651">
        <v>0.51170000000000004</v>
      </c>
    </row>
    <row r="23" spans="1:3">
      <c r="A23" s="648">
        <v>2</v>
      </c>
      <c r="B23" s="650" t="s">
        <v>766</v>
      </c>
      <c r="C23" s="651">
        <v>8.4099999999999994E-2</v>
      </c>
    </row>
    <row r="24" spans="1:3">
      <c r="A24" s="15">
        <v>3</v>
      </c>
      <c r="B24" s="650" t="s">
        <v>767</v>
      </c>
      <c r="C24" s="651">
        <v>8.4099999999999994E-2</v>
      </c>
    </row>
    <row r="25" spans="1:3">
      <c r="A25" s="648">
        <v>4</v>
      </c>
      <c r="B25" s="650" t="s">
        <v>768</v>
      </c>
      <c r="C25" s="651">
        <v>7.9399999999999998E-2</v>
      </c>
    </row>
    <row r="26" spans="1:3" ht="27">
      <c r="A26" s="15">
        <v>5</v>
      </c>
      <c r="B26" s="650" t="s">
        <v>769</v>
      </c>
      <c r="C26" s="651">
        <v>7.4700000000000003E-2</v>
      </c>
    </row>
    <row r="27" spans="1:3" ht="27">
      <c r="A27" s="648">
        <v>6</v>
      </c>
      <c r="B27" s="650" t="s">
        <v>770</v>
      </c>
      <c r="C27" s="651">
        <v>1.5900000000000001E-2</v>
      </c>
    </row>
    <row r="28" spans="1:3" ht="27">
      <c r="A28" s="15">
        <v>7</v>
      </c>
      <c r="B28" s="650" t="s">
        <v>771</v>
      </c>
      <c r="C28" s="651">
        <v>0.14960000000000001</v>
      </c>
    </row>
    <row r="29" spans="1:3">
      <c r="A29" s="648"/>
      <c r="B29" s="649"/>
      <c r="C29" s="62"/>
    </row>
    <row r="30" spans="1:3" ht="15.75" customHeight="1">
      <c r="A30" s="15"/>
      <c r="B30" s="61"/>
      <c r="C30" s="62"/>
    </row>
    <row r="31" spans="1:3" ht="29.25" customHeight="1">
      <c r="A31" s="15"/>
      <c r="B31" s="720" t="s">
        <v>272</v>
      </c>
      <c r="C31" s="721"/>
    </row>
    <row r="32" spans="1:3">
      <c r="A32" s="15">
        <v>1</v>
      </c>
      <c r="B32" s="61" t="s">
        <v>772</v>
      </c>
      <c r="C32" s="654">
        <v>6.0506580000000004E-2</v>
      </c>
    </row>
    <row r="33" spans="1:3">
      <c r="A33" s="652">
        <v>2</v>
      </c>
      <c r="B33" s="653" t="s">
        <v>773</v>
      </c>
      <c r="C33" s="655">
        <v>6.0506580000000004E-2</v>
      </c>
    </row>
    <row r="34" spans="1:3">
      <c r="A34" s="15">
        <v>3</v>
      </c>
      <c r="B34" s="653" t="s">
        <v>774</v>
      </c>
      <c r="C34" s="655">
        <v>7.6170720000000011E-2</v>
      </c>
    </row>
    <row r="35" spans="1:3">
      <c r="A35" s="652">
        <v>4</v>
      </c>
      <c r="B35" s="653" t="s">
        <v>775</v>
      </c>
      <c r="C35" s="655">
        <v>6.5062490000000014E-2</v>
      </c>
    </row>
    <row r="36" spans="1:3">
      <c r="A36" s="15">
        <v>5</v>
      </c>
      <c r="B36" s="653" t="s">
        <v>776</v>
      </c>
      <c r="C36" s="655">
        <v>0.12167863</v>
      </c>
    </row>
    <row r="37" spans="1:3">
      <c r="A37" s="652">
        <v>6</v>
      </c>
      <c r="B37" s="653" t="s">
        <v>777</v>
      </c>
      <c r="C37" s="655">
        <v>7.3007177999999992E-2</v>
      </c>
    </row>
    <row r="38" spans="1:3">
      <c r="A38" s="15">
        <v>7</v>
      </c>
      <c r="B38" s="653" t="s">
        <v>778</v>
      </c>
      <c r="C38" s="655">
        <v>5.738399000000001E-2</v>
      </c>
    </row>
    <row r="39" spans="1:3" ht="15.75" thickBot="1">
      <c r="A39" s="648">
        <v>8</v>
      </c>
      <c r="B39" s="657" t="s">
        <v>779</v>
      </c>
      <c r="C39" s="656">
        <v>0.110778</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10"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"კრედო ბანკი"</v>
      </c>
    </row>
    <row r="2" spans="1:7" s="21" customFormat="1" ht="15.75" customHeight="1">
      <c r="A2" s="21" t="s">
        <v>189</v>
      </c>
      <c r="B2" s="469">
        <f>'1. key ratios'!B2</f>
        <v>44651</v>
      </c>
    </row>
    <row r="3" spans="1:7" s="21" customFormat="1" ht="15.75" customHeight="1"/>
    <row r="4" spans="1:7" s="21" customFormat="1" ht="15.75" customHeight="1" thickBot="1">
      <c r="A4" s="223" t="s">
        <v>333</v>
      </c>
      <c r="B4" s="224" t="s">
        <v>262</v>
      </c>
      <c r="C4" s="186"/>
      <c r="D4" s="186"/>
      <c r="E4" s="187" t="s">
        <v>93</v>
      </c>
    </row>
    <row r="5" spans="1:7" s="118" customFormat="1" ht="17.45" customHeight="1">
      <c r="A5" s="348"/>
      <c r="B5" s="349"/>
      <c r="C5" s="185" t="s">
        <v>0</v>
      </c>
      <c r="D5" s="185" t="s">
        <v>1</v>
      </c>
      <c r="E5" s="350" t="s">
        <v>2</v>
      </c>
    </row>
    <row r="6" spans="1:7" s="153" customFormat="1" ht="14.45" customHeight="1">
      <c r="A6" s="351"/>
      <c r="B6" s="722" t="s">
        <v>231</v>
      </c>
      <c r="C6" s="722" t="s">
        <v>230</v>
      </c>
      <c r="D6" s="723" t="s">
        <v>229</v>
      </c>
      <c r="E6" s="724"/>
      <c r="G6"/>
    </row>
    <row r="7" spans="1:7" s="153" customFormat="1" ht="99.6" customHeight="1">
      <c r="A7" s="351"/>
      <c r="B7" s="722"/>
      <c r="C7" s="722"/>
      <c r="D7" s="345" t="s">
        <v>228</v>
      </c>
      <c r="E7" s="346" t="s">
        <v>393</v>
      </c>
      <c r="G7"/>
    </row>
    <row r="8" spans="1:7">
      <c r="A8" s="352">
        <v>1</v>
      </c>
      <c r="B8" s="353" t="s">
        <v>154</v>
      </c>
      <c r="C8" s="354">
        <v>62774950.380000003</v>
      </c>
      <c r="D8" s="354"/>
      <c r="E8" s="355">
        <f>C8-D8</f>
        <v>62774950.380000003</v>
      </c>
    </row>
    <row r="9" spans="1:7">
      <c r="A9" s="352">
        <v>2</v>
      </c>
      <c r="B9" s="353" t="s">
        <v>155</v>
      </c>
      <c r="C9" s="354">
        <v>90967070.800000012</v>
      </c>
      <c r="D9" s="354"/>
      <c r="E9" s="355">
        <f t="shared" ref="E9:E20" si="0">C9-D9</f>
        <v>90967070.800000012</v>
      </c>
    </row>
    <row r="10" spans="1:7">
      <c r="A10" s="352">
        <v>3</v>
      </c>
      <c r="B10" s="353" t="s">
        <v>227</v>
      </c>
      <c r="C10" s="354">
        <v>21388958.439999998</v>
      </c>
      <c r="D10" s="354"/>
      <c r="E10" s="355">
        <f t="shared" si="0"/>
        <v>21388958.439999998</v>
      </c>
    </row>
    <row r="11" spans="1:7" ht="25.5">
      <c r="A11" s="352">
        <v>4</v>
      </c>
      <c r="B11" s="353" t="s">
        <v>185</v>
      </c>
      <c r="C11" s="354">
        <v>0</v>
      </c>
      <c r="D11" s="354"/>
      <c r="E11" s="355">
        <f t="shared" si="0"/>
        <v>0</v>
      </c>
    </row>
    <row r="12" spans="1:7">
      <c r="A12" s="352">
        <v>5</v>
      </c>
      <c r="B12" s="353" t="s">
        <v>157</v>
      </c>
      <c r="C12" s="354">
        <v>50990421.810000002</v>
      </c>
      <c r="D12" s="354"/>
      <c r="E12" s="355">
        <f t="shared" si="0"/>
        <v>50990421.810000002</v>
      </c>
    </row>
    <row r="13" spans="1:7">
      <c r="A13" s="352">
        <v>6.1</v>
      </c>
      <c r="B13" s="353" t="s">
        <v>158</v>
      </c>
      <c r="C13" s="356">
        <v>1516808740.1743999</v>
      </c>
      <c r="D13" s="354"/>
      <c r="E13" s="355">
        <f t="shared" si="0"/>
        <v>1516808740.1743999</v>
      </c>
    </row>
    <row r="14" spans="1:7">
      <c r="A14" s="352">
        <v>6.2</v>
      </c>
      <c r="B14" s="357" t="s">
        <v>159</v>
      </c>
      <c r="C14" s="356">
        <v>-67904789.52260001</v>
      </c>
      <c r="D14" s="354"/>
      <c r="E14" s="355">
        <f t="shared" si="0"/>
        <v>-67904789.52260001</v>
      </c>
    </row>
    <row r="15" spans="1:7">
      <c r="A15" s="352">
        <v>6</v>
      </c>
      <c r="B15" s="353" t="s">
        <v>226</v>
      </c>
      <c r="C15" s="354">
        <v>1448903950.6517997</v>
      </c>
      <c r="D15" s="354"/>
      <c r="E15" s="355">
        <f t="shared" si="0"/>
        <v>1448903950.6517997</v>
      </c>
    </row>
    <row r="16" spans="1:7" ht="25.5">
      <c r="A16" s="352">
        <v>7</v>
      </c>
      <c r="B16" s="353" t="s">
        <v>161</v>
      </c>
      <c r="C16" s="354">
        <v>29156664.439999994</v>
      </c>
      <c r="D16" s="354"/>
      <c r="E16" s="355">
        <f t="shared" si="0"/>
        <v>29156664.439999994</v>
      </c>
    </row>
    <row r="17" spans="1:7">
      <c r="A17" s="352">
        <v>8</v>
      </c>
      <c r="B17" s="353" t="s">
        <v>162</v>
      </c>
      <c r="C17" s="354">
        <v>1974350.3299999994</v>
      </c>
      <c r="D17" s="354"/>
      <c r="E17" s="355">
        <f t="shared" si="0"/>
        <v>1974350.3299999994</v>
      </c>
      <c r="F17" s="6"/>
      <c r="G17" s="6"/>
    </row>
    <row r="18" spans="1:7">
      <c r="A18" s="352">
        <v>9</v>
      </c>
      <c r="B18" s="353" t="s">
        <v>163</v>
      </c>
      <c r="C18" s="354">
        <v>0</v>
      </c>
      <c r="D18" s="354"/>
      <c r="E18" s="355">
        <f t="shared" si="0"/>
        <v>0</v>
      </c>
      <c r="G18" s="6"/>
    </row>
    <row r="19" spans="1:7" ht="25.5">
      <c r="A19" s="352">
        <v>10</v>
      </c>
      <c r="B19" s="353" t="s">
        <v>164</v>
      </c>
      <c r="C19" s="354">
        <v>40190762.060000002</v>
      </c>
      <c r="D19" s="354">
        <v>14043727.420000006</v>
      </c>
      <c r="E19" s="355">
        <f t="shared" si="0"/>
        <v>26147034.639999997</v>
      </c>
      <c r="G19" s="6"/>
    </row>
    <row r="20" spans="1:7">
      <c r="A20" s="352">
        <v>11</v>
      </c>
      <c r="B20" s="353" t="s">
        <v>165</v>
      </c>
      <c r="C20" s="354">
        <v>40484380.699999996</v>
      </c>
      <c r="D20" s="354"/>
      <c r="E20" s="355">
        <f t="shared" si="0"/>
        <v>40484380.699999996</v>
      </c>
    </row>
    <row r="21" spans="1:7" ht="51.75" thickBot="1">
      <c r="A21" s="358"/>
      <c r="B21" s="359" t="s">
        <v>367</v>
      </c>
      <c r="C21" s="311">
        <f>SUM(C8:C12, C15:C20)</f>
        <v>1786831509.6117997</v>
      </c>
      <c r="D21" s="311">
        <f>SUM(D8:D12, D15:D20)</f>
        <v>14043727.420000006</v>
      </c>
      <c r="E21" s="360">
        <f>SUM(E8:E12, E15:E20)</f>
        <v>1772787782.1917999</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"კრედო ბანკი"</v>
      </c>
    </row>
    <row r="2" spans="1:6" s="21" customFormat="1" ht="15.75" customHeight="1">
      <c r="A2" s="21" t="s">
        <v>189</v>
      </c>
      <c r="B2" s="469">
        <f>'1. key ratios'!B2</f>
        <v>44651</v>
      </c>
      <c r="C2"/>
      <c r="D2"/>
      <c r="E2"/>
      <c r="F2"/>
    </row>
    <row r="3" spans="1:6" s="21" customFormat="1" ht="15.75" customHeight="1">
      <c r="C3"/>
      <c r="D3"/>
      <c r="E3"/>
      <c r="F3"/>
    </row>
    <row r="4" spans="1:6" s="21" customFormat="1" ht="26.25" thickBot="1">
      <c r="A4" s="21" t="s">
        <v>334</v>
      </c>
      <c r="B4" s="193" t="s">
        <v>265</v>
      </c>
      <c r="C4" s="187" t="s">
        <v>93</v>
      </c>
      <c r="D4"/>
      <c r="E4"/>
      <c r="F4"/>
    </row>
    <row r="5" spans="1:6" ht="26.25">
      <c r="A5" s="188">
        <v>1</v>
      </c>
      <c r="B5" s="189" t="s">
        <v>341</v>
      </c>
      <c r="C5" s="260">
        <f>'7. LI1'!E21</f>
        <v>1772787782.1917999</v>
      </c>
    </row>
    <row r="6" spans="1:6" s="178" customFormat="1">
      <c r="A6" s="117">
        <v>2.1</v>
      </c>
      <c r="B6" s="195" t="s">
        <v>266</v>
      </c>
      <c r="C6" s="261">
        <v>34728427.93</v>
      </c>
    </row>
    <row r="7" spans="1:6" s="4" customFormat="1" ht="25.5" outlineLevel="1">
      <c r="A7" s="194">
        <v>2.2000000000000002</v>
      </c>
      <c r="B7" s="190" t="s">
        <v>267</v>
      </c>
      <c r="C7" s="262">
        <v>15506500</v>
      </c>
    </row>
    <row r="8" spans="1:6" s="4" customFormat="1" ht="26.25">
      <c r="A8" s="194">
        <v>3</v>
      </c>
      <c r="B8" s="191" t="s">
        <v>342</v>
      </c>
      <c r="C8" s="263">
        <f>SUM(C5:C7)</f>
        <v>1823022710.1217999</v>
      </c>
    </row>
    <row r="9" spans="1:6" s="178" customFormat="1">
      <c r="A9" s="117">
        <v>4</v>
      </c>
      <c r="B9" s="198" t="s">
        <v>263</v>
      </c>
      <c r="C9" s="261">
        <v>27008430.235300001</v>
      </c>
    </row>
    <row r="10" spans="1:6" s="4" customFormat="1" ht="25.5" outlineLevel="1">
      <c r="A10" s="194">
        <v>5.0999999999999996</v>
      </c>
      <c r="B10" s="190" t="s">
        <v>273</v>
      </c>
      <c r="C10" s="262">
        <v>-24103311.055</v>
      </c>
    </row>
    <row r="11" spans="1:6" s="4" customFormat="1" ht="25.5" outlineLevel="1">
      <c r="A11" s="194">
        <v>5.2</v>
      </c>
      <c r="B11" s="190" t="s">
        <v>274</v>
      </c>
      <c r="C11" s="262">
        <v>-15196370</v>
      </c>
    </row>
    <row r="12" spans="1:6" s="4" customFormat="1">
      <c r="A12" s="194">
        <v>6</v>
      </c>
      <c r="B12" s="196" t="s">
        <v>477</v>
      </c>
      <c r="C12" s="361"/>
    </row>
    <row r="13" spans="1:6" s="4" customFormat="1" ht="15.75" thickBot="1">
      <c r="A13" s="197">
        <v>7</v>
      </c>
      <c r="B13" s="192" t="s">
        <v>264</v>
      </c>
      <c r="C13" s="264">
        <f>SUM(C8:C12)</f>
        <v>1810731459.3020999</v>
      </c>
    </row>
    <row r="15" spans="1:6" ht="26.25">
      <c r="B15" s="23" t="s">
        <v>478</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rfyHcmusPZk0t6vEVlkOQ3hL4JyFSmCLiAZL2ykrH8A=</DigestValue>
    </Reference>
    <Reference Type="http://www.w3.org/2000/09/xmldsig#Object" URI="#idOfficeObject">
      <DigestMethod Algorithm="http://www.w3.org/2001/04/xmlenc#sha256"/>
      <DigestValue>7nP36YpMfnLh8zyICgNrHLsNqxTKk30Ky+G+5NO5HUE=</DigestValue>
    </Reference>
    <Reference Type="http://uri.etsi.org/01903#SignedProperties" URI="#idSignedProperties">
      <Transforms>
        <Transform Algorithm="http://www.w3.org/TR/2001/REC-xml-c14n-20010315"/>
      </Transforms>
      <DigestMethod Algorithm="http://www.w3.org/2001/04/xmlenc#sha256"/>
      <DigestValue>kz5GjzNdlTfXbmUYxNgeFaEyBlAfDCbku5BuPjN5M80=</DigestValue>
    </Reference>
  </SignedInfo>
  <SignatureValue>UmQzEgnJFmDBSRDUvznKJdZFQz56Cni7vJ2zmaxwNQpZJV9PvSmts0Ib5vYsgw7pom5lW7reTN7C
WFb3YWvP3jllrXGD2UnJWNHMgOvJAJeRz4/UzXYaNr63JkRpEclPW5obtO08JacHezv2QdIvjUET
WyP5X8bR48HKAfgjjRkZX29Sfkn1LMvcadPF2vN/4N3xq4JxGx1H4rKbzXJZrOb2ykHcE84kuiIH
4CcpR8XKy42EiafCoQ3D7kRruESxsKZaADbYULcdLy1cxK1vQWSeAZLBa5TA9JQ1Dg49w6v5xzZ+
1w0QkclUTP01kC9+ySDVwbz0sUtFK8dLyCHl/w==</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sBLbUSXO517djP/YzTuo/c208ha1xWPpZocm3+S6sdM=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S7R7QexH2Ty8nG4sJwXVzypmM4ExxLVTP2qtrLT5jL0=</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l8l1e2eWPoQ+D+DzZ6anvjcFLzDQSQ5Jpb+lTOTGzD8=</DigestValue>
      </Reference>
      <Reference URI="/xl/printerSettings/printerSettings18.bin?ContentType=application/vnd.openxmlformats-officedocument.spreadsheetml.printerSettings">
        <DigestMethod Algorithm="http://www.w3.org/2001/04/xmlenc#sha256"/>
        <DigestValue>l/MXa7C5ES1c3NglyQS9tGHBNbosNUSkRvLYxrQ04Uk=</DigestValue>
      </Reference>
      <Reference URI="/xl/printerSettings/printerSettings19.bin?ContentType=application/vnd.openxmlformats-officedocument.spreadsheetml.printerSettings">
        <DigestMethod Algorithm="http://www.w3.org/2001/04/xmlenc#sha256"/>
        <DigestValue>KyI69PBM+mH4W2G4n5A319h4bC1VsIu7fd2bFMqxNEo=</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Cu2vDuPSW1mXny4I1weog/uR73cw9lXDMrijOWg8HSA=</DigestValue>
      </Reference>
      <Reference URI="/xl/printerSettings/printerSettings21.bin?ContentType=application/vnd.openxmlformats-officedocument.spreadsheetml.printerSettings">
        <DigestMethod Algorithm="http://www.w3.org/2001/04/xmlenc#sha256"/>
        <DigestValue>l8l1e2eWPoQ+D+DzZ6anvjcFLzDQSQ5Jpb+lTOTGzD8=</DigestValue>
      </Reference>
      <Reference URI="/xl/printerSettings/printerSettings22.bin?ContentType=application/vnd.openxmlformats-officedocument.spreadsheetml.printerSettings">
        <DigestMethod Algorithm="http://www.w3.org/2001/04/xmlenc#sha256"/>
        <DigestValue>l/MXa7C5ES1c3NglyQS9tGHBNbosNUSkRvLYxrQ04Uk=</DigestValue>
      </Reference>
      <Reference URI="/xl/printerSettings/printerSettings23.bin?ContentType=application/vnd.openxmlformats-officedocument.spreadsheetml.printerSettings">
        <DigestMethod Algorithm="http://www.w3.org/2001/04/xmlenc#sha256"/>
        <DigestValue>l/MXa7C5ES1c3NglyQS9tGHBNbosNUSkRvLYxrQ04Uk=</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S7R7QexH2Ty8nG4sJwXVzypmM4ExxLVTP2qtrLT5jL0=</DigestValue>
      </Reference>
      <Reference URI="/xl/sharedStrings.xml?ContentType=application/vnd.openxmlformats-officedocument.spreadsheetml.sharedStrings+xml">
        <DigestMethod Algorithm="http://www.w3.org/2001/04/xmlenc#sha256"/>
        <DigestValue>rFX2bUZWPwelL2D4l45zKbCegXLh4Z4NAJHr4u8CNSo=</DigestValue>
      </Reference>
      <Reference URI="/xl/styles.xml?ContentType=application/vnd.openxmlformats-officedocument.spreadsheetml.styles+xml">
        <DigestMethod Algorithm="http://www.w3.org/2001/04/xmlenc#sha256"/>
        <DigestValue>538FqiFbWdBNPQPWPPgAcV2KnZZ29ks73PrKr+vt4jQ=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fsS4yY8WGmQ5XhvmgpHO7HfFgFIom+PC9o6Pl4Y/2CE=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6HBq09+8G+IvM7KLmv8w+7ItHGe9bCyy9KMpc8zR1Qg=</DigestValue>
      </Reference>
      <Reference URI="/xl/worksheets/sheet10.xml?ContentType=application/vnd.openxmlformats-officedocument.spreadsheetml.worksheet+xml">
        <DigestMethod Algorithm="http://www.w3.org/2001/04/xmlenc#sha256"/>
        <DigestValue>M/PXFwemS5JZaInhxafMEIT1YVFEkjWyp9WsSZTOyjw=</DigestValue>
      </Reference>
      <Reference URI="/xl/worksheets/sheet11.xml?ContentType=application/vnd.openxmlformats-officedocument.spreadsheetml.worksheet+xml">
        <DigestMethod Algorithm="http://www.w3.org/2001/04/xmlenc#sha256"/>
        <DigestValue>fbsV93EiHyy5KXjyfSDt2QoJIbeBvJHwsTdAwMhJW+s=</DigestValue>
      </Reference>
      <Reference URI="/xl/worksheets/sheet12.xml?ContentType=application/vnd.openxmlformats-officedocument.spreadsheetml.worksheet+xml">
        <DigestMethod Algorithm="http://www.w3.org/2001/04/xmlenc#sha256"/>
        <DigestValue>SCXMQdNcPOwYW/4jE9yw9LuzAn7ayV/3iIyMcstjHXE=</DigestValue>
      </Reference>
      <Reference URI="/xl/worksheets/sheet13.xml?ContentType=application/vnd.openxmlformats-officedocument.spreadsheetml.worksheet+xml">
        <DigestMethod Algorithm="http://www.w3.org/2001/04/xmlenc#sha256"/>
        <DigestValue>AZUjTGJMydryoAsguuJhYjR6Pg1oKfNtBVULt0nQpaI=</DigestValue>
      </Reference>
      <Reference URI="/xl/worksheets/sheet14.xml?ContentType=application/vnd.openxmlformats-officedocument.spreadsheetml.worksheet+xml">
        <DigestMethod Algorithm="http://www.w3.org/2001/04/xmlenc#sha256"/>
        <DigestValue>rQ51c6LHZA8NJnt1tc3yg1wb+oMWEoxSZFu8PEpURlQ=</DigestValue>
      </Reference>
      <Reference URI="/xl/worksheets/sheet15.xml?ContentType=application/vnd.openxmlformats-officedocument.spreadsheetml.worksheet+xml">
        <DigestMethod Algorithm="http://www.w3.org/2001/04/xmlenc#sha256"/>
        <DigestValue>iW8iZDplTE7o0rBrnbuBTBXPf2vS6DCg1ewMpc5fOSg=</DigestValue>
      </Reference>
      <Reference URI="/xl/worksheets/sheet16.xml?ContentType=application/vnd.openxmlformats-officedocument.spreadsheetml.worksheet+xml">
        <DigestMethod Algorithm="http://www.w3.org/2001/04/xmlenc#sha256"/>
        <DigestValue>R9I6CJ4ZNmZPkRM0KFVIYZLeza1fkc5MEPbPd7YR71w=</DigestValue>
      </Reference>
      <Reference URI="/xl/worksheets/sheet17.xml?ContentType=application/vnd.openxmlformats-officedocument.spreadsheetml.worksheet+xml">
        <DigestMethod Algorithm="http://www.w3.org/2001/04/xmlenc#sha256"/>
        <DigestValue>eiHKUsdB5JY40NDZZXMSTEEQmHFPCekTo/OjxB6deFM=</DigestValue>
      </Reference>
      <Reference URI="/xl/worksheets/sheet18.xml?ContentType=application/vnd.openxmlformats-officedocument.spreadsheetml.worksheet+xml">
        <DigestMethod Algorithm="http://www.w3.org/2001/04/xmlenc#sha256"/>
        <DigestValue>f8GVTebZED69ruvfz1NOxabbuCaLj/12dAe0UrYjMXE=</DigestValue>
      </Reference>
      <Reference URI="/xl/worksheets/sheet19.xml?ContentType=application/vnd.openxmlformats-officedocument.spreadsheetml.worksheet+xml">
        <DigestMethod Algorithm="http://www.w3.org/2001/04/xmlenc#sha256"/>
        <DigestValue>DnTYMYDi7cHfJC85zueRBtkT1GVkotYJjgvz6yFsa5s=</DigestValue>
      </Reference>
      <Reference URI="/xl/worksheets/sheet2.xml?ContentType=application/vnd.openxmlformats-officedocument.spreadsheetml.worksheet+xml">
        <DigestMethod Algorithm="http://www.w3.org/2001/04/xmlenc#sha256"/>
        <DigestValue>sz+wKctgfLwXuSRjV73vV/QJ38/wKONcTCRlqTMeMQo=</DigestValue>
      </Reference>
      <Reference URI="/xl/worksheets/sheet20.xml?ContentType=application/vnd.openxmlformats-officedocument.spreadsheetml.worksheet+xml">
        <DigestMethod Algorithm="http://www.w3.org/2001/04/xmlenc#sha256"/>
        <DigestValue>ucd4pDZgveDsp9PVqAYCSOJF/0oQDizv0J0JNws/Tgk=</DigestValue>
      </Reference>
      <Reference URI="/xl/worksheets/sheet21.xml?ContentType=application/vnd.openxmlformats-officedocument.spreadsheetml.worksheet+xml">
        <DigestMethod Algorithm="http://www.w3.org/2001/04/xmlenc#sha256"/>
        <DigestValue>92ql4JkNOpKAw8loIkjFv2NaqLSQ8/haey7Y2CumII8=</DigestValue>
      </Reference>
      <Reference URI="/xl/worksheets/sheet22.xml?ContentType=application/vnd.openxmlformats-officedocument.spreadsheetml.worksheet+xml">
        <DigestMethod Algorithm="http://www.w3.org/2001/04/xmlenc#sha256"/>
        <DigestValue>wk/xRj8UDgMoZe1dDJ99fyX3GOzwhOOkTcwJcectd0A=</DigestValue>
      </Reference>
      <Reference URI="/xl/worksheets/sheet23.xml?ContentType=application/vnd.openxmlformats-officedocument.spreadsheetml.worksheet+xml">
        <DigestMethod Algorithm="http://www.w3.org/2001/04/xmlenc#sha256"/>
        <DigestValue>I1VMJFkY18oWnSQl7P0PGXxU+E0wocm96AX8yC07J/g=</DigestValue>
      </Reference>
      <Reference URI="/xl/worksheets/sheet24.xml?ContentType=application/vnd.openxmlformats-officedocument.spreadsheetml.worksheet+xml">
        <DigestMethod Algorithm="http://www.w3.org/2001/04/xmlenc#sha256"/>
        <DigestValue>N7PuZ9jVyIGQM9SveFPiQmZKrCvK70iZMWMg2haJxBA=</DigestValue>
      </Reference>
      <Reference URI="/xl/worksheets/sheet25.xml?ContentType=application/vnd.openxmlformats-officedocument.spreadsheetml.worksheet+xml">
        <DigestMethod Algorithm="http://www.w3.org/2001/04/xmlenc#sha256"/>
        <DigestValue>Q42rw7748s++PTzR6m7LdiRcc0vOCGQENT8Rvf/w0gc=</DigestValue>
      </Reference>
      <Reference URI="/xl/worksheets/sheet26.xml?ContentType=application/vnd.openxmlformats-officedocument.spreadsheetml.worksheet+xml">
        <DigestMethod Algorithm="http://www.w3.org/2001/04/xmlenc#sha256"/>
        <DigestValue>Dm4yeU/qr2mb2Jgr3oBKnaQpUiJ/Oob08Hq1fLtA+4s=</DigestValue>
      </Reference>
      <Reference URI="/xl/worksheets/sheet27.xml?ContentType=application/vnd.openxmlformats-officedocument.spreadsheetml.worksheet+xml">
        <DigestMethod Algorithm="http://www.w3.org/2001/04/xmlenc#sha256"/>
        <DigestValue>vwctA6Ad2+PMS3A0HFs+Ns5RgHj2YcDoo+pOha05Big=</DigestValue>
      </Reference>
      <Reference URI="/xl/worksheets/sheet28.xml?ContentType=application/vnd.openxmlformats-officedocument.spreadsheetml.worksheet+xml">
        <DigestMethod Algorithm="http://www.w3.org/2001/04/xmlenc#sha256"/>
        <DigestValue>NoXPr/4UrqjrC5V9ZdDZ3xqJbiR7u/wPpCX3uFswLNk=</DigestValue>
      </Reference>
      <Reference URI="/xl/worksheets/sheet29.xml?ContentType=application/vnd.openxmlformats-officedocument.spreadsheetml.worksheet+xml">
        <DigestMethod Algorithm="http://www.w3.org/2001/04/xmlenc#sha256"/>
        <DigestValue>zJBw5oPHT/rLcJfj3oBsQr3soEXzc6gK6WU2StoIvxk=</DigestValue>
      </Reference>
      <Reference URI="/xl/worksheets/sheet3.xml?ContentType=application/vnd.openxmlformats-officedocument.spreadsheetml.worksheet+xml">
        <DigestMethod Algorithm="http://www.w3.org/2001/04/xmlenc#sha256"/>
        <DigestValue>pH8SC7U8Yw0bVYPAnrrMHNoKOqQevnxjNl+DUEWjclg=</DigestValue>
      </Reference>
      <Reference URI="/xl/worksheets/sheet4.xml?ContentType=application/vnd.openxmlformats-officedocument.spreadsheetml.worksheet+xml">
        <DigestMethod Algorithm="http://www.w3.org/2001/04/xmlenc#sha256"/>
        <DigestValue>EOs6qm+OcA7WsjI3zA1hlMZ2E1YRqBgSk2wyPkiMO5k=</DigestValue>
      </Reference>
      <Reference URI="/xl/worksheets/sheet5.xml?ContentType=application/vnd.openxmlformats-officedocument.spreadsheetml.worksheet+xml">
        <DigestMethod Algorithm="http://www.w3.org/2001/04/xmlenc#sha256"/>
        <DigestValue>w2GMydjDEhF80QOB/xcL02slY5BMNFfCOWSqSa1r7xg=</DigestValue>
      </Reference>
      <Reference URI="/xl/worksheets/sheet6.xml?ContentType=application/vnd.openxmlformats-officedocument.spreadsheetml.worksheet+xml">
        <DigestMethod Algorithm="http://www.w3.org/2001/04/xmlenc#sha256"/>
        <DigestValue>YtSAK3X/WK0d6Iw9Ogi4XN19G/z3XQXdMr47/3aNpHI=</DigestValue>
      </Reference>
      <Reference URI="/xl/worksheets/sheet7.xml?ContentType=application/vnd.openxmlformats-officedocument.spreadsheetml.worksheet+xml">
        <DigestMethod Algorithm="http://www.w3.org/2001/04/xmlenc#sha256"/>
        <DigestValue>d6rhlCwhDfOtIpWYC2NPY7BG4F09zc2XksND1YRn4Ss=</DigestValue>
      </Reference>
      <Reference URI="/xl/worksheets/sheet8.xml?ContentType=application/vnd.openxmlformats-officedocument.spreadsheetml.worksheet+xml">
        <DigestMethod Algorithm="http://www.w3.org/2001/04/xmlenc#sha256"/>
        <DigestValue>vbHsNAT8ezYlZ7qynRY5u6Ulo47neWiwYZuzqpbGqIY=</DigestValue>
      </Reference>
      <Reference URI="/xl/worksheets/sheet9.xml?ContentType=application/vnd.openxmlformats-officedocument.spreadsheetml.worksheet+xml">
        <DigestMethod Algorithm="http://www.w3.org/2001/04/xmlenc#sha256"/>
        <DigestValue>7ZWMB2aNLMwJdSHLI5jIP348e6maOY5GgegfvE8zE9c=</DigestValue>
      </Reference>
    </Manifest>
    <SignatureProperties>
      <SignatureProperty Id="idSignatureTime" Target="#idPackageSignature">
        <mdssi:SignatureTime xmlns:mdssi="http://schemas.openxmlformats.org/package/2006/digital-signature">
          <mdssi:Format>YYYY-MM-DDThh:mm:ssTZD</mdssi:Format>
          <mdssi:Value>2022-07-19T13:08:35Z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2022-07-19T13:08:35Z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2022-07-17T11:01:57Z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