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filterPrivacy="1" defaultThemeVersion="124226"/>
  <xr:revisionPtr revIDLastSave="0" documentId="13_ncr:1_{B260798B-78F1-403E-B959-3DBE15F2D29B}" xr6:coauthVersionLast="47" xr6:coauthVersionMax="47" xr10:uidLastSave="{00000000-0000-0000-0000-000000000000}"/>
  <bookViews>
    <workbookView xWindow="-120" yWindow="-120" windowWidth="20730" windowHeight="11160" tabRatio="919" activeTab="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 sheetId="92" r:id="rId29"/>
  </sheets>
  <externalReferences>
    <externalReference r:id="rId30"/>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 i="86" l="1"/>
  <c r="G34" i="80" l="1"/>
  <c r="G35" i="80"/>
  <c r="C45" i="69"/>
  <c r="F22" i="75" l="1"/>
  <c r="G7" i="75"/>
  <c r="F7" i="75"/>
  <c r="D7" i="75"/>
  <c r="C7" i="75"/>
  <c r="G32" i="75"/>
  <c r="F32" i="75"/>
  <c r="D32" i="75"/>
  <c r="C32" i="75"/>
  <c r="G40" i="75"/>
  <c r="F40" i="75"/>
  <c r="D40" i="75"/>
  <c r="C40" i="75"/>
  <c r="H40" i="75"/>
  <c r="E40" i="75"/>
  <c r="H32" i="75"/>
  <c r="E32" i="75"/>
  <c r="H19" i="75"/>
  <c r="E19" i="75"/>
  <c r="H16" i="75"/>
  <c r="E16" i="75"/>
  <c r="H7" i="75"/>
  <c r="E7" i="75"/>
  <c r="B1" i="92" l="1"/>
  <c r="O19" i="92"/>
  <c r="I19" i="92"/>
  <c r="I8" i="92"/>
  <c r="I9" i="92"/>
  <c r="I10" i="92"/>
  <c r="I11" i="92"/>
  <c r="I12" i="92"/>
  <c r="I13" i="92"/>
  <c r="I14" i="92"/>
  <c r="I15" i="92"/>
  <c r="I16" i="92"/>
  <c r="I17" i="92"/>
  <c r="I18" i="92"/>
  <c r="I7" i="92"/>
  <c r="K19" i="92"/>
  <c r="L19" i="92"/>
  <c r="M19" i="92"/>
  <c r="N19" i="92"/>
  <c r="J19" i="92"/>
  <c r="C19" i="92"/>
  <c r="E19" i="92"/>
  <c r="F19" i="92"/>
  <c r="G19" i="92"/>
  <c r="H19" i="92"/>
  <c r="D19" i="92"/>
  <c r="C8" i="92"/>
  <c r="C9" i="92"/>
  <c r="C10" i="92"/>
  <c r="C11" i="92"/>
  <c r="C12" i="92"/>
  <c r="C13" i="92"/>
  <c r="C14" i="92"/>
  <c r="C15" i="92"/>
  <c r="C16" i="92"/>
  <c r="C17" i="92"/>
  <c r="C18" i="92"/>
  <c r="C7" i="92"/>
  <c r="B2" i="92"/>
  <c r="C39" i="52" l="1"/>
  <c r="C21" i="87" l="1"/>
  <c r="C19" i="87"/>
  <c r="C17" i="87"/>
  <c r="C15" i="87"/>
  <c r="C9" i="87"/>
  <c r="C10" i="87"/>
  <c r="C11" i="87"/>
  <c r="C12" i="87"/>
  <c r="C13" i="87"/>
  <c r="C14" i="87"/>
  <c r="C20" i="87" l="1"/>
  <c r="C18" i="87"/>
  <c r="E10" i="87"/>
  <c r="F10" i="87"/>
  <c r="G10" i="87"/>
  <c r="H10" i="87"/>
  <c r="I10" i="87"/>
  <c r="J10" i="87"/>
  <c r="K10" i="87"/>
  <c r="L10" i="87"/>
  <c r="M10" i="87"/>
  <c r="N10" i="87"/>
  <c r="O10" i="87"/>
  <c r="P10" i="87"/>
  <c r="D10" i="87"/>
  <c r="C8" i="87" l="1"/>
  <c r="D15" i="86" l="1"/>
  <c r="C15" i="86"/>
  <c r="C14" i="86"/>
  <c r="C13" i="86"/>
  <c r="C8" i="86" l="1"/>
  <c r="E8" i="86" l="1"/>
  <c r="F8" i="86"/>
  <c r="G8" i="86"/>
  <c r="H8" i="86"/>
  <c r="I8" i="86"/>
  <c r="J8" i="86"/>
  <c r="K8" i="86"/>
  <c r="L8" i="86"/>
  <c r="M8" i="86"/>
  <c r="N8" i="86"/>
  <c r="O8" i="86"/>
  <c r="P8" i="86"/>
  <c r="Q8" i="86"/>
  <c r="R8" i="86"/>
  <c r="S8" i="86"/>
  <c r="T8" i="86"/>
  <c r="U8" i="86"/>
  <c r="D8" i="86"/>
  <c r="J33" i="88" l="1"/>
  <c r="K33" i="88"/>
  <c r="L33" i="88"/>
  <c r="M33" i="88"/>
  <c r="N33" i="88"/>
  <c r="I33" i="88"/>
  <c r="I8" i="88"/>
  <c r="I9" i="88"/>
  <c r="I10" i="88"/>
  <c r="I11" i="88"/>
  <c r="I12" i="88"/>
  <c r="I13" i="88"/>
  <c r="I14" i="88"/>
  <c r="I15" i="88"/>
  <c r="I16" i="88"/>
  <c r="I17" i="88"/>
  <c r="I18" i="88"/>
  <c r="I19" i="88"/>
  <c r="I20" i="88"/>
  <c r="I21" i="88"/>
  <c r="I22" i="88"/>
  <c r="I23" i="88"/>
  <c r="I24" i="88"/>
  <c r="I25" i="88"/>
  <c r="I26" i="88"/>
  <c r="I27" i="88"/>
  <c r="I28" i="88"/>
  <c r="I29" i="88"/>
  <c r="I30" i="88"/>
  <c r="I31" i="88"/>
  <c r="I32" i="88"/>
  <c r="I7" i="88"/>
  <c r="C33" i="88" l="1"/>
  <c r="E33" i="88"/>
  <c r="F33" i="88"/>
  <c r="G33" i="88"/>
  <c r="H33" i="88"/>
  <c r="D33" i="88"/>
  <c r="C8" i="88"/>
  <c r="C9" i="88"/>
  <c r="C10" i="88"/>
  <c r="C11" i="88"/>
  <c r="C12" i="88"/>
  <c r="C13" i="88"/>
  <c r="C14" i="88"/>
  <c r="C15" i="88"/>
  <c r="C16" i="88"/>
  <c r="C17" i="88"/>
  <c r="C18" i="88"/>
  <c r="C19" i="88"/>
  <c r="C20" i="88"/>
  <c r="C21" i="88"/>
  <c r="C22" i="88"/>
  <c r="C23" i="88"/>
  <c r="C24" i="88"/>
  <c r="C25" i="88"/>
  <c r="C26" i="88"/>
  <c r="C27" i="88"/>
  <c r="C28" i="88"/>
  <c r="C29" i="88"/>
  <c r="C30" i="88"/>
  <c r="C31" i="88"/>
  <c r="C32" i="88"/>
  <c r="C7" i="88"/>
  <c r="C12" i="84" l="1"/>
  <c r="C7" i="84"/>
  <c r="F22" i="82" l="1"/>
  <c r="E22" i="82"/>
  <c r="D17" i="82"/>
  <c r="D14" i="82"/>
  <c r="H21" i="81" l="1"/>
  <c r="G31" i="80" l="1"/>
  <c r="G27" i="80"/>
  <c r="G26" i="80"/>
  <c r="G23" i="80"/>
  <c r="G36" i="80"/>
  <c r="C23" i="80" l="1"/>
  <c r="D23" i="80"/>
  <c r="D16" i="80" l="1"/>
  <c r="E15" i="80"/>
  <c r="D15" i="80"/>
  <c r="E9" i="37" l="1"/>
  <c r="J24" i="36" l="1"/>
  <c r="I24" i="36"/>
  <c r="K24" i="36" s="1"/>
  <c r="G24" i="36"/>
  <c r="F24" i="36"/>
  <c r="H24" i="36" s="1"/>
  <c r="K23" i="36"/>
  <c r="J23" i="36"/>
  <c r="J25" i="36" s="1"/>
  <c r="I23" i="36"/>
  <c r="I25" i="36" s="1"/>
  <c r="G23" i="36"/>
  <c r="G25" i="36" s="1"/>
  <c r="F23" i="36"/>
  <c r="F25" i="36" s="1"/>
  <c r="D21" i="36"/>
  <c r="E21" i="36"/>
  <c r="F21" i="36"/>
  <c r="G21" i="36"/>
  <c r="H21" i="36"/>
  <c r="I21" i="36"/>
  <c r="J21" i="36"/>
  <c r="K21" i="36"/>
  <c r="C21" i="36"/>
  <c r="K16" i="36"/>
  <c r="J16" i="36"/>
  <c r="I16" i="36"/>
  <c r="H16" i="36"/>
  <c r="G16" i="36"/>
  <c r="F16" i="36"/>
  <c r="C16" i="36"/>
  <c r="E16" i="36"/>
  <c r="D16" i="36"/>
  <c r="K25" i="36" l="1"/>
  <c r="H23" i="36"/>
  <c r="H25" i="36" s="1"/>
  <c r="K10" i="36" l="1"/>
  <c r="K11" i="36"/>
  <c r="K13" i="36"/>
  <c r="K15" i="36"/>
  <c r="K19" i="36"/>
  <c r="K8" i="36"/>
  <c r="H10" i="36"/>
  <c r="H11" i="36"/>
  <c r="H13" i="36"/>
  <c r="H15" i="36"/>
  <c r="H19" i="36"/>
  <c r="H8" i="36"/>
  <c r="E11" i="36"/>
  <c r="E12" i="36"/>
  <c r="E13" i="36"/>
  <c r="E15" i="36"/>
  <c r="E19" i="36"/>
  <c r="E10" i="36"/>
  <c r="H9" i="74" l="1"/>
  <c r="H10" i="74"/>
  <c r="H11" i="74"/>
  <c r="H12" i="74"/>
  <c r="H13" i="74"/>
  <c r="H14" i="74"/>
  <c r="H15" i="74"/>
  <c r="H16" i="74"/>
  <c r="H17" i="74"/>
  <c r="H18" i="74"/>
  <c r="H19" i="74"/>
  <c r="H20" i="74"/>
  <c r="H21" i="74"/>
  <c r="H8" i="74"/>
  <c r="C22" i="74"/>
  <c r="C15" i="69" l="1"/>
  <c r="E9" i="72" l="1"/>
  <c r="E10" i="72"/>
  <c r="E11" i="72"/>
  <c r="E12" i="72"/>
  <c r="E13" i="72"/>
  <c r="E14" i="72"/>
  <c r="E15" i="72"/>
  <c r="E16" i="72"/>
  <c r="E17" i="72"/>
  <c r="E18" i="72"/>
  <c r="E19" i="72"/>
  <c r="E20" i="72"/>
  <c r="E8" i="72"/>
  <c r="C15" i="72"/>
  <c r="B2" i="71" l="1"/>
  <c r="G14" i="62" l="1"/>
  <c r="F14" i="62"/>
  <c r="C22" i="75" l="1"/>
  <c r="F40" i="62"/>
  <c r="C40" i="62"/>
  <c r="D14" i="62"/>
  <c r="C14" i="62"/>
  <c r="B1" i="89" l="1"/>
  <c r="B1" i="88"/>
  <c r="B1" i="87"/>
  <c r="B1" i="86"/>
  <c r="B1" i="85"/>
  <c r="B1" i="84"/>
  <c r="B1" i="83"/>
  <c r="B1" i="82"/>
  <c r="B1" i="81"/>
  <c r="C21" i="82" l="1"/>
  <c r="D22" i="81"/>
  <c r="E22" i="81"/>
  <c r="F22" i="81"/>
  <c r="G22" i="81"/>
  <c r="C22" i="81"/>
  <c r="B2" i="89" l="1"/>
  <c r="B2" i="88"/>
  <c r="B2" i="87"/>
  <c r="B2" i="86"/>
  <c r="B2" i="85"/>
  <c r="B2" i="84"/>
  <c r="B2" i="83"/>
  <c r="B2" i="82"/>
  <c r="B2" i="81"/>
  <c r="C10" i="85" l="1"/>
  <c r="C19" i="85" s="1"/>
  <c r="D12" i="84"/>
  <c r="D7" i="84"/>
  <c r="D19" i="84" s="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3" i="81"/>
  <c r="H12" i="81"/>
  <c r="H11" i="81"/>
  <c r="H10" i="81"/>
  <c r="H9" i="81"/>
  <c r="H8" i="81"/>
  <c r="C19" i="84" l="1"/>
  <c r="I21" i="82"/>
  <c r="H22" i="81"/>
  <c r="I34" i="83"/>
  <c r="B2" i="80"/>
  <c r="B1" i="80"/>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B2" i="79"/>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V7" i="64" l="1"/>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39" i="75"/>
  <c r="E39" i="75"/>
  <c r="H38" i="75"/>
  <c r="E38" i="75"/>
  <c r="H37" i="75"/>
  <c r="E37" i="75"/>
  <c r="H36" i="75"/>
  <c r="E36" i="75"/>
  <c r="H35" i="75"/>
  <c r="E35" i="75"/>
  <c r="H34" i="75"/>
  <c r="E34" i="75"/>
  <c r="H33" i="75"/>
  <c r="E33"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H17" i="75"/>
  <c r="E17" i="75"/>
  <c r="H15" i="75"/>
  <c r="E15" i="75"/>
  <c r="H14" i="75"/>
  <c r="E14" i="75"/>
  <c r="H13" i="75"/>
  <c r="E13" i="75"/>
  <c r="H12" i="75"/>
  <c r="E12" i="75"/>
  <c r="H11" i="75"/>
  <c r="E11" i="75"/>
  <c r="H10" i="75"/>
  <c r="E10" i="75"/>
  <c r="H9" i="75"/>
  <c r="E9" i="75"/>
  <c r="H8" i="75"/>
  <c r="E8" i="75"/>
  <c r="G61" i="53" l="1"/>
  <c r="F61" i="53"/>
  <c r="D61" i="53"/>
  <c r="C61" i="53"/>
  <c r="G53" i="53"/>
  <c r="F53" i="53"/>
  <c r="D53" i="53"/>
  <c r="C53" i="53"/>
  <c r="G34" i="53"/>
  <c r="G45" i="53" s="1"/>
  <c r="F34" i="53"/>
  <c r="F45" i="53" s="1"/>
  <c r="F54" i="53" s="1"/>
  <c r="D34" i="53"/>
  <c r="D45" i="53" s="1"/>
  <c r="C34" i="53"/>
  <c r="C45" i="53" s="1"/>
  <c r="C54" i="53" s="1"/>
  <c r="D54" i="53" l="1"/>
  <c r="G54" i="53"/>
  <c r="G30" i="53"/>
  <c r="F30" i="53"/>
  <c r="D30" i="53"/>
  <c r="C30" i="53"/>
  <c r="G9" i="53"/>
  <c r="G22" i="53" s="1"/>
  <c r="F9" i="53"/>
  <c r="F22" i="53" s="1"/>
  <c r="D9" i="53"/>
  <c r="D22" i="53" s="1"/>
  <c r="D31" i="53" s="1"/>
  <c r="D56" i="53" s="1"/>
  <c r="D63" i="53" s="1"/>
  <c r="D65" i="53" s="1"/>
  <c r="D67" i="53" s="1"/>
  <c r="C9" i="53"/>
  <c r="C22" i="53" s="1"/>
  <c r="D31" i="62"/>
  <c r="D41" i="62" s="1"/>
  <c r="C31" i="62"/>
  <c r="C41" i="62" s="1"/>
  <c r="C20" i="62"/>
  <c r="G31" i="53" l="1"/>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37" i="69" l="1"/>
  <c r="C25" i="69"/>
</calcChain>
</file>

<file path=xl/sharedStrings.xml><?xml version="1.0" encoding="utf-8"?>
<sst xmlns="http://schemas.openxmlformats.org/spreadsheetml/2006/main" count="1172" uniqueCount="782">
  <si>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</si>
  <si>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</si>
  <si>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</si>
  <si>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</si>
  <si>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</si>
  <si>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</si>
  <si>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</si>
  <si>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</si>
  <si>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</si>
  <si>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</si>
  <si>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</si>
  <si>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</si>
  <si>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</si>
  <si>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</si>
  <si>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</si>
  <si>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</si>
  <si>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</si>
  <si>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</si>
  <si>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</si>
  <si>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</si>
  <si>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</si>
  <si>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</si>
  <si>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</si>
  <si>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</si>
  <si>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</si>
  <si>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</si>
  <si>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</si>
  <si>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</si>
  <si>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</si>
  <si>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</si>
  <si>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</si>
  <si>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</si>
  <si>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</si>
  <si>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</si>
  <si>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</si>
  <si>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</si>
  <si>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</si>
  <si>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</si>
  <si>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</si>
  <si>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</si>
  <si>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</si>
  <si>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</si>
  <si>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</si>
  <si>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</si>
  <si>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</si>
  <si>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</si>
  <si>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</si>
  <si>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</si>
  <si>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</si>
  <si>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</si>
  <si>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</si>
  <si>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</si>
  <si>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</si>
  <si>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</si>
  <si>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</si>
  <si>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</si>
  <si>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</si>
  <si>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</si>
  <si>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</si>
  <si>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</si>
  <si>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</si>
  <si>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</si>
  <si>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</si>
  <si>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</si>
  <si>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</si>
  <si>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</si>
  <si>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</si>
  <si>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</si>
  <si>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</si>
  <si>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</si>
  <si>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</si>
  <si>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</si>
  <si>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</si>
  <si>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</si>
  <si>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</si>
  <si>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</si>
  <si>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</si>
  <si>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</si>
  <si>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</si>
  <si>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</si>
  <si>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</si>
  <si>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</si>
  <si>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</si>
  <si>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</si>
  <si>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</si>
  <si>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</si>
  <si>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</si>
  <si>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</si>
  <si>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</si>
  <si>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</si>
  <si>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</si>
  <si>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</si>
  <si>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</si>
  <si>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</si>
  <si>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</si>
  <si>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</si>
  <si>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</si>
  <si>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</si>
  <si>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</si>
  <si>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</si>
  <si>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</si>
  <si>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</si>
  <si>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</si>
  <si>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</si>
  <si>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</si>
  <si>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</si>
  <si>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</si>
  <si>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</si>
  <si>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</si>
  <si>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</si>
  <si>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</si>
  <si>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</si>
  <si>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</si>
  <si>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</si>
  <si>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</si>
  <si>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</si>
  <si>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</si>
  <si>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</si>
  <si>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</si>
  <si>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</si>
  <si>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</si>
  <si>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</si>
  <si>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</si>
  <si>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</si>
  <si>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</si>
  <si>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</si>
  <si>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</si>
  <si>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</si>
  <si>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</si>
  <si>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</si>
  <si>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</si>
  <si>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</si>
  <si>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</si>
  <si>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</si>
  <si>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</si>
  <si>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</si>
  <si>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</si>
  <si>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</si>
  <si>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</si>
  <si>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</si>
  <si>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</si>
  <si>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</si>
  <si>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</si>
  <si>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</si>
  <si>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</si>
  <si>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</si>
  <si>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</si>
  <si>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</si>
  <si>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</si>
  <si>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</si>
  <si>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</si>
  <si>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</si>
  <si>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</si>
  <si>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</si>
  <si>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</si>
  <si>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</si>
  <si>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</si>
  <si>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</si>
  <si>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</si>
  <si>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</si>
  <si>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</si>
  <si>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</si>
  <si>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</si>
  <si>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</si>
  <si>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</si>
  <si>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</si>
  <si>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</si>
  <si>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</si>
  <si>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</si>
  <si>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</si>
  <si>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</si>
  <si>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</si>
  <si>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</si>
  <si>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</si>
  <si>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</si>
  <si>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</si>
  <si>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</si>
  <si>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</si>
  <si>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</si>
  <si>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</si>
  <si>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</si>
  <si>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</si>
  <si>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</si>
  <si>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</si>
  <si>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</si>
  <si>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</si>
  <si>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</si>
  <si>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</si>
  <si>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</si>
  <si>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</si>
  <si>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</si>
  <si>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</si>
  <si>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</si>
  <si>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</si>
  <si>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</si>
  <si>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</si>
  <si>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</si>
  <si>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</si>
  <si>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</si>
  <si>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</si>
  <si>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</si>
  <si>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</si>
  <si>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</si>
  <si>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</si>
  <si>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</si>
  <si>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</si>
  <si>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</si>
  <si>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</si>
  <si>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</si>
  <si>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</si>
  <si>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</si>
  <si>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</si>
  <si>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</si>
  <si>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</si>
  <si>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</si>
  <si>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</si>
  <si>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</si>
  <si>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</si>
  <si>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</si>
  <si>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</si>
  <si>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</si>
  <si>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</si>
  <si>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</si>
  <si>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</si>
  <si>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</si>
  <si>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</si>
  <si>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</si>
  <si>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</si>
  <si>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</si>
  <si>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</si>
  <si>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</si>
  <si>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</si>
  <si>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</si>
  <si>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</si>
  <si>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</si>
  <si>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</si>
  <si>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</si>
  <si>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</si>
  <si>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</si>
  <si>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</si>
  <si>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</si>
  <si>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</si>
  <si>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</si>
  <si>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</si>
  <si>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</si>
  <si>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</si>
  <si>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</si>
  <si>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</si>
  <si>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</si>
  <si>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</si>
  <si>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</si>
  <si>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</si>
  <si>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</si>
  <si>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</si>
  <si>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</si>
  <si>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</si>
  <si>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</si>
  <si>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</si>
  <si>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</si>
  <si>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</si>
  <si>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</si>
  <si>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</si>
  <si>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</si>
  <si>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</si>
  <si>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</si>
  <si>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</si>
  <si>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</si>
  <si>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</si>
  <si>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</si>
  <si>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</si>
  <si>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</si>
  <si>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</si>
  <si>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</si>
  <si>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</si>
  <si>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</si>
  <si>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</si>
  <si>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</si>
  <si>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</si>
  <si>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</si>
  <si>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</si>
  <si>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</si>
  <si>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</si>
  <si>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</si>
  <si>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</si>
  <si>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</si>
  <si>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</si>
  <si>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</si>
  <si>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</si>
  <si>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</si>
  <si>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</si>
  <si>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</si>
  <si>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</si>
  <si>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</si>
  <si>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</si>
  <si>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</si>
  <si>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</si>
  <si>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</si>
  <si>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</si>
  <si>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</si>
  <si>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</si>
  <si>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</si>
  <si>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</si>
  <si>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</si>
  <si>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</si>
  <si>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</si>
  <si>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</si>
  <si>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</si>
  <si>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</si>
  <si>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</si>
  <si>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</si>
  <si>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</si>
  <si>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</si>
  <si>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</si>
  <si>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</si>
  <si>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</si>
  <si>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</si>
  <si>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</si>
  <si>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</si>
  <si>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</si>
  <si>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</si>
  <si>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</si>
  <si>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</si>
  <si>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</si>
  <si>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</si>
  <si>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</si>
  <si>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</si>
  <si>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</si>
  <si>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</si>
  <si>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</si>
  <si>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</si>
  <si>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</si>
  <si>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</si>
  <si>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</si>
  <si>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</si>
  <si>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</si>
  <si>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</si>
  <si>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</si>
  <si>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</si>
  <si>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</si>
  <si>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</si>
  <si>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</si>
  <si>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</si>
  <si>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</si>
  <si>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</si>
  <si>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</si>
  <si>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</si>
  <si>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</si>
  <si>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</si>
  <si>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</si>
  <si>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</si>
  <si>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</si>
  <si>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</si>
  <si>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</si>
  <si>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</si>
  <si>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</si>
  <si>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</si>
  <si>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</si>
  <si>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</si>
  <si>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</si>
  <si>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</si>
  <si>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</si>
  <si>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</si>
  <si>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</si>
  <si>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</si>
  <si>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</si>
  <si>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</si>
  <si>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</si>
  <si>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</si>
  <si>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</si>
  <si>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</si>
  <si>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</si>
  <si>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</si>
  <si>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</si>
  <si>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</si>
  <si>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</si>
  <si>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</si>
  <si>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</si>
  <si>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</si>
  <si>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</si>
  <si>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</si>
  <si>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</si>
  <si>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</si>
  <si>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</si>
  <si>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</si>
  <si>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</si>
  <si>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</si>
  <si>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</si>
  <si>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</si>
  <si>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</si>
  <si>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</si>
  <si>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</si>
  <si>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</si>
  <si>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</si>
  <si>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</si>
  <si>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</si>
  <si>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</si>
  <si>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</si>
  <si>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</si>
  <si>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</si>
  <si>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</si>
  <si>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</si>
  <si>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</si>
  <si>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</si>
  <si>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</si>
  <si>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</si>
  <si>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</si>
  <si>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</si>
  <si>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</si>
  <si>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</si>
  <si>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</si>
  <si>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</si>
  <si>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</si>
  <si>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</si>
  <si>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</si>
  <si>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</si>
  <si>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</si>
  <si>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</si>
  <si>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</si>
  <si>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</si>
  <si>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</si>
  <si>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</si>
  <si>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</si>
  <si>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</si>
  <si>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</si>
  <si>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</si>
  <si>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</si>
  <si>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</si>
  <si>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</si>
  <si>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</si>
  <si>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</si>
  <si>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</si>
  <si>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</si>
  <si>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</si>
  <si>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</si>
  <si>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</si>
  <si>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</si>
  <si>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</si>
  <si>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</si>
  <si>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</si>
  <si>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</si>
  <si>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</si>
  <si>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</si>
  <si>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</si>
  <si>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</si>
  <si>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</si>
  <si>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</si>
  <si>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</si>
  <si>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</si>
  <si>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</si>
  <si>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</si>
  <si>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</si>
  <si>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</si>
  <si>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</si>
  <si>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</si>
  <si>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</si>
  <si>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</si>
  <si>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</si>
  <si>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</si>
  <si>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</si>
  <si>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</si>
  <si>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</si>
  <si>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</si>
  <si>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</si>
  <si>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</si>
  <si>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</si>
  <si>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</si>
  <si>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</si>
  <si>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</si>
  <si>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</si>
  <si>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</si>
  <si>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</si>
  <si>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</si>
  <si>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</si>
  <si>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</si>
  <si>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</si>
  <si>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</si>
  <si>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</si>
  <si>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</si>
  <si>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</si>
  <si>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</si>
  <si>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</si>
  <si>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</si>
  <si>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</si>
  <si>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</si>
  <si>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</si>
  <si>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</si>
  <si>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</si>
  <si>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</si>
  <si>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</si>
  <si>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</si>
  <si>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</si>
  <si>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</si>
  <si>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</si>
  <si>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</si>
  <si>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</si>
  <si>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</si>
  <si>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</si>
  <si>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</si>
  <si>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</si>
  <si>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</si>
  <si>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</si>
  <si>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</si>
  <si>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</si>
  <si>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</si>
  <si>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</si>
  <si>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</si>
  <si>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</si>
  <si>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</si>
  <si>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</si>
  <si>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</si>
  <si>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</si>
  <si>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</si>
  <si>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</si>
  <si>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</si>
  <si>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</si>
  <si>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</si>
  <si>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</si>
  <si>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</si>
  <si>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</si>
  <si>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</si>
  <si>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</si>
  <si>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</si>
  <si>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</si>
  <si>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</si>
  <si>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</si>
  <si>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</si>
  <si>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</si>
  <si>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</si>
  <si>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</si>
  <si>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</si>
  <si>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</si>
  <si>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</si>
  <si>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</si>
  <si>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</si>
  <si>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</si>
  <si>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</si>
  <si>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</si>
  <si>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</si>
  <si>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</si>
  <si>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</si>
  <si>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</si>
  <si>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</si>
  <si>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</si>
  <si>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</si>
  <si>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</si>
  <si>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</si>
  <si>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</si>
  <si>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</si>
  <si>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</si>
  <si>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</si>
  <si>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</si>
  <si>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</si>
  <si>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</si>
  <si>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</si>
  <si>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</si>
  <si>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</si>
  <si>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</si>
  <si>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</si>
  <si>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</si>
  <si>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</si>
  <si>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</si>
  <si>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</si>
  <si>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</si>
  <si>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</si>
  <si>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</si>
  <si>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</si>
  <si>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</si>
  <si>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</si>
  <si>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</si>
  <si>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</si>
  <si>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</si>
  <si>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</si>
  <si>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</si>
  <si>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</si>
  <si>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</si>
  <si>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</si>
  <si>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</si>
  <si>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</si>
  <si>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</si>
  <si>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</si>
  <si>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</si>
  <si>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</si>
  <si>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</si>
  <si>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</si>
  <si>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</si>
  <si>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</si>
  <si>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</si>
  <si>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</si>
  <si>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</si>
  <si>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</si>
  <si>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</si>
  <si>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</si>
  <si>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</si>
  <si>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</si>
  <si>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</si>
  <si>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</si>
  <si>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</si>
  <si>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</si>
  <si>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</si>
  <si>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</si>
  <si>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</si>
  <si>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</si>
  <si>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</si>
  <si>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</si>
  <si>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</si>
  <si>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</si>
  <si>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</si>
  <si>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</si>
  <si>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</si>
  <si>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</si>
  <si>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</si>
  <si>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</si>
  <si>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</si>
  <si>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</si>
  <si>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</si>
  <si>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</si>
  <si>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</si>
  <si>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</si>
  <si>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</si>
  <si>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</si>
  <si>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</si>
  <si>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</si>
  <si>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</si>
  <si>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</si>
  <si>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</si>
  <si>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</si>
  <si>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</si>
  <si>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</si>
  <si>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</si>
  <si>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</si>
  <si>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</si>
  <si>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</si>
  <si>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</si>
  <si>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</si>
  <si>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</si>
  <si>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</si>
  <si>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</si>
  <si>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</si>
  <si>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</si>
  <si>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</si>
  <si>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</si>
  <si>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</si>
  <si>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</si>
  <si>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</si>
  <si>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</si>
  <si>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</si>
  <si>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</si>
  <si>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</si>
  <si>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</si>
  <si>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</si>
  <si>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</si>
  <si>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</si>
  <si>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</si>
  <si>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</si>
  <si>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</si>
  <si>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</si>
  <si>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</si>
  <si>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</si>
  <si>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</si>
  <si>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</si>
  <si>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</si>
  <si>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</si>
  <si>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</si>
  <si>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</si>
  <si>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</si>
  <si>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</si>
  <si>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</si>
  <si>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</si>
  <si>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</si>
  <si>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</si>
  <si>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</si>
  <si>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</si>
  <si>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</si>
  <si>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</si>
  <si>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</si>
  <si>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</si>
  <si>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</si>
  <si>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</si>
  <si>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</si>
  <si>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</si>
  <si>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</si>
  <si>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</si>
  <si>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</si>
  <si>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</si>
  <si>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</si>
  <si>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</si>
  <si>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</si>
  <si>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</si>
  <si>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</si>
  <si>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</si>
  <si>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</si>
  <si>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</si>
  <si>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</si>
  <si>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</si>
  <si>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</si>
  <si>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</si>
  <si>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</si>
  <si>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</si>
  <si>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</si>
  <si>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</si>
  <si>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</si>
  <si>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</si>
  <si>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</si>
  <si>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</si>
  <si>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</si>
  <si>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</si>
  <si>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</si>
  <si>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</si>
  <si>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</si>
  <si>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</si>
  <si>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</si>
  <si>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</si>
  <si>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</si>
  <si>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</si>
  <si>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</si>
  <si>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</si>
  <si>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</si>
  <si>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</si>
  <si>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</si>
  <si>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</si>
  <si>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</si>
  <si>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</si>
  <si>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</si>
  <si>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</si>
  <si>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</si>
  <si>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</si>
  <si>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</si>
  <si>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</si>
  <si>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</si>
  <si>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</si>
  <si>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</si>
  <si>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</si>
  <si>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ზოგადი ინფორმაცია საცალო პროდუქტებზე</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</si>
  <si>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</si>
  <si>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</si>
  <si>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</si>
  <si>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</si>
  <si>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</si>
  <si>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</si>
  <si>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</si>
  <si>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სს "კრედო ბანკი"</t>
  </si>
  <si>
    <t>ტომას ენგელჰარდტი</t>
  </si>
  <si>
    <t>ზაალ ფირცხელავა</t>
  </si>
  <si>
    <t>www.credo.ge</t>
  </si>
  <si>
    <t>ცხრილი 9 (Capital), C46</t>
  </si>
  <si>
    <t>ცხრილი 9 (Capital), C15</t>
  </si>
  <si>
    <t>ცხრილი 9 (Capital), C44</t>
  </si>
  <si>
    <t>ცხრილი 9 (Capital), C7</t>
  </si>
  <si>
    <t>ცხრილი 9 (Capital), C11</t>
  </si>
  <si>
    <t>ცხრილი 9 (Capital), C9</t>
  </si>
  <si>
    <t>Thomas Engelhardt (Germany)</t>
  </si>
  <si>
    <t>Access Microfinance Holding AG</t>
  </si>
  <si>
    <t>Triodos Fund</t>
  </si>
  <si>
    <t>Paul-Catalin Panciu (Romania)</t>
  </si>
  <si>
    <t>დამოუკიდებელი წევრი</t>
  </si>
  <si>
    <t>Johannes Mainhardt (Germany)</t>
  </si>
  <si>
    <t>Andrew Pospielovsky (Great Britain)</t>
  </si>
  <si>
    <t>გენერალური დირექტორი</t>
  </si>
  <si>
    <t>ერეკლე ზათიაშვილი</t>
  </si>
  <si>
    <t>ფინანსური დირექტორი</t>
  </si>
  <si>
    <t>ზაზა ტყეშელაშვილი</t>
  </si>
  <si>
    <t>საკრედიტო ოპერაციების დირექტორი</t>
  </si>
  <si>
    <t>ნიკოლოზ ქუთათელაძე</t>
  </si>
  <si>
    <t>კომერციული დირექტორი</t>
  </si>
  <si>
    <t>ალექსანდრე ქუმსიაშვილი</t>
  </si>
  <si>
    <t>საინფორმაციო ტექნოლოგიების დირექტორი</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</si>
  <si>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</si>
  <si>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</si>
  <si>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</si>
  <si>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</si>
  <si>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responsAbility Management Company S.A., responsAbility Global Microfinance Fund (Luxembourg) - 8.79%</t>
  </si>
  <si>
    <t>responsAbility SICAV (Lux) -  responsAbility SICAV (Lux) Microfinance Leaders Fund  - 1.87%</t>
  </si>
  <si>
    <t>Societe de Promotion et de Participation pour la Cooperation Economique (Proparco)</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</si>
  <si>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</si>
  <si>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</si>
  <si>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</si>
  <si>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</si>
  <si>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</si>
  <si>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</si>
  <si>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</si>
  <si>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Agence Francaise de developpement</t>
  </si>
  <si>
    <t>Farah, Katia Chams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</si>
</sst>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2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5" tint="0.39997558519241921"/>
        <bgColor indexed="64"/>
      </patternFill>
    </fill>
  </fills>
  <borders count="12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79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4" fillId="0" borderId="88" xfId="0" applyFont="1" applyFill="1" applyBorder="1" applyAlignment="1">
      <alignment vertical="center"/>
    </xf>
    <xf numFmtId="0" fontId="6" fillId="0" borderId="87" xfId="0" applyFont="1" applyFill="1" applyBorder="1" applyAlignment="1">
      <alignment vertical="center"/>
    </xf>
    <xf numFmtId="0" fontId="4" fillId="0" borderId="20" xfId="0" applyFont="1" applyFill="1" applyBorder="1" applyAlignment="1">
      <alignment vertical="center"/>
    </xf>
    <xf numFmtId="0" fontId="4" fillId="0" borderId="82" xfId="0" applyFont="1" applyFill="1" applyBorder="1" applyAlignment="1">
      <alignment vertical="center"/>
    </xf>
    <xf numFmtId="0" fontId="4" fillId="0" borderId="84" xfId="0" applyFont="1" applyFill="1" applyBorder="1" applyAlignment="1">
      <alignment vertical="center"/>
    </xf>
    <xf numFmtId="0" fontId="4" fillId="0" borderId="19"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96" xfId="0" applyFont="1" applyFill="1" applyBorder="1" applyAlignment="1">
      <alignment horizontal="center" vertical="center"/>
    </xf>
    <xf numFmtId="169" fontId="28" fillId="37" borderId="34" xfId="20" applyBorder="1"/>
    <xf numFmtId="169" fontId="28" fillId="37" borderId="97" xfId="20" applyBorder="1"/>
    <xf numFmtId="169" fontId="28" fillId="37" borderId="89" xfId="20" applyBorder="1"/>
    <xf numFmtId="169" fontId="28" fillId="37" borderId="61"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98" xfId="0" applyFont="1" applyFill="1" applyBorder="1" applyAlignment="1">
      <alignment horizontal="left"/>
    </xf>
    <xf numFmtId="0" fontId="14" fillId="3" borderId="99"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0" xfId="0" applyFont="1" applyFill="1" applyBorder="1" applyAlignment="1">
      <alignment horizontal="center" vertical="center" wrapText="1"/>
    </xf>
    <xf numFmtId="0" fontId="6" fillId="3" borderId="101" xfId="0" applyFont="1" applyFill="1" applyBorder="1" applyAlignment="1">
      <alignment vertical="center"/>
    </xf>
    <xf numFmtId="0" fontId="4" fillId="3" borderId="24" xfId="0" applyFont="1" applyFill="1" applyBorder="1" applyAlignment="1">
      <alignment vertical="center"/>
    </xf>
    <xf numFmtId="0" fontId="4" fillId="0" borderId="102" xfId="0" applyFont="1" applyFill="1" applyBorder="1" applyAlignment="1">
      <alignment horizontal="center" vertical="center"/>
    </xf>
    <xf numFmtId="0" fontId="4" fillId="0" borderId="100"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02" xfId="0" applyBorder="1"/>
    <xf numFmtId="0" fontId="0" fillId="0" borderId="102"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0"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3"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2"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0" xfId="0" applyFont="1" applyFill="1" applyBorder="1" applyAlignment="1">
      <alignment horizontal="left" vertical="center" wrapText="1"/>
    </xf>
    <xf numFmtId="0" fontId="4" fillId="0" borderId="102"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2"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2" fillId="0" borderId="102"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0"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2"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2"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 fontId="6" fillId="36" borderId="100" xfId="0" applyNumberFormat="1" applyFont="1" applyFill="1" applyBorder="1" applyAlignment="1">
      <alignment horizontal="right" vertical="center" wrapText="1"/>
    </xf>
    <xf numFmtId="1" fontId="6" fillId="36" borderId="100"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2" xfId="0" applyFont="1" applyBorder="1" applyAlignment="1">
      <alignment horizontal="right" vertical="center" wrapText="1"/>
    </xf>
    <xf numFmtId="0" fontId="9" fillId="0" borderId="102"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0"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0" xfId="0" applyFont="1" applyBorder="1" applyAlignment="1"/>
    <xf numFmtId="0" fontId="9" fillId="0" borderId="100" xfId="0" applyFont="1" applyBorder="1" applyAlignment="1"/>
    <xf numFmtId="0" fontId="10" fillId="0" borderId="21" xfId="0" applyFont="1" applyBorder="1" applyAlignment="1">
      <alignment horizontal="center"/>
    </xf>
    <xf numFmtId="0" fontId="10" fillId="0" borderId="100"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02"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0"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2"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0" fontId="15" fillId="0" borderId="102"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05" xfId="0" applyFont="1" applyFill="1" applyBorder="1" applyAlignment="1">
      <alignment wrapText="1"/>
    </xf>
    <xf numFmtId="0" fontId="4" fillId="3" borderId="106" xfId="0" applyFont="1" applyFill="1" applyBorder="1"/>
    <xf numFmtId="0" fontId="6" fillId="3" borderId="11" xfId="0" applyFont="1" applyFill="1" applyBorder="1" applyAlignment="1">
      <alignment horizontal="center" wrapText="1"/>
    </xf>
    <xf numFmtId="0" fontId="4" fillId="0" borderId="87" xfId="0" applyFont="1" applyFill="1" applyBorder="1" applyAlignment="1">
      <alignment horizontal="center"/>
    </xf>
    <xf numFmtId="0" fontId="4" fillId="0" borderId="87" xfId="0" applyFont="1" applyBorder="1" applyAlignment="1">
      <alignment horizontal="center"/>
    </xf>
    <xf numFmtId="0" fontId="4" fillId="3" borderId="71"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80" xfId="0" applyFont="1" applyFill="1" applyBorder="1" applyAlignment="1">
      <alignment horizontal="center" vertical="center" wrapText="1"/>
    </xf>
    <xf numFmtId="0" fontId="4" fillId="0" borderId="102" xfId="0" applyFont="1" applyBorder="1"/>
    <xf numFmtId="0" fontId="4" fillId="0" borderId="87" xfId="0" applyFont="1" applyBorder="1" applyAlignment="1">
      <alignment wrapText="1"/>
    </xf>
    <xf numFmtId="164" fontId="4" fillId="0" borderId="87" xfId="7" applyNumberFormat="1" applyFont="1" applyBorder="1"/>
    <xf numFmtId="164" fontId="4" fillId="0" borderId="100" xfId="7" applyNumberFormat="1" applyFont="1" applyBorder="1"/>
    <xf numFmtId="0" fontId="14" fillId="0" borderId="87" xfId="0" applyFont="1" applyBorder="1" applyAlignment="1">
      <alignment horizontal="left" wrapText="1" indent="2"/>
    </xf>
    <xf numFmtId="169" fontId="28" fillId="37" borderId="87" xfId="20" applyBorder="1"/>
    <xf numFmtId="164" fontId="4" fillId="0" borderId="87" xfId="7" applyNumberFormat="1" applyFont="1" applyBorder="1" applyAlignment="1">
      <alignment vertical="center"/>
    </xf>
    <xf numFmtId="0" fontId="6" fillId="0" borderId="102" xfId="0" applyFont="1" applyBorder="1"/>
    <xf numFmtId="0" fontId="6" fillId="0" borderId="87" xfId="0" applyFont="1" applyBorder="1" applyAlignment="1">
      <alignment wrapText="1"/>
    </xf>
    <xf numFmtId="164" fontId="6" fillId="0" borderId="100" xfId="7" applyNumberFormat="1" applyFont="1" applyBorder="1"/>
    <xf numFmtId="0" fontId="3" fillId="3" borderId="71"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0" xfId="7" applyNumberFormat="1" applyFont="1" applyFill="1" applyBorder="1"/>
    <xf numFmtId="164" fontId="4" fillId="0" borderId="87" xfId="7" applyNumberFormat="1" applyFont="1" applyFill="1" applyBorder="1"/>
    <xf numFmtId="164"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80" xfId="0" applyFont="1" applyFill="1" applyBorder="1"/>
    <xf numFmtId="0" fontId="6" fillId="0" borderId="25" xfId="0" applyFont="1" applyBorder="1"/>
    <xf numFmtId="0" fontId="6" fillId="0" borderId="26" xfId="0" applyFont="1" applyBorder="1" applyAlignment="1">
      <alignment wrapText="1"/>
    </xf>
    <xf numFmtId="169" fontId="28" fillId="37" borderId="103"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6" fillId="3" borderId="0" xfId="0" applyFont="1" applyFill="1" applyBorder="1" applyAlignment="1">
      <alignment horizontal="center"/>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Fill="1" applyBorder="1" applyAlignment="1" applyProtection="1">
      <alignment horizontal="left" vertical="center" wrapText="1"/>
      <protection locked="0"/>
    </xf>
    <xf numFmtId="49" fontId="120" fillId="0" borderId="87" xfId="5" applyNumberFormat="1" applyFont="1" applyFill="1" applyBorder="1" applyAlignment="1" applyProtection="1">
      <alignment horizontal="right" vertical="center"/>
      <protection locked="0"/>
    </xf>
    <xf numFmtId="49" fontId="121" fillId="0" borderId="87"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0" fontId="116" fillId="0" borderId="87" xfId="0" applyFont="1" applyFill="1" applyBorder="1"/>
    <xf numFmtId="166" fontId="115" fillId="36" borderId="87" xfId="21413" applyFont="1" applyFill="1" applyBorder="1"/>
    <xf numFmtId="49" fontId="120" fillId="0" borderId="87" xfId="5" applyNumberFormat="1" applyFont="1" applyFill="1" applyBorder="1" applyAlignment="1" applyProtection="1">
      <alignment horizontal="right" vertical="center" wrapText="1"/>
      <protection locked="0"/>
    </xf>
    <xf numFmtId="49" fontId="121" fillId="0" borderId="87" xfId="5" applyNumberFormat="1" applyFont="1" applyFill="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6" fillId="0" borderId="0" xfId="0" applyFont="1" applyFill="1"/>
    <xf numFmtId="0" fontId="115" fillId="0" borderId="87" xfId="0" applyNumberFormat="1" applyFont="1" applyFill="1" applyBorder="1" applyAlignment="1">
      <alignment horizontal="left" vertical="center" wrapText="1"/>
    </xf>
    <xf numFmtId="0" fontId="116" fillId="0" borderId="0" xfId="0" applyFont="1" applyBorder="1"/>
    <xf numFmtId="0" fontId="119" fillId="0" borderId="87"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7" xfId="0" applyFont="1" applyFill="1" applyBorder="1" applyAlignment="1">
      <alignment horizontal="center" vertical="center" wrapText="1"/>
    </xf>
    <xf numFmtId="0" fontId="118" fillId="0" borderId="87" xfId="0" applyFont="1" applyFill="1" applyBorder="1" applyAlignment="1">
      <alignment horizontal="left" indent="1"/>
    </xf>
    <xf numFmtId="0" fontId="118" fillId="0" borderId="87" xfId="0" applyFont="1" applyFill="1" applyBorder="1" applyAlignment="1">
      <alignment horizontal="left" wrapText="1" indent="1"/>
    </xf>
    <xf numFmtId="0" fontId="115" fillId="0" borderId="87" xfId="0" applyFont="1" applyFill="1" applyBorder="1" applyAlignment="1">
      <alignment horizontal="left" indent="1"/>
    </xf>
    <xf numFmtId="0" fontId="115" fillId="0" borderId="87" xfId="0" applyNumberFormat="1" applyFont="1" applyFill="1" applyBorder="1" applyAlignment="1">
      <alignment horizontal="left" indent="1"/>
    </xf>
    <xf numFmtId="0" fontId="115" fillId="0" borderId="87" xfId="0" applyFont="1" applyFill="1" applyBorder="1" applyAlignment="1">
      <alignment horizontal="left" wrapText="1" indent="2"/>
    </xf>
    <xf numFmtId="0" fontId="118" fillId="0" borderId="87" xfId="0" applyFont="1" applyFill="1" applyBorder="1" applyAlignment="1">
      <alignment horizontal="left" vertical="center" indent="1"/>
    </xf>
    <xf numFmtId="0" fontId="116" fillId="79" borderId="87" xfId="0" applyFont="1" applyFill="1" applyBorder="1"/>
    <xf numFmtId="0" fontId="116" fillId="0" borderId="87" xfId="0" applyFont="1" applyFill="1" applyBorder="1" applyAlignment="1">
      <alignment horizontal="left" wrapText="1"/>
    </xf>
    <xf numFmtId="0" fontId="116" fillId="0" borderId="87" xfId="0" applyFont="1" applyFill="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Fill="1" applyBorder="1" applyAlignment="1">
      <alignment horizontal="left" indent="3"/>
    </xf>
    <xf numFmtId="49" fontId="116" fillId="0" borderId="87" xfId="0" applyNumberFormat="1" applyFont="1" applyBorder="1" applyAlignment="1">
      <alignment horizontal="left" indent="1"/>
    </xf>
    <xf numFmtId="49" fontId="116" fillId="0" borderId="87" xfId="0" applyNumberFormat="1" applyFont="1" applyFill="1" applyBorder="1" applyAlignment="1">
      <alignment horizontal="left" indent="1"/>
    </xf>
    <xf numFmtId="0" fontId="116" fillId="0" borderId="87" xfId="0" applyNumberFormat="1" applyFont="1" applyBorder="1" applyAlignment="1">
      <alignment horizontal="left" indent="1"/>
    </xf>
    <xf numFmtId="49" fontId="116" fillId="0" borderId="87" xfId="0" applyNumberFormat="1" applyFont="1" applyBorder="1" applyAlignment="1">
      <alignment horizontal="left" wrapText="1" indent="2"/>
    </xf>
    <xf numFmtId="49" fontId="116" fillId="0" borderId="87" xfId="0" applyNumberFormat="1" applyFont="1" applyFill="1" applyBorder="1" applyAlignment="1">
      <alignment horizontal="left" vertical="top" wrapText="1" indent="2"/>
    </xf>
    <xf numFmtId="49" fontId="116" fillId="0" borderId="87" xfId="0" applyNumberFormat="1" applyFont="1" applyFill="1" applyBorder="1" applyAlignment="1">
      <alignment horizontal="left" wrapText="1" indent="3"/>
    </xf>
    <xf numFmtId="49" fontId="116" fillId="0" borderId="87" xfId="0" applyNumberFormat="1" applyFont="1" applyFill="1" applyBorder="1" applyAlignment="1">
      <alignment horizontal="left" wrapText="1" indent="2"/>
    </xf>
    <xf numFmtId="0" fontId="116" fillId="0" borderId="87" xfId="0" applyNumberFormat="1" applyFont="1" applyFill="1" applyBorder="1" applyAlignment="1">
      <alignment horizontal="left" wrapText="1" indent="1"/>
    </xf>
    <xf numFmtId="0" fontId="118" fillId="0" borderId="116" xfId="0" applyNumberFormat="1" applyFont="1" applyFill="1" applyBorder="1" applyAlignment="1">
      <alignment horizontal="left" vertical="center" wrapText="1"/>
    </xf>
    <xf numFmtId="0" fontId="116" fillId="0" borderId="8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7"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7" xfId="0" applyFont="1" applyFill="1" applyBorder="1" applyAlignment="1">
      <alignment horizontal="left" indent="1"/>
    </xf>
    <xf numFmtId="0" fontId="11" fillId="0" borderId="87" xfId="17" applyFill="1" applyBorder="1" applyAlignment="1" applyProtection="1">
      <alignment wrapText="1"/>
    </xf>
    <xf numFmtId="49" fontId="116" fillId="0" borderId="87" xfId="0" applyNumberFormat="1" applyFont="1" applyFill="1" applyBorder="1" applyAlignment="1">
      <alignment horizontal="left" wrapText="1" indent="1"/>
    </xf>
    <xf numFmtId="0" fontId="119" fillId="0" borderId="8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7" xfId="13" applyFont="1" applyFill="1" applyBorder="1" applyAlignment="1" applyProtection="1">
      <alignment horizontal="left" vertical="center" wrapText="1"/>
      <protection locked="0"/>
    </xf>
    <xf numFmtId="0" fontId="116" fillId="0" borderId="87"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7" xfId="0" applyNumberFormat="1" applyFont="1" applyFill="1" applyBorder="1" applyAlignment="1">
      <alignment horizontal="center" vertical="center" wrapText="1"/>
    </xf>
    <xf numFmtId="0" fontId="25" fillId="0" borderId="102" xfId="0" applyFont="1" applyBorder="1" applyAlignment="1">
      <alignment horizontal="center"/>
    </xf>
    <xf numFmtId="0" fontId="124" fillId="0" borderId="87" xfId="0" applyFont="1" applyBorder="1" applyAlignment="1">
      <alignment horizontal="left" indent="2"/>
    </xf>
    <xf numFmtId="0" fontId="124" fillId="0" borderId="82" xfId="0" applyFont="1" applyBorder="1" applyAlignment="1">
      <alignment horizontal="left" indent="2"/>
    </xf>
    <xf numFmtId="0" fontId="0" fillId="0" borderId="7" xfId="0" applyBorder="1"/>
    <xf numFmtId="0" fontId="25" fillId="0" borderId="87" xfId="0" applyFont="1" applyBorder="1"/>
    <xf numFmtId="0" fontId="104" fillId="0" borderId="87" xfId="0" applyFont="1" applyBorder="1"/>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93" fontId="9" fillId="0" borderId="87" xfId="0" applyNumberFormat="1" applyFont="1" applyBorder="1" applyAlignment="1" applyProtection="1">
      <alignment vertical="center"/>
      <protection locked="0"/>
    </xf>
    <xf numFmtId="10" fontId="9" fillId="0" borderId="87" xfId="20961" applyNumberFormat="1" applyFont="1" applyFill="1" applyBorder="1" applyAlignment="1" applyProtection="1">
      <alignment vertical="center"/>
      <protection locked="0"/>
    </xf>
    <xf numFmtId="9" fontId="9" fillId="2" borderId="26" xfId="2096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0" fontId="0" fillId="82" borderId="0" xfId="0" applyFill="1"/>
    <xf numFmtId="193" fontId="10" fillId="0" borderId="3" xfId="0" applyNumberFormat="1" applyFont="1" applyFill="1" applyBorder="1" applyAlignment="1" applyProtection="1">
      <alignment horizontal="right"/>
    </xf>
    <xf numFmtId="164" fontId="4" fillId="0" borderId="100" xfId="7" applyNumberFormat="1" applyFont="1" applyFill="1" applyBorder="1" applyAlignment="1">
      <alignment horizontal="right" vertical="center" wrapText="1"/>
    </xf>
    <xf numFmtId="164" fontId="108" fillId="0" borderId="100"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43" fontId="4" fillId="0" borderId="3" xfId="7" applyFont="1" applyBorder="1" applyAlignment="1"/>
    <xf numFmtId="164" fontId="4" fillId="36" borderId="27" xfId="7" applyNumberFormat="1" applyFont="1" applyFill="1" applyBorder="1"/>
    <xf numFmtId="165" fontId="4" fillId="36" borderId="27" xfId="20961" applyNumberFormat="1" applyFont="1" applyFill="1" applyBorder="1"/>
    <xf numFmtId="164" fontId="4" fillId="0" borderId="88" xfId="7" applyNumberFormat="1" applyFont="1" applyFill="1" applyBorder="1" applyAlignment="1">
      <alignment vertical="center"/>
    </xf>
    <xf numFmtId="164" fontId="4" fillId="3" borderId="85" xfId="7" applyNumberFormat="1" applyFont="1" applyFill="1" applyBorder="1" applyAlignment="1">
      <alignment vertical="center"/>
    </xf>
    <xf numFmtId="164" fontId="4" fillId="0" borderId="59" xfId="7" applyNumberFormat="1" applyFont="1" applyFill="1" applyBorder="1" applyAlignment="1">
      <alignment vertical="center"/>
    </xf>
    <xf numFmtId="164" fontId="4" fillId="0" borderId="72" xfId="7" applyNumberFormat="1" applyFont="1" applyFill="1" applyBorder="1" applyAlignment="1">
      <alignment vertical="center"/>
    </xf>
    <xf numFmtId="164" fontId="6" fillId="0" borderId="88" xfId="7" applyNumberFormat="1" applyFont="1" applyFill="1" applyBorder="1" applyAlignment="1">
      <alignment vertical="center"/>
    </xf>
    <xf numFmtId="164" fontId="6" fillId="0" borderId="26" xfId="0" applyNumberFormat="1" applyFont="1" applyFill="1" applyBorder="1" applyAlignment="1">
      <alignment vertical="center"/>
    </xf>
    <xf numFmtId="164" fontId="4" fillId="0" borderId="30" xfId="7" applyNumberFormat="1" applyFont="1" applyFill="1" applyBorder="1" applyAlignment="1">
      <alignment vertical="center"/>
    </xf>
    <xf numFmtId="164" fontId="6" fillId="0" borderId="30" xfId="0" applyNumberFormat="1" applyFont="1" applyBorder="1" applyAlignment="1">
      <alignment vertical="center"/>
    </xf>
    <xf numFmtId="164" fontId="6" fillId="0" borderId="21" xfId="0" applyNumberFormat="1" applyFont="1" applyBorder="1" applyAlignment="1">
      <alignment vertical="center"/>
    </xf>
    <xf numFmtId="164" fontId="4" fillId="0" borderId="123" xfId="7" applyNumberFormat="1" applyFont="1" applyFill="1" applyBorder="1" applyAlignment="1">
      <alignment vertical="center"/>
    </xf>
    <xf numFmtId="9" fontId="4" fillId="0" borderId="81" xfId="20961" applyFont="1" applyFill="1" applyBorder="1" applyAlignment="1">
      <alignment vertical="center"/>
    </xf>
    <xf numFmtId="9" fontId="4" fillId="0" borderId="124" xfId="20961" applyFont="1" applyFill="1" applyBorder="1" applyAlignment="1">
      <alignment vertical="center"/>
    </xf>
    <xf numFmtId="193" fontId="9" fillId="0" borderId="87" xfId="0" applyNumberFormat="1" applyFont="1" applyFill="1" applyBorder="1" applyAlignment="1" applyProtection="1">
      <alignment vertical="center"/>
      <protection locked="0"/>
    </xf>
    <xf numFmtId="165" fontId="9" fillId="0" borderId="87" xfId="20961" applyNumberFormat="1" applyFont="1" applyFill="1" applyBorder="1" applyAlignment="1" applyProtection="1">
      <alignment vertical="center"/>
      <protection locked="0"/>
    </xf>
    <xf numFmtId="10" fontId="112" fillId="78" borderId="87" xfId="20961" applyNumberFormat="1" applyFont="1" applyFill="1" applyBorder="1" applyAlignment="1" applyProtection="1">
      <alignment horizontal="right" vertical="center"/>
    </xf>
    <xf numFmtId="164" fontId="4" fillId="0" borderId="87" xfId="7" applyNumberFormat="1" applyFont="1" applyBorder="1" applyAlignment="1"/>
    <xf numFmtId="164" fontId="4" fillId="0" borderId="100" xfId="7" applyNumberFormat="1" applyFont="1" applyBorder="1" applyAlignment="1"/>
    <xf numFmtId="164" fontId="119" fillId="0" borderId="87" xfId="7" applyNumberFormat="1" applyFont="1" applyBorder="1"/>
    <xf numFmtId="164" fontId="116" fillId="0" borderId="87" xfId="7" applyNumberFormat="1" applyFont="1" applyBorder="1"/>
    <xf numFmtId="164" fontId="116" fillId="0" borderId="87" xfId="7" applyNumberFormat="1" applyFont="1" applyFill="1" applyBorder="1"/>
    <xf numFmtId="164" fontId="116" fillId="0" borderId="0" xfId="0" applyNumberFormat="1" applyFont="1"/>
    <xf numFmtId="164" fontId="116" fillId="0" borderId="0" xfId="0" applyNumberFormat="1" applyFont="1" applyFill="1"/>
    <xf numFmtId="43" fontId="119" fillId="0" borderId="87" xfId="7" applyFont="1" applyBorder="1"/>
    <xf numFmtId="164" fontId="116" fillId="0" borderId="87" xfId="7" applyNumberFormat="1" applyFont="1" applyBorder="1" applyAlignment="1">
      <alignment horizontal="center" vertical="center" wrapText="1"/>
    </xf>
    <xf numFmtId="164" fontId="116" fillId="0" borderId="87" xfId="7" applyNumberFormat="1" applyFont="1" applyBorder="1" applyAlignment="1">
      <alignment horizontal="center" vertical="center"/>
    </xf>
    <xf numFmtId="164" fontId="118" fillId="0" borderId="87" xfId="0" applyNumberFormat="1" applyFont="1" applyFill="1" applyBorder="1" applyAlignment="1">
      <alignment horizontal="left" vertical="center" wrapText="1"/>
    </xf>
    <xf numFmtId="164" fontId="119" fillId="0" borderId="87" xfId="0" applyNumberFormat="1" applyFont="1" applyBorder="1"/>
    <xf numFmtId="164" fontId="119" fillId="0" borderId="87" xfId="0" applyNumberFormat="1" applyFont="1" applyFill="1" applyBorder="1"/>
    <xf numFmtId="164" fontId="116" fillId="0" borderId="87" xfId="7" applyNumberFormat="1" applyFont="1" applyBorder="1" applyAlignment="1">
      <alignment horizontal="left" indent="1"/>
    </xf>
    <xf numFmtId="164" fontId="119" fillId="0" borderId="87" xfId="7" applyNumberFormat="1" applyFont="1" applyBorder="1" applyAlignment="1">
      <alignment horizontal="left" indent="1"/>
    </xf>
    <xf numFmtId="164" fontId="119" fillId="0" borderId="7" xfId="7" applyNumberFormat="1" applyFont="1" applyBorder="1"/>
    <xf numFmtId="164" fontId="116" fillId="81" borderId="87" xfId="7" applyNumberFormat="1" applyFont="1" applyFill="1" applyBorder="1"/>
    <xf numFmtId="164" fontId="116" fillId="0" borderId="87" xfId="7" applyNumberFormat="1" applyFont="1" applyFill="1" applyBorder="1" applyAlignment="1">
      <alignment horizontal="left" wrapText="1" indent="1"/>
    </xf>
    <xf numFmtId="9" fontId="116" fillId="0" borderId="0" xfId="20961" applyFont="1"/>
    <xf numFmtId="164" fontId="124" fillId="0" borderId="87" xfId="7" applyNumberFormat="1" applyFont="1" applyBorder="1"/>
    <xf numFmtId="164" fontId="124" fillId="0" borderId="82" xfId="7" applyNumberFormat="1" applyFont="1" applyBorder="1"/>
    <xf numFmtId="164" fontId="128" fillId="0" borderId="87" xfId="7" applyNumberFormat="1" applyFont="1" applyBorder="1"/>
    <xf numFmtId="0" fontId="116" fillId="0" borderId="82" xfId="0" applyFont="1" applyBorder="1" applyAlignment="1">
      <alignment horizontal="center" vertical="center" wrapText="1"/>
    </xf>
    <xf numFmtId="0" fontId="9" fillId="0" borderId="102" xfId="0" applyFont="1" applyBorder="1" applyAlignment="1">
      <alignment vertical="center"/>
    </xf>
    <xf numFmtId="0" fontId="13" fillId="0" borderId="88" xfId="0" applyFont="1" applyBorder="1" applyAlignment="1">
      <alignment wrapText="1"/>
    </xf>
    <xf numFmtId="0" fontId="13" fillId="0" borderId="87" xfId="0" applyFont="1" applyBorder="1" applyAlignment="1">
      <alignment wrapText="1"/>
    </xf>
    <xf numFmtId="10" fontId="4" fillId="0" borderId="24" xfId="20961" applyNumberFormat="1" applyFont="1" applyBorder="1" applyAlignment="1"/>
    <xf numFmtId="0" fontId="9" fillId="0" borderId="95" xfId="0" applyFont="1" applyBorder="1" applyAlignment="1">
      <alignment vertical="center"/>
    </xf>
    <xf numFmtId="0" fontId="13" fillId="0" borderId="123" xfId="0" applyFont="1" applyBorder="1" applyAlignment="1">
      <alignment wrapText="1"/>
    </xf>
    <xf numFmtId="10" fontId="4" fillId="0" borderId="100" xfId="20961" applyNumberFormat="1" applyFont="1" applyBorder="1" applyAlignment="1"/>
    <xf numFmtId="10" fontId="4" fillId="0" borderId="75" xfId="20961" applyNumberFormat="1" applyFont="1" applyBorder="1" applyAlignment="1"/>
    <xf numFmtId="10" fontId="4" fillId="0" borderId="27" xfId="20961" applyNumberFormat="1" applyFont="1" applyBorder="1" applyAlignment="1"/>
    <xf numFmtId="0" fontId="13" fillId="0" borderId="28" xfId="0" applyFont="1" applyFill="1" applyBorder="1" applyAlignment="1">
      <alignment wrapText="1"/>
    </xf>
    <xf numFmtId="193" fontId="9" fillId="0" borderId="82" xfId="0" applyNumberFormat="1" applyFont="1" applyFill="1" applyBorder="1" applyAlignment="1" applyProtection="1">
      <alignment vertical="center"/>
      <protection locked="0"/>
    </xf>
    <xf numFmtId="165" fontId="9" fillId="0" borderId="26" xfId="20961" applyNumberFormat="1" applyFont="1" applyFill="1" applyBorder="1" applyAlignment="1" applyProtection="1">
      <alignment vertical="center"/>
      <protection locked="0"/>
    </xf>
    <xf numFmtId="0" fontId="115" fillId="0" borderId="0" xfId="11" applyFont="1"/>
    <xf numFmtId="0" fontId="117" fillId="0" borderId="0" xfId="11" applyFont="1"/>
    <xf numFmtId="0" fontId="126" fillId="0" borderId="120" xfId="0" applyFont="1" applyBorder="1" applyAlignment="1">
      <alignment vertical="center" wrapText="1" readingOrder="1"/>
    </xf>
    <xf numFmtId="0" fontId="126" fillId="0" borderId="121" xfId="0" applyFont="1" applyBorder="1" applyAlignment="1">
      <alignment vertical="center" wrapText="1" readingOrder="1"/>
    </xf>
    <xf numFmtId="0" fontId="124" fillId="0" borderId="87" xfId="0" applyFont="1" applyBorder="1" applyAlignment="1">
      <alignment horizontal="left" indent="3"/>
    </xf>
    <xf numFmtId="0" fontId="126" fillId="0" borderId="121" xfId="0" applyFont="1" applyBorder="1" applyAlignment="1">
      <alignment horizontal="left" vertical="center" wrapText="1" indent="1" readingOrder="1"/>
    </xf>
    <xf numFmtId="0" fontId="126" fillId="0" borderId="122" xfId="0" applyFont="1" applyBorder="1" applyAlignment="1">
      <alignment vertical="center" wrapText="1" readingOrder="1"/>
    </xf>
    <xf numFmtId="0" fontId="127" fillId="0" borderId="87" xfId="0" applyFont="1" applyBorder="1" applyAlignment="1">
      <alignment vertical="center" wrapText="1" readingOrder="1"/>
    </xf>
    <xf numFmtId="10" fontId="124" fillId="0" borderId="87" xfId="20961" applyNumberFormat="1" applyFont="1" applyBorder="1"/>
    <xf numFmtId="43" fontId="124" fillId="0" borderId="87" xfId="7" applyNumberFormat="1" applyFont="1" applyBorder="1"/>
    <xf numFmtId="10" fontId="128" fillId="0" borderId="87" xfId="20961" applyNumberFormat="1" applyFont="1" applyBorder="1" applyAlignment="1">
      <alignment horizontal="center"/>
    </xf>
    <xf numFmtId="43" fontId="124" fillId="0" borderId="87" xfId="7" applyNumberFormat="1" applyFont="1" applyBorder="1" applyAlignment="1">
      <alignment horizontal="center"/>
    </xf>
    <xf numFmtId="43" fontId="124" fillId="0" borderId="82" xfId="7" applyNumberFormat="1" applyFont="1" applyBorder="1" applyAlignment="1">
      <alignment horizontal="center"/>
    </xf>
    <xf numFmtId="43" fontId="128" fillId="0" borderId="87" xfId="7" applyNumberFormat="1" applyFont="1" applyBorder="1" applyAlignment="1">
      <alignment horizontal="center"/>
    </xf>
    <xf numFmtId="9" fontId="124" fillId="0" borderId="87" xfId="20961" applyNumberFormat="1" applyFont="1" applyBorder="1" applyAlignment="1">
      <alignment horizontal="center"/>
    </xf>
    <xf numFmtId="9" fontId="124" fillId="0" borderId="87" xfId="20961" applyNumberFormat="1" applyFont="1" applyBorder="1"/>
    <xf numFmtId="9" fontId="124" fillId="0" borderId="82" xfId="20961" applyNumberFormat="1" applyFont="1" applyBorder="1" applyAlignment="1">
      <alignment horizont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4" xfId="0" applyFont="1" applyFill="1" applyBorder="1" applyAlignment="1">
      <alignment horizontal="center"/>
    </xf>
    <xf numFmtId="0" fontId="6" fillId="36" borderId="10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1"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0" xfId="0" applyFont="1" applyBorder="1" applyAlignment="1">
      <alignment horizontal="center" vertical="center" wrapText="1"/>
    </xf>
    <xf numFmtId="0" fontId="118" fillId="0" borderId="107"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10" xfId="0" applyNumberFormat="1" applyFont="1" applyFill="1" applyBorder="1" applyAlignment="1">
      <alignment horizontal="left" vertical="center" wrapText="1"/>
    </xf>
    <xf numFmtId="0" fontId="118" fillId="0" borderId="111" xfId="0" applyNumberFormat="1" applyFont="1" applyFill="1" applyBorder="1" applyAlignment="1">
      <alignment horizontal="left" vertical="center" wrapText="1"/>
    </xf>
    <xf numFmtId="0" fontId="118" fillId="0" borderId="113" xfId="0" applyNumberFormat="1" applyFont="1" applyFill="1" applyBorder="1" applyAlignment="1">
      <alignment horizontal="left" vertical="center" wrapText="1"/>
    </xf>
    <xf numFmtId="0" fontId="118" fillId="0" borderId="114" xfId="0" applyNumberFormat="1" applyFont="1" applyFill="1" applyBorder="1" applyAlignment="1">
      <alignment horizontal="left" vertical="center" wrapText="1"/>
    </xf>
    <xf numFmtId="0" fontId="119" fillId="0" borderId="83" xfId="0" applyFont="1" applyFill="1" applyBorder="1" applyAlignment="1">
      <alignment horizontal="center" vertical="center" wrapText="1"/>
    </xf>
    <xf numFmtId="0" fontId="119" fillId="0" borderId="99"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Fill="1" applyBorder="1" applyAlignment="1">
      <alignment horizontal="center" vertical="center"/>
    </xf>
    <xf numFmtId="0" fontId="123" fillId="0" borderId="83" xfId="0" applyFont="1" applyFill="1" applyBorder="1" applyAlignment="1">
      <alignment horizontal="center" vertical="center"/>
    </xf>
    <xf numFmtId="0" fontId="123" fillId="0" borderId="109" xfId="0" applyFont="1" applyFill="1" applyBorder="1" applyAlignment="1">
      <alignment horizontal="center" vertical="center"/>
    </xf>
    <xf numFmtId="0" fontId="123" fillId="0" borderId="59"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7" xfId="0" applyFont="1" applyFill="1" applyBorder="1" applyAlignment="1">
      <alignment horizontal="center" vertical="center" wrapText="1"/>
    </xf>
    <xf numFmtId="0" fontId="119" fillId="0" borderId="115" xfId="0" applyFont="1" applyFill="1" applyBorder="1" applyAlignment="1">
      <alignment horizontal="center" vertical="center" wrapText="1"/>
    </xf>
    <xf numFmtId="0" fontId="119" fillId="0" borderId="116" xfId="0" applyFont="1" applyFill="1" applyBorder="1" applyAlignment="1">
      <alignment horizontal="center" vertical="center" wrapText="1"/>
    </xf>
    <xf numFmtId="0" fontId="116" fillId="0" borderId="88" xfId="0" applyFont="1" applyFill="1" applyBorder="1" applyAlignment="1">
      <alignment horizontal="center" vertical="center" wrapText="1"/>
    </xf>
    <xf numFmtId="0" fontId="116" fillId="0" borderId="85" xfId="0" applyFont="1" applyFill="1" applyBorder="1" applyAlignment="1">
      <alignment horizontal="center" vertical="center" wrapText="1"/>
    </xf>
    <xf numFmtId="0" fontId="116" fillId="0" borderId="86" xfId="0" applyFont="1" applyFill="1" applyBorder="1" applyAlignment="1">
      <alignment horizontal="center" vertical="center" wrapText="1"/>
    </xf>
    <xf numFmtId="0" fontId="119" fillId="0" borderId="117"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7"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6"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NumberFormat="1" applyFont="1" applyFill="1" applyBorder="1" applyAlignment="1">
      <alignment horizontal="left" vertical="top" wrapText="1"/>
    </xf>
    <xf numFmtId="0" fontId="118" fillId="0" borderId="109" xfId="0" applyNumberFormat="1" applyFont="1" applyFill="1" applyBorder="1" applyAlignment="1">
      <alignment horizontal="left" vertical="top" wrapText="1"/>
    </xf>
    <xf numFmtId="0" fontId="118" fillId="0" borderId="115" xfId="0" applyNumberFormat="1" applyFont="1" applyFill="1" applyBorder="1" applyAlignment="1">
      <alignment horizontal="left" vertical="top" wrapText="1"/>
    </xf>
    <xf numFmtId="0" fontId="118" fillId="0" borderId="116" xfId="0" applyNumberFormat="1" applyFont="1" applyFill="1" applyBorder="1" applyAlignment="1">
      <alignment horizontal="left" vertical="top" wrapText="1"/>
    </xf>
    <xf numFmtId="0" fontId="118" fillId="0" borderId="59"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83" xfId="0" applyFont="1" applyFill="1" applyBorder="1" applyAlignment="1">
      <alignment horizontal="center" vertical="center"/>
    </xf>
    <xf numFmtId="0" fontId="116" fillId="0" borderId="99" xfId="0" applyFont="1" applyFill="1" applyBorder="1" applyAlignment="1">
      <alignment horizontal="center" vertical="center"/>
    </xf>
    <xf numFmtId="0" fontId="116" fillId="0" borderId="109" xfId="0" applyFont="1" applyFill="1" applyBorder="1" applyAlignment="1">
      <alignment horizontal="center" vertical="center"/>
    </xf>
    <xf numFmtId="0" fontId="116" fillId="0" borderId="83" xfId="0" applyFont="1" applyFill="1" applyBorder="1" applyAlignment="1">
      <alignment horizontal="center" vertical="center" wrapText="1"/>
    </xf>
    <xf numFmtId="0" fontId="116" fillId="0" borderId="99" xfId="0" applyFont="1" applyFill="1" applyBorder="1" applyAlignment="1">
      <alignment horizontal="center" vertical="center" wrapText="1"/>
    </xf>
    <xf numFmtId="0" fontId="116" fillId="0" borderId="109" xfId="0" applyFont="1" applyFill="1" applyBorder="1" applyAlignment="1">
      <alignment horizontal="center" vertical="center" wrapText="1"/>
    </xf>
    <xf numFmtId="0" fontId="116" fillId="0" borderId="83" xfId="0" applyFont="1" applyBorder="1" applyAlignment="1">
      <alignment horizontal="center" vertical="top" wrapText="1"/>
    </xf>
    <xf numFmtId="0" fontId="116" fillId="0" borderId="99" xfId="0" applyFont="1" applyBorder="1" applyAlignment="1">
      <alignment horizontal="center" vertical="top" wrapText="1"/>
    </xf>
    <xf numFmtId="0" fontId="116" fillId="0" borderId="109" xfId="0" applyFont="1" applyBorder="1" applyAlignment="1">
      <alignment horizontal="center" vertical="top" wrapText="1"/>
    </xf>
    <xf numFmtId="0" fontId="116" fillId="0" borderId="83" xfId="0" applyFont="1" applyFill="1" applyBorder="1" applyAlignment="1">
      <alignment horizontal="center" vertical="top" wrapText="1"/>
    </xf>
    <xf numFmtId="0" fontId="116" fillId="0" borderId="85" xfId="0" applyFont="1" applyFill="1" applyBorder="1" applyAlignment="1">
      <alignment horizontal="center" vertical="top" wrapText="1"/>
    </xf>
    <xf numFmtId="0" fontId="116" fillId="0" borderId="86" xfId="0" applyFont="1" applyFill="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18"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24" fillId="0" borderId="87" xfId="0" applyFont="1" applyBorder="1" applyAlignment="1">
      <alignment horizontal="center" vertical="center" wrapText="1"/>
    </xf>
    <xf numFmtId="0" fontId="125" fillId="0" borderId="87" xfId="0" applyFont="1" applyBorder="1" applyAlignment="1">
      <alignment horizontal="center" vertical="center"/>
    </xf>
    <xf numFmtId="0" fontId="124" fillId="0" borderId="82" xfId="0" applyFont="1" applyBorder="1" applyAlignment="1">
      <alignment horizontal="center" vertical="center"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licies/NBG%20Reporting/Quarterly/TRANSPARENCY/2021/Third%20Quarter%202021/Last%20forms%20from%20NBG/PG1-BBB-QQ-YYY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1. key ratios"/>
      <sheetName val="2. RC"/>
      <sheetName val="3. 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row r="2">
          <cell r="B2">
            <v>44469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workbookViewId="0">
      <pane xSplit="1" ySplit="7" topLeftCell="B8" activePane="bottomRight" state="frozen"/>
      <selection pane="topRight" activeCell="B1" sqref="B1"/>
      <selection pane="bottomLeft" activeCell="A8" sqref="A8"/>
      <selection pane="bottomRight" activeCell="C2" sqref="C2:C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3" t="s">
        <v>254</v>
      </c>
      <c r="C1" s="91"/>
    </row>
    <row r="2" spans="1:3" s="180" customFormat="1" ht="15.75">
      <c r="A2" s="226">
        <v>1</v>
      </c>
      <c r="B2" s="181" t="s">
        <v>255</v>
      </c>
      <c r="C2" s="602" t="s">
        <v>740</v>
      </c>
    </row>
    <row r="3" spans="1:3" s="180" customFormat="1" ht="15.75">
      <c r="A3" s="226">
        <v>2</v>
      </c>
      <c r="B3" s="182" t="s">
        <v>256</v>
      </c>
      <c r="C3" s="603" t="s">
        <v>741</v>
      </c>
    </row>
    <row r="4" spans="1:3" s="180" customFormat="1" ht="15.75">
      <c r="A4" s="226">
        <v>3</v>
      </c>
      <c r="B4" s="182" t="s">
        <v>257</v>
      </c>
      <c r="C4" s="603" t="s">
        <v>742</v>
      </c>
    </row>
    <row r="5" spans="1:3" s="180" customFormat="1" ht="15.75">
      <c r="A5" s="227">
        <v>4</v>
      </c>
      <c r="B5" s="185" t="s">
        <v>258</v>
      </c>
      <c r="C5" s="397" t="s">
        <v>743</v>
      </c>
    </row>
    <row r="6" spans="1:3" s="184" customFormat="1" ht="65.25" customHeight="1">
      <c r="A6" s="685" t="s">
        <v>371</v>
      </c>
      <c r="B6" s="686"/>
      <c r="C6" s="686"/>
    </row>
    <row r="7" spans="1:3">
      <c r="A7" s="391" t="s">
        <v>327</v>
      </c>
      <c r="B7" s="392" t="s">
        <v>259</v>
      </c>
    </row>
    <row r="8" spans="1:3">
      <c r="A8" s="393">
        <v>1</v>
      </c>
      <c r="B8" s="389" t="s">
        <v>224</v>
      </c>
    </row>
    <row r="9" spans="1:3">
      <c r="A9" s="393">
        <v>2</v>
      </c>
      <c r="B9" s="389" t="s">
        <v>260</v>
      </c>
    </row>
    <row r="10" spans="1:3">
      <c r="A10" s="393">
        <v>3</v>
      </c>
      <c r="B10" s="389" t="s">
        <v>261</v>
      </c>
    </row>
    <row r="11" spans="1:3">
      <c r="A11" s="393">
        <v>4</v>
      </c>
      <c r="B11" s="389" t="s">
        <v>262</v>
      </c>
      <c r="C11" s="179"/>
    </row>
    <row r="12" spans="1:3">
      <c r="A12" s="393">
        <v>5</v>
      </c>
      <c r="B12" s="389" t="s">
        <v>188</v>
      </c>
    </row>
    <row r="13" spans="1:3">
      <c r="A13" s="393">
        <v>6</v>
      </c>
      <c r="B13" s="394" t="s">
        <v>150</v>
      </c>
    </row>
    <row r="14" spans="1:3">
      <c r="A14" s="393">
        <v>7</v>
      </c>
      <c r="B14" s="389" t="s">
        <v>263</v>
      </c>
    </row>
    <row r="15" spans="1:3">
      <c r="A15" s="393">
        <v>8</v>
      </c>
      <c r="B15" s="389" t="s">
        <v>266</v>
      </c>
    </row>
    <row r="16" spans="1:3">
      <c r="A16" s="393">
        <v>9</v>
      </c>
      <c r="B16" s="389" t="s">
        <v>89</v>
      </c>
    </row>
    <row r="17" spans="1:2">
      <c r="A17" s="395" t="s">
        <v>418</v>
      </c>
      <c r="B17" s="389" t="s">
        <v>398</v>
      </c>
    </row>
    <row r="18" spans="1:2">
      <c r="A18" s="393">
        <v>10</v>
      </c>
      <c r="B18" s="389" t="s">
        <v>269</v>
      </c>
    </row>
    <row r="19" spans="1:2">
      <c r="A19" s="393">
        <v>11</v>
      </c>
      <c r="B19" s="394" t="s">
        <v>250</v>
      </c>
    </row>
    <row r="20" spans="1:2">
      <c r="A20" s="393">
        <v>12</v>
      </c>
      <c r="B20" s="394" t="s">
        <v>247</v>
      </c>
    </row>
    <row r="21" spans="1:2">
      <c r="A21" s="393">
        <v>13</v>
      </c>
      <c r="B21" s="396" t="s">
        <v>362</v>
      </c>
    </row>
    <row r="22" spans="1:2">
      <c r="A22" s="393">
        <v>14</v>
      </c>
      <c r="B22" s="397" t="s">
        <v>392</v>
      </c>
    </row>
    <row r="23" spans="1:2">
      <c r="A23" s="398">
        <v>15</v>
      </c>
      <c r="B23" s="394" t="s">
        <v>78</v>
      </c>
    </row>
    <row r="24" spans="1:2">
      <c r="A24" s="398">
        <v>15.1</v>
      </c>
      <c r="B24" s="389" t="s">
        <v>427</v>
      </c>
    </row>
    <row r="25" spans="1:2">
      <c r="A25" s="398">
        <v>16</v>
      </c>
      <c r="B25" s="389" t="s">
        <v>495</v>
      </c>
    </row>
    <row r="26" spans="1:2">
      <c r="A26" s="398">
        <v>17</v>
      </c>
      <c r="B26" s="389" t="s">
        <v>704</v>
      </c>
    </row>
    <row r="27" spans="1:2">
      <c r="A27" s="398">
        <v>18</v>
      </c>
      <c r="B27" s="389" t="s">
        <v>713</v>
      </c>
    </row>
    <row r="28" spans="1:2">
      <c r="A28" s="398">
        <v>19</v>
      </c>
      <c r="B28" s="389" t="s">
        <v>714</v>
      </c>
    </row>
    <row r="29" spans="1:2">
      <c r="A29" s="398">
        <v>20</v>
      </c>
      <c r="B29" s="397" t="s">
        <v>590</v>
      </c>
    </row>
    <row r="30" spans="1:2">
      <c r="A30" s="398">
        <v>21</v>
      </c>
      <c r="B30" s="389" t="s">
        <v>608</v>
      </c>
    </row>
    <row r="31" spans="1:2">
      <c r="A31" s="398">
        <v>22</v>
      </c>
      <c r="B31" s="588" t="s">
        <v>625</v>
      </c>
    </row>
    <row r="32" spans="1:2" ht="26.25">
      <c r="A32" s="398">
        <v>23</v>
      </c>
      <c r="B32" s="588" t="s">
        <v>705</v>
      </c>
    </row>
    <row r="33" spans="1:2">
      <c r="A33" s="398">
        <v>24</v>
      </c>
      <c r="B33" s="389" t="s">
        <v>706</v>
      </c>
    </row>
    <row r="34" spans="1:2">
      <c r="A34" s="398">
        <v>25</v>
      </c>
      <c r="B34" s="389" t="s">
        <v>707</v>
      </c>
    </row>
    <row r="35" spans="1:2">
      <c r="A35" s="393">
        <v>26</v>
      </c>
      <c r="B35" s="397" t="s">
        <v>732</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B7674C52-CAC2-447F-9F91-80D1CB5F56D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41" activePane="bottomRight" state="frozen"/>
      <selection pane="topRight" activeCell="B1" sqref="B1"/>
      <selection pane="bottomLeft" activeCell="A5" sqref="A5"/>
      <selection pane="bottomRight" activeCell="C44" sqref="C44:C46"/>
    </sheetView>
  </sheetViews>
  <sheetFormatPr defaultRowHeight="15"/>
  <cols>
    <col min="1" max="1" width="9.5703125" style="5" bestFit="1" customWidth="1"/>
    <col min="2" max="2" width="132.42578125" style="2" customWidth="1"/>
    <col min="3" max="3" width="18.42578125" style="2" customWidth="1"/>
  </cols>
  <sheetData>
    <row r="1" spans="1:6" ht="15.75">
      <c r="A1" s="17" t="s">
        <v>189</v>
      </c>
      <c r="B1" s="16" t="str">
        <f>Info!C2</f>
        <v>სს "კრედო ბანკი"</v>
      </c>
      <c r="D1" s="2"/>
      <c r="E1" s="2"/>
      <c r="F1" s="2"/>
    </row>
    <row r="2" spans="1:6" s="21" customFormat="1" ht="15.75" customHeight="1">
      <c r="A2" s="21" t="s">
        <v>190</v>
      </c>
      <c r="B2" s="472">
        <f>'1. key ratios'!B2</f>
        <v>44469</v>
      </c>
    </row>
    <row r="3" spans="1:6" s="21" customFormat="1" ht="15.75" customHeight="1"/>
    <row r="4" spans="1:6" ht="15.75" thickBot="1">
      <c r="A4" s="5" t="s">
        <v>336</v>
      </c>
      <c r="B4" s="59" t="s">
        <v>89</v>
      </c>
    </row>
    <row r="5" spans="1:6">
      <c r="A5" s="132" t="s">
        <v>27</v>
      </c>
      <c r="B5" s="133"/>
      <c r="C5" s="134" t="s">
        <v>28</v>
      </c>
    </row>
    <row r="6" spans="1:6">
      <c r="A6" s="135">
        <v>1</v>
      </c>
      <c r="B6" s="80" t="s">
        <v>29</v>
      </c>
      <c r="C6" s="266">
        <f>SUM(C7:C11)</f>
        <v>211666679.98999959</v>
      </c>
    </row>
    <row r="7" spans="1:6">
      <c r="A7" s="135">
        <v>2</v>
      </c>
      <c r="B7" s="77" t="s">
        <v>30</v>
      </c>
      <c r="C7" s="267">
        <v>5174400</v>
      </c>
    </row>
    <row r="8" spans="1:6">
      <c r="A8" s="135">
        <v>3</v>
      </c>
      <c r="B8" s="71" t="s">
        <v>31</v>
      </c>
      <c r="C8" s="267">
        <v>35225907.200000003</v>
      </c>
    </row>
    <row r="9" spans="1:6">
      <c r="A9" s="135">
        <v>4</v>
      </c>
      <c r="B9" s="71" t="s">
        <v>32</v>
      </c>
      <c r="C9" s="267">
        <v>396459</v>
      </c>
    </row>
    <row r="10" spans="1:6">
      <c r="A10" s="135">
        <v>5</v>
      </c>
      <c r="B10" s="71" t="s">
        <v>33</v>
      </c>
      <c r="C10" s="267"/>
    </row>
    <row r="11" spans="1:6">
      <c r="A11" s="135">
        <v>6</v>
      </c>
      <c r="B11" s="78" t="s">
        <v>34</v>
      </c>
      <c r="C11" s="267">
        <v>170869913.7899996</v>
      </c>
    </row>
    <row r="12" spans="1:6" s="4" customFormat="1">
      <c r="A12" s="135">
        <v>7</v>
      </c>
      <c r="B12" s="80" t="s">
        <v>35</v>
      </c>
      <c r="C12" s="268">
        <f>SUM(C13:C27)</f>
        <v>41120743.385000043</v>
      </c>
    </row>
    <row r="13" spans="1:6" s="4" customFormat="1">
      <c r="A13" s="135">
        <v>8</v>
      </c>
      <c r="B13" s="79" t="s">
        <v>36</v>
      </c>
      <c r="C13" s="269">
        <v>396459</v>
      </c>
    </row>
    <row r="14" spans="1:6" s="4" customFormat="1" ht="25.5">
      <c r="A14" s="135">
        <v>9</v>
      </c>
      <c r="B14" s="72" t="s">
        <v>37</v>
      </c>
      <c r="C14" s="269"/>
    </row>
    <row r="15" spans="1:6" s="4" customFormat="1">
      <c r="A15" s="135">
        <v>10</v>
      </c>
      <c r="B15" s="73" t="s">
        <v>38</v>
      </c>
      <c r="C15" s="269">
        <v>12228460.440000003</v>
      </c>
    </row>
    <row r="16" spans="1:6" s="4" customFormat="1">
      <c r="A16" s="135">
        <v>11</v>
      </c>
      <c r="B16" s="74" t="s">
        <v>39</v>
      </c>
      <c r="C16" s="269"/>
    </row>
    <row r="17" spans="1:3" s="4" customFormat="1">
      <c r="A17" s="135">
        <v>12</v>
      </c>
      <c r="B17" s="73" t="s">
        <v>40</v>
      </c>
      <c r="C17" s="269"/>
    </row>
    <row r="18" spans="1:3" s="4" customFormat="1">
      <c r="A18" s="135">
        <v>13</v>
      </c>
      <c r="B18" s="73" t="s">
        <v>41</v>
      </c>
      <c r="C18" s="269"/>
    </row>
    <row r="19" spans="1:3" s="4" customFormat="1">
      <c r="A19" s="135">
        <v>14</v>
      </c>
      <c r="B19" s="73" t="s">
        <v>42</v>
      </c>
      <c r="C19" s="269"/>
    </row>
    <row r="20" spans="1:3" s="4" customFormat="1" ht="25.5">
      <c r="A20" s="135">
        <v>15</v>
      </c>
      <c r="B20" s="73" t="s">
        <v>43</v>
      </c>
      <c r="C20" s="269"/>
    </row>
    <row r="21" spans="1:3" s="4" customFormat="1" ht="25.5">
      <c r="A21" s="135">
        <v>16</v>
      </c>
      <c r="B21" s="72" t="s">
        <v>44</v>
      </c>
      <c r="C21" s="269"/>
    </row>
    <row r="22" spans="1:3" s="4" customFormat="1">
      <c r="A22" s="135">
        <v>17</v>
      </c>
      <c r="B22" s="136" t="s">
        <v>45</v>
      </c>
      <c r="C22" s="269"/>
    </row>
    <row r="23" spans="1:3" s="4" customFormat="1" ht="25.5">
      <c r="A23" s="135">
        <v>18</v>
      </c>
      <c r="B23" s="72" t="s">
        <v>46</v>
      </c>
      <c r="C23" s="269">
        <v>28495823.945000038</v>
      </c>
    </row>
    <row r="24" spans="1:3" s="4" customFormat="1" ht="25.5">
      <c r="A24" s="135">
        <v>19</v>
      </c>
      <c r="B24" s="72" t="s">
        <v>47</v>
      </c>
      <c r="C24" s="269"/>
    </row>
    <row r="25" spans="1:3" s="4" customFormat="1" ht="25.5">
      <c r="A25" s="135">
        <v>20</v>
      </c>
      <c r="B25" s="75" t="s">
        <v>48</v>
      </c>
      <c r="C25" s="269"/>
    </row>
    <row r="26" spans="1:3" s="4" customFormat="1">
      <c r="A26" s="135">
        <v>21</v>
      </c>
      <c r="B26" s="75" t="s">
        <v>49</v>
      </c>
      <c r="C26" s="269"/>
    </row>
    <row r="27" spans="1:3" s="4" customFormat="1" ht="25.5">
      <c r="A27" s="135">
        <v>22</v>
      </c>
      <c r="B27" s="75" t="s">
        <v>50</v>
      </c>
      <c r="C27" s="269"/>
    </row>
    <row r="28" spans="1:3" s="4" customFormat="1">
      <c r="A28" s="135">
        <v>23</v>
      </c>
      <c r="B28" s="81" t="s">
        <v>24</v>
      </c>
      <c r="C28" s="268">
        <f>C6-C12</f>
        <v>170545936.60499954</v>
      </c>
    </row>
    <row r="29" spans="1:3" s="4" customFormat="1">
      <c r="A29" s="137"/>
      <c r="B29" s="76"/>
      <c r="C29" s="269"/>
    </row>
    <row r="30" spans="1:3" s="4" customFormat="1">
      <c r="A30" s="137">
        <v>24</v>
      </c>
      <c r="B30" s="81" t="s">
        <v>51</v>
      </c>
      <c r="C30" s="268">
        <f>C31+C34</f>
        <v>0</v>
      </c>
    </row>
    <row r="31" spans="1:3" s="4" customFormat="1">
      <c r="A31" s="137">
        <v>25</v>
      </c>
      <c r="B31" s="71" t="s">
        <v>52</v>
      </c>
      <c r="C31" s="270">
        <f>C32+C33</f>
        <v>0</v>
      </c>
    </row>
    <row r="32" spans="1:3" s="4" customFormat="1">
      <c r="A32" s="137">
        <v>26</v>
      </c>
      <c r="B32" s="177" t="s">
        <v>53</v>
      </c>
      <c r="C32" s="269"/>
    </row>
    <row r="33" spans="1:3" s="4" customFormat="1">
      <c r="A33" s="137">
        <v>27</v>
      </c>
      <c r="B33" s="177" t="s">
        <v>54</v>
      </c>
      <c r="C33" s="269"/>
    </row>
    <row r="34" spans="1:3" s="4" customFormat="1">
      <c r="A34" s="137">
        <v>28</v>
      </c>
      <c r="B34" s="71" t="s">
        <v>55</v>
      </c>
      <c r="C34" s="269"/>
    </row>
    <row r="35" spans="1:3" s="4" customFormat="1">
      <c r="A35" s="137">
        <v>29</v>
      </c>
      <c r="B35" s="81" t="s">
        <v>56</v>
      </c>
      <c r="C35" s="268">
        <f>SUM(C36:C40)</f>
        <v>0</v>
      </c>
    </row>
    <row r="36" spans="1:3" s="4" customFormat="1">
      <c r="A36" s="137">
        <v>30</v>
      </c>
      <c r="B36" s="72" t="s">
        <v>57</v>
      </c>
      <c r="C36" s="269"/>
    </row>
    <row r="37" spans="1:3" s="4" customFormat="1">
      <c r="A37" s="137">
        <v>31</v>
      </c>
      <c r="B37" s="73" t="s">
        <v>58</v>
      </c>
      <c r="C37" s="269"/>
    </row>
    <row r="38" spans="1:3" s="4" customFormat="1" ht="25.5">
      <c r="A38" s="137">
        <v>32</v>
      </c>
      <c r="B38" s="72" t="s">
        <v>59</v>
      </c>
      <c r="C38" s="269"/>
    </row>
    <row r="39" spans="1:3" s="4" customFormat="1" ht="25.5">
      <c r="A39" s="137">
        <v>33</v>
      </c>
      <c r="B39" s="72" t="s">
        <v>47</v>
      </c>
      <c r="C39" s="269"/>
    </row>
    <row r="40" spans="1:3" s="4" customFormat="1" ht="25.5">
      <c r="A40" s="137">
        <v>34</v>
      </c>
      <c r="B40" s="75" t="s">
        <v>60</v>
      </c>
      <c r="C40" s="269"/>
    </row>
    <row r="41" spans="1:3" s="4" customFormat="1">
      <c r="A41" s="137">
        <v>35</v>
      </c>
      <c r="B41" s="81" t="s">
        <v>25</v>
      </c>
      <c r="C41" s="268">
        <f>C30-C35</f>
        <v>0</v>
      </c>
    </row>
    <row r="42" spans="1:3" s="4" customFormat="1">
      <c r="A42" s="137"/>
      <c r="B42" s="76"/>
      <c r="C42" s="269"/>
    </row>
    <row r="43" spans="1:3" s="4" customFormat="1">
      <c r="A43" s="137">
        <v>36</v>
      </c>
      <c r="B43" s="82" t="s">
        <v>61</v>
      </c>
      <c r="C43" s="268">
        <f>SUM(C44:C46)</f>
        <v>67602155.76880835</v>
      </c>
    </row>
    <row r="44" spans="1:3" s="4" customFormat="1">
      <c r="A44" s="137">
        <v>37</v>
      </c>
      <c r="B44" s="71" t="s">
        <v>62</v>
      </c>
      <c r="C44" s="269">
        <v>53846856</v>
      </c>
    </row>
    <row r="45" spans="1:3" s="4" customFormat="1">
      <c r="A45" s="137">
        <v>38</v>
      </c>
      <c r="B45" s="71" t="s">
        <v>63</v>
      </c>
      <c r="C45" s="269"/>
    </row>
    <row r="46" spans="1:3" s="4" customFormat="1">
      <c r="A46" s="137">
        <v>39</v>
      </c>
      <c r="B46" s="71" t="s">
        <v>64</v>
      </c>
      <c r="C46" s="269">
        <v>13755299.768808354</v>
      </c>
    </row>
    <row r="47" spans="1:3" s="4" customFormat="1">
      <c r="A47" s="137">
        <v>40</v>
      </c>
      <c r="B47" s="82" t="s">
        <v>65</v>
      </c>
      <c r="C47" s="268">
        <f>SUM(C48:C51)</f>
        <v>0</v>
      </c>
    </row>
    <row r="48" spans="1:3" s="4" customFormat="1">
      <c r="A48" s="137">
        <v>41</v>
      </c>
      <c r="B48" s="72" t="s">
        <v>66</v>
      </c>
      <c r="C48" s="269"/>
    </row>
    <row r="49" spans="1:3" s="4" customFormat="1">
      <c r="A49" s="137">
        <v>42</v>
      </c>
      <c r="B49" s="73" t="s">
        <v>67</v>
      </c>
      <c r="C49" s="269"/>
    </row>
    <row r="50" spans="1:3" s="4" customFormat="1" ht="25.5">
      <c r="A50" s="137">
        <v>43</v>
      </c>
      <c r="B50" s="72" t="s">
        <v>68</v>
      </c>
      <c r="C50" s="269"/>
    </row>
    <row r="51" spans="1:3" s="4" customFormat="1" ht="25.5">
      <c r="A51" s="137">
        <v>44</v>
      </c>
      <c r="B51" s="72" t="s">
        <v>47</v>
      </c>
      <c r="C51" s="269"/>
    </row>
    <row r="52" spans="1:3" s="4" customFormat="1" ht="15.75" thickBot="1">
      <c r="A52" s="138">
        <v>45</v>
      </c>
      <c r="B52" s="139" t="s">
        <v>26</v>
      </c>
      <c r="C52" s="271">
        <f>C43-C47</f>
        <v>67602155.76880835</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23"/>
  <sheetViews>
    <sheetView workbookViewId="0">
      <selection activeCell="C15" sqref="C15:C17"/>
    </sheetView>
  </sheetViews>
  <sheetFormatPr defaultColWidth="9.140625" defaultRowHeight="12.75"/>
  <cols>
    <col min="1" max="1" width="10.85546875" style="338" bestFit="1" customWidth="1"/>
    <col min="2" max="2" width="59" style="338" customWidth="1"/>
    <col min="3" max="3" width="16.7109375" style="338" bestFit="1" customWidth="1"/>
    <col min="4" max="4" width="22.140625" style="338" customWidth="1"/>
    <col min="5" max="16384" width="9.140625" style="338"/>
  </cols>
  <sheetData>
    <row r="1" spans="1:4" ht="15">
      <c r="A1" s="17" t="s">
        <v>189</v>
      </c>
      <c r="B1" s="16" t="str">
        <f>Info!C2</f>
        <v>სს "კრედო ბანკი"</v>
      </c>
    </row>
    <row r="2" spans="1:4" s="21" customFormat="1" ht="15.75" customHeight="1">
      <c r="A2" s="21" t="s">
        <v>190</v>
      </c>
      <c r="B2" s="472">
        <f>'1. key ratios'!B2</f>
        <v>44469</v>
      </c>
    </row>
    <row r="3" spans="1:4" s="21" customFormat="1" ht="15.75" customHeight="1"/>
    <row r="4" spans="1:4" ht="13.5" thickBot="1">
      <c r="A4" s="339" t="s">
        <v>397</v>
      </c>
      <c r="B4" s="376" t="s">
        <v>398</v>
      </c>
    </row>
    <row r="5" spans="1:4" s="377" customFormat="1">
      <c r="A5" s="702" t="s">
        <v>399</v>
      </c>
      <c r="B5" s="703"/>
      <c r="C5" s="366" t="s">
        <v>400</v>
      </c>
      <c r="D5" s="367" t="s">
        <v>401</v>
      </c>
    </row>
    <row r="6" spans="1:4" s="378" customFormat="1">
      <c r="A6" s="368">
        <v>1</v>
      </c>
      <c r="B6" s="369" t="s">
        <v>402</v>
      </c>
      <c r="C6" s="369"/>
      <c r="D6" s="370"/>
    </row>
    <row r="7" spans="1:4" s="378" customFormat="1">
      <c r="A7" s="371" t="s">
        <v>403</v>
      </c>
      <c r="B7" s="372" t="s">
        <v>404</v>
      </c>
      <c r="C7" s="427">
        <v>4.4999999999999998E-2</v>
      </c>
      <c r="D7" s="612">
        <f>C7*'5. RWA'!$C$13</f>
        <v>60962662.654675663</v>
      </c>
    </row>
    <row r="8" spans="1:4" s="378" customFormat="1">
      <c r="A8" s="371" t="s">
        <v>405</v>
      </c>
      <c r="B8" s="372" t="s">
        <v>406</v>
      </c>
      <c r="C8" s="428">
        <v>0.06</v>
      </c>
      <c r="D8" s="612">
        <f>C8*'5. RWA'!$C$13</f>
        <v>81283550.206234217</v>
      </c>
    </row>
    <row r="9" spans="1:4" s="378" customFormat="1">
      <c r="A9" s="371" t="s">
        <v>407</v>
      </c>
      <c r="B9" s="372" t="s">
        <v>408</v>
      </c>
      <c r="C9" s="428">
        <v>0.08</v>
      </c>
      <c r="D9" s="612">
        <f>C9*'5. RWA'!$C$13</f>
        <v>108378066.94164562</v>
      </c>
    </row>
    <row r="10" spans="1:4" s="378" customFormat="1">
      <c r="A10" s="368" t="s">
        <v>409</v>
      </c>
      <c r="B10" s="369" t="s">
        <v>410</v>
      </c>
      <c r="C10" s="429"/>
      <c r="D10" s="425"/>
    </row>
    <row r="11" spans="1:4" s="379" customFormat="1">
      <c r="A11" s="373" t="s">
        <v>411</v>
      </c>
      <c r="B11" s="374" t="s">
        <v>473</v>
      </c>
      <c r="C11" s="430">
        <v>2.5000000000000001E-2</v>
      </c>
      <c r="D11" s="613">
        <f>C11*'5. RWA'!$C$13</f>
        <v>33868145.919264257</v>
      </c>
    </row>
    <row r="12" spans="1:4" s="379" customFormat="1">
      <c r="A12" s="373" t="s">
        <v>412</v>
      </c>
      <c r="B12" s="374" t="s">
        <v>413</v>
      </c>
      <c r="C12" s="430">
        <v>0</v>
      </c>
      <c r="D12" s="613">
        <f>C12*'5. RWA'!$C$13</f>
        <v>0</v>
      </c>
    </row>
    <row r="13" spans="1:4" s="379" customFormat="1">
      <c r="A13" s="373" t="s">
        <v>414</v>
      </c>
      <c r="B13" s="374" t="s">
        <v>415</v>
      </c>
      <c r="C13" s="430">
        <v>0</v>
      </c>
      <c r="D13" s="613">
        <f>C13*'5. RWA'!$C$13</f>
        <v>0</v>
      </c>
    </row>
    <row r="14" spans="1:4" s="378" customFormat="1">
      <c r="A14" s="368" t="s">
        <v>416</v>
      </c>
      <c r="B14" s="369" t="s">
        <v>471</v>
      </c>
      <c r="C14" s="431"/>
      <c r="D14" s="425"/>
    </row>
    <row r="15" spans="1:4" s="378" customFormat="1">
      <c r="A15" s="390" t="s">
        <v>419</v>
      </c>
      <c r="B15" s="374" t="s">
        <v>472</v>
      </c>
      <c r="C15" s="430">
        <v>1.1103182284541928E-2</v>
      </c>
      <c r="D15" s="613">
        <f>C15*'5. RWA'!$C$13</f>
        <v>15041767.911242235</v>
      </c>
    </row>
    <row r="16" spans="1:4" s="378" customFormat="1">
      <c r="A16" s="390" t="s">
        <v>420</v>
      </c>
      <c r="B16" s="374" t="s">
        <v>422</v>
      </c>
      <c r="C16" s="430">
        <v>1.4820333416797227E-2</v>
      </c>
      <c r="D16" s="613">
        <f>C16*'5. RWA'!$C$13</f>
        <v>20077488.589289468</v>
      </c>
    </row>
    <row r="17" spans="1:6" s="378" customFormat="1">
      <c r="A17" s="390" t="s">
        <v>421</v>
      </c>
      <c r="B17" s="374" t="s">
        <v>469</v>
      </c>
      <c r="C17" s="430">
        <v>3.2827111222396302E-2</v>
      </c>
      <c r="D17" s="613">
        <f>C17*'5. RWA'!$C$13</f>
        <v>44471735.719521411</v>
      </c>
    </row>
    <row r="18" spans="1:6" s="377" customFormat="1">
      <c r="A18" s="704" t="s">
        <v>470</v>
      </c>
      <c r="B18" s="705"/>
      <c r="C18" s="432" t="s">
        <v>400</v>
      </c>
      <c r="D18" s="426" t="s">
        <v>401</v>
      </c>
    </row>
    <row r="19" spans="1:6" s="378" customFormat="1">
      <c r="A19" s="375">
        <v>4</v>
      </c>
      <c r="B19" s="374" t="s">
        <v>24</v>
      </c>
      <c r="C19" s="430">
        <f>C7+C11+C12+C13+C15</f>
        <v>8.1103182284541941E-2</v>
      </c>
      <c r="D19" s="612">
        <f>C19*'5. RWA'!$C$13</f>
        <v>109872576.48518217</v>
      </c>
    </row>
    <row r="20" spans="1:6" s="378" customFormat="1">
      <c r="A20" s="375">
        <v>5</v>
      </c>
      <c r="B20" s="374" t="s">
        <v>90</v>
      </c>
      <c r="C20" s="430">
        <f>C8+C11+C12+C13+C16</f>
        <v>9.9820333416797219E-2</v>
      </c>
      <c r="D20" s="612">
        <f>C20*'5. RWA'!$C$13</f>
        <v>135229184.71478793</v>
      </c>
    </row>
    <row r="21" spans="1:6" s="378" customFormat="1" ht="13.5" thickBot="1">
      <c r="A21" s="380" t="s">
        <v>417</v>
      </c>
      <c r="B21" s="381" t="s">
        <v>89</v>
      </c>
      <c r="C21" s="433">
        <f>C9+C11+C12+C13+C17</f>
        <v>0.13782711122239633</v>
      </c>
      <c r="D21" s="614">
        <f>C21*'5. RWA'!$C$13</f>
        <v>186717948.58043131</v>
      </c>
    </row>
    <row r="22" spans="1:6">
      <c r="F22" s="339"/>
    </row>
    <row r="23" spans="1:6" ht="63.75">
      <c r="B23" s="23"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D13" sqref="D13"/>
    </sheetView>
  </sheetViews>
  <sheetFormatPr defaultRowHeight="15.75"/>
  <cols>
    <col min="1" max="1" width="10.7109375" style="67" customWidth="1"/>
    <col min="2" max="2" width="91.85546875" style="67" customWidth="1"/>
    <col min="3" max="3" width="53.140625" style="67" customWidth="1"/>
    <col min="4" max="4" width="32.28515625" style="67" customWidth="1"/>
    <col min="5" max="5" width="9.42578125" customWidth="1"/>
  </cols>
  <sheetData>
    <row r="1" spans="1:6">
      <c r="A1" s="17" t="s">
        <v>189</v>
      </c>
      <c r="B1" s="19" t="str">
        <f>Info!C2</f>
        <v>სს "კრედო ბანკი"</v>
      </c>
      <c r="E1" s="2"/>
      <c r="F1" s="2"/>
    </row>
    <row r="2" spans="1:6" s="21" customFormat="1" ht="15.75" customHeight="1">
      <c r="A2" s="21" t="s">
        <v>190</v>
      </c>
      <c r="B2" s="472">
        <f>'1. key ratios'!B2</f>
        <v>44469</v>
      </c>
    </row>
    <row r="3" spans="1:6" s="21" customFormat="1" ht="15.75" customHeight="1">
      <c r="A3" s="26"/>
    </row>
    <row r="4" spans="1:6" s="21" customFormat="1" ht="15.75" customHeight="1" thickBot="1">
      <c r="A4" s="21" t="s">
        <v>337</v>
      </c>
      <c r="B4" s="200" t="s">
        <v>269</v>
      </c>
      <c r="D4" s="202" t="s">
        <v>94</v>
      </c>
    </row>
    <row r="5" spans="1:6" ht="38.25">
      <c r="A5" s="150" t="s">
        <v>27</v>
      </c>
      <c r="B5" s="151" t="s">
        <v>232</v>
      </c>
      <c r="C5" s="152" t="s">
        <v>237</v>
      </c>
      <c r="D5" s="201" t="s">
        <v>270</v>
      </c>
    </row>
    <row r="6" spans="1:6">
      <c r="A6" s="140">
        <v>1</v>
      </c>
      <c r="B6" s="83" t="s">
        <v>155</v>
      </c>
      <c r="C6" s="272">
        <v>48559882.07</v>
      </c>
      <c r="D6" s="141"/>
      <c r="E6" s="8"/>
    </row>
    <row r="7" spans="1:6">
      <c r="A7" s="140">
        <v>2</v>
      </c>
      <c r="B7" s="84" t="s">
        <v>156</v>
      </c>
      <c r="C7" s="273">
        <v>83722685.700000003</v>
      </c>
      <c r="D7" s="142"/>
      <c r="E7" s="8"/>
    </row>
    <row r="8" spans="1:6">
      <c r="A8" s="140">
        <v>3</v>
      </c>
      <c r="B8" s="84" t="s">
        <v>157</v>
      </c>
      <c r="C8" s="273">
        <v>94224294.390000015</v>
      </c>
      <c r="D8" s="142"/>
      <c r="E8" s="8"/>
    </row>
    <row r="9" spans="1:6">
      <c r="A9" s="140">
        <v>4</v>
      </c>
      <c r="B9" s="84" t="s">
        <v>186</v>
      </c>
      <c r="C9" s="273">
        <v>0</v>
      </c>
      <c r="D9" s="142"/>
      <c r="E9" s="8"/>
    </row>
    <row r="10" spans="1:6">
      <c r="A10" s="140">
        <v>5</v>
      </c>
      <c r="B10" s="84" t="s">
        <v>158</v>
      </c>
      <c r="C10" s="273">
        <v>42858627.269999996</v>
      </c>
      <c r="D10" s="142"/>
      <c r="E10" s="8"/>
    </row>
    <row r="11" spans="1:6">
      <c r="A11" s="140">
        <v>6.1</v>
      </c>
      <c r="B11" s="84" t="s">
        <v>159</v>
      </c>
      <c r="C11" s="274">
        <v>1209170217.5635998</v>
      </c>
      <c r="D11" s="143"/>
      <c r="E11" s="9"/>
    </row>
    <row r="12" spans="1:6">
      <c r="A12" s="140">
        <v>6.2</v>
      </c>
      <c r="B12" s="85" t="s">
        <v>160</v>
      </c>
      <c r="C12" s="274">
        <v>-44776303.234799996</v>
      </c>
      <c r="D12" s="143"/>
      <c r="E12" s="9"/>
    </row>
    <row r="13" spans="1:6">
      <c r="A13" s="140" t="s">
        <v>369</v>
      </c>
      <c r="B13" s="86" t="s">
        <v>370</v>
      </c>
      <c r="C13" s="274">
        <v>-21530614.544599999</v>
      </c>
      <c r="D13" s="228" t="s">
        <v>744</v>
      </c>
      <c r="E13" s="9"/>
    </row>
    <row r="14" spans="1:6">
      <c r="A14" s="140" t="s">
        <v>493</v>
      </c>
      <c r="B14" s="86" t="s">
        <v>482</v>
      </c>
      <c r="C14" s="274"/>
      <c r="D14" s="143"/>
      <c r="E14" s="9"/>
    </row>
    <row r="15" spans="1:6">
      <c r="A15" s="140">
        <v>6</v>
      </c>
      <c r="B15" s="84" t="s">
        <v>161</v>
      </c>
      <c r="C15" s="280">
        <f>C11+C12</f>
        <v>1164393914.3287997</v>
      </c>
      <c r="D15" s="143"/>
      <c r="E15" s="8"/>
    </row>
    <row r="16" spans="1:6">
      <c r="A16" s="140">
        <v>7</v>
      </c>
      <c r="B16" s="84" t="s">
        <v>162</v>
      </c>
      <c r="C16" s="273">
        <v>25232281.269999996</v>
      </c>
      <c r="D16" s="142"/>
      <c r="E16" s="8"/>
    </row>
    <row r="17" spans="1:5">
      <c r="A17" s="140">
        <v>8</v>
      </c>
      <c r="B17" s="84" t="s">
        <v>163</v>
      </c>
      <c r="C17" s="273">
        <v>1097656.5</v>
      </c>
      <c r="D17" s="142"/>
      <c r="E17" s="8"/>
    </row>
    <row r="18" spans="1:5">
      <c r="A18" s="140">
        <v>9</v>
      </c>
      <c r="B18" s="84" t="s">
        <v>164</v>
      </c>
      <c r="C18" s="273">
        <v>44000000</v>
      </c>
      <c r="D18" s="142"/>
      <c r="E18" s="8"/>
    </row>
    <row r="19" spans="1:5">
      <c r="A19" s="140">
        <v>9.1</v>
      </c>
      <c r="B19" s="86" t="s">
        <v>246</v>
      </c>
      <c r="C19" s="274"/>
      <c r="D19" s="142"/>
      <c r="E19" s="8"/>
    </row>
    <row r="20" spans="1:5">
      <c r="A20" s="140">
        <v>9.1999999999999993</v>
      </c>
      <c r="B20" s="86" t="s">
        <v>236</v>
      </c>
      <c r="C20" s="274">
        <v>44000000</v>
      </c>
      <c r="D20" s="142"/>
      <c r="E20" s="8"/>
    </row>
    <row r="21" spans="1:5">
      <c r="A21" s="140">
        <v>9.3000000000000007</v>
      </c>
      <c r="B21" s="86" t="s">
        <v>235</v>
      </c>
      <c r="C21" s="274"/>
      <c r="D21" s="142"/>
      <c r="E21" s="8"/>
    </row>
    <row r="22" spans="1:5">
      <c r="A22" s="140">
        <v>10</v>
      </c>
      <c r="B22" s="84" t="s">
        <v>165</v>
      </c>
      <c r="C22" s="273">
        <v>32999230.360000007</v>
      </c>
      <c r="D22" s="142"/>
      <c r="E22" s="8"/>
    </row>
    <row r="23" spans="1:5">
      <c r="A23" s="140">
        <v>10.1</v>
      </c>
      <c r="B23" s="86" t="s">
        <v>234</v>
      </c>
      <c r="C23" s="273">
        <v>12228460.440000003</v>
      </c>
      <c r="D23" s="228" t="s">
        <v>745</v>
      </c>
      <c r="E23" s="8"/>
    </row>
    <row r="24" spans="1:5">
      <c r="A24" s="140">
        <v>11</v>
      </c>
      <c r="B24" s="87" t="s">
        <v>166</v>
      </c>
      <c r="C24" s="275">
        <v>35486016.370000005</v>
      </c>
      <c r="D24" s="144"/>
      <c r="E24" s="8"/>
    </row>
    <row r="25" spans="1:5">
      <c r="A25" s="140">
        <v>12</v>
      </c>
      <c r="B25" s="89" t="s">
        <v>167</v>
      </c>
      <c r="C25" s="276">
        <f>SUM(C6:C10,C15:C18,C22,C24)</f>
        <v>1572574588.2587996</v>
      </c>
      <c r="D25" s="145"/>
      <c r="E25" s="7"/>
    </row>
    <row r="26" spans="1:5">
      <c r="A26" s="140">
        <v>13</v>
      </c>
      <c r="B26" s="84" t="s">
        <v>168</v>
      </c>
      <c r="C26" s="277">
        <v>0</v>
      </c>
      <c r="D26" s="146"/>
      <c r="E26" s="8"/>
    </row>
    <row r="27" spans="1:5">
      <c r="A27" s="140">
        <v>14</v>
      </c>
      <c r="B27" s="84" t="s">
        <v>169</v>
      </c>
      <c r="C27" s="273">
        <v>58068296.019999996</v>
      </c>
      <c r="D27" s="142"/>
      <c r="E27" s="8"/>
    </row>
    <row r="28" spans="1:5">
      <c r="A28" s="140">
        <v>15</v>
      </c>
      <c r="B28" s="84" t="s">
        <v>170</v>
      </c>
      <c r="C28" s="273">
        <v>16141011.8849</v>
      </c>
      <c r="D28" s="142"/>
      <c r="E28" s="8"/>
    </row>
    <row r="29" spans="1:5">
      <c r="A29" s="140">
        <v>16</v>
      </c>
      <c r="B29" s="84" t="s">
        <v>171</v>
      </c>
      <c r="C29" s="273">
        <v>127625312.17120001</v>
      </c>
      <c r="D29" s="142"/>
      <c r="E29" s="8"/>
    </row>
    <row r="30" spans="1:5">
      <c r="A30" s="140">
        <v>17</v>
      </c>
      <c r="B30" s="84" t="s">
        <v>172</v>
      </c>
      <c r="C30" s="273">
        <v>0</v>
      </c>
      <c r="D30" s="142"/>
      <c r="E30" s="8"/>
    </row>
    <row r="31" spans="1:5">
      <c r="A31" s="140">
        <v>18</v>
      </c>
      <c r="B31" s="84" t="s">
        <v>173</v>
      </c>
      <c r="C31" s="273">
        <v>992727773.81893432</v>
      </c>
      <c r="D31" s="142"/>
      <c r="E31" s="8"/>
    </row>
    <row r="32" spans="1:5">
      <c r="A32" s="140">
        <v>19</v>
      </c>
      <c r="B32" s="84" t="s">
        <v>174</v>
      </c>
      <c r="C32" s="273">
        <v>26079076.800000001</v>
      </c>
      <c r="D32" s="142"/>
      <c r="E32" s="8"/>
    </row>
    <row r="33" spans="1:5">
      <c r="A33" s="140">
        <v>20</v>
      </c>
      <c r="B33" s="84" t="s">
        <v>96</v>
      </c>
      <c r="C33" s="273">
        <v>78418707.019999996</v>
      </c>
      <c r="D33" s="142"/>
      <c r="E33" s="8"/>
    </row>
    <row r="34" spans="1:5">
      <c r="A34" s="598">
        <v>20.100000000000001</v>
      </c>
      <c r="B34" s="88" t="s">
        <v>716</v>
      </c>
      <c r="C34" s="275">
        <v>0</v>
      </c>
      <c r="D34" s="144"/>
      <c r="E34" s="8"/>
    </row>
    <row r="35" spans="1:5">
      <c r="A35" s="140">
        <v>21</v>
      </c>
      <c r="B35" s="87" t="s">
        <v>175</v>
      </c>
      <c r="C35" s="275">
        <v>61847730</v>
      </c>
      <c r="D35" s="144"/>
      <c r="E35" s="8"/>
    </row>
    <row r="36" spans="1:5">
      <c r="A36" s="140">
        <v>21.1</v>
      </c>
      <c r="B36" s="88" t="s">
        <v>715</v>
      </c>
      <c r="C36" s="278">
        <v>53846856</v>
      </c>
      <c r="D36" s="228" t="s">
        <v>746</v>
      </c>
      <c r="E36" s="8"/>
    </row>
    <row r="37" spans="1:5">
      <c r="A37" s="140">
        <v>22</v>
      </c>
      <c r="B37" s="89" t="s">
        <v>176</v>
      </c>
      <c r="C37" s="276">
        <f>SUM(C26:C35)</f>
        <v>1360907907.7150342</v>
      </c>
      <c r="D37" s="145"/>
      <c r="E37" s="7"/>
    </row>
    <row r="38" spans="1:5">
      <c r="A38" s="140">
        <v>23</v>
      </c>
      <c r="B38" s="87" t="s">
        <v>177</v>
      </c>
      <c r="C38" s="273">
        <v>5174400</v>
      </c>
      <c r="D38" s="228" t="s">
        <v>747</v>
      </c>
      <c r="E38" s="8"/>
    </row>
    <row r="39" spans="1:5">
      <c r="A39" s="140">
        <v>24</v>
      </c>
      <c r="B39" s="87" t="s">
        <v>178</v>
      </c>
      <c r="C39" s="273">
        <v>0</v>
      </c>
      <c r="D39" s="142"/>
      <c r="E39" s="8"/>
    </row>
    <row r="40" spans="1:5">
      <c r="A40" s="140">
        <v>25</v>
      </c>
      <c r="B40" s="87" t="s">
        <v>233</v>
      </c>
      <c r="C40" s="273">
        <v>0</v>
      </c>
      <c r="D40" s="142"/>
      <c r="E40" s="8"/>
    </row>
    <row r="41" spans="1:5">
      <c r="A41" s="140">
        <v>26</v>
      </c>
      <c r="B41" s="87" t="s">
        <v>180</v>
      </c>
      <c r="C41" s="273">
        <v>35225907.200000003</v>
      </c>
      <c r="D41" s="142"/>
      <c r="E41" s="8"/>
    </row>
    <row r="42" spans="1:5">
      <c r="A42" s="140">
        <v>27</v>
      </c>
      <c r="B42" s="87" t="s">
        <v>181</v>
      </c>
      <c r="C42" s="273">
        <v>0</v>
      </c>
      <c r="D42" s="142"/>
      <c r="E42" s="8"/>
    </row>
    <row r="43" spans="1:5">
      <c r="A43" s="140">
        <v>28</v>
      </c>
      <c r="B43" s="87" t="s">
        <v>182</v>
      </c>
      <c r="C43" s="273">
        <v>170869913.7899996</v>
      </c>
      <c r="D43" s="228" t="s">
        <v>748</v>
      </c>
      <c r="E43" s="8"/>
    </row>
    <row r="44" spans="1:5">
      <c r="A44" s="140">
        <v>29</v>
      </c>
      <c r="B44" s="87" t="s">
        <v>36</v>
      </c>
      <c r="C44" s="273">
        <v>396459</v>
      </c>
      <c r="D44" s="228" t="s">
        <v>749</v>
      </c>
      <c r="E44" s="8"/>
    </row>
    <row r="45" spans="1:5" ht="16.5" thickBot="1">
      <c r="A45" s="147">
        <v>30</v>
      </c>
      <c r="B45" s="148" t="s">
        <v>183</v>
      </c>
      <c r="C45" s="279">
        <f>SUM(C38:C44)</f>
        <v>211666679.98999959</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P13" activePane="bottomRight" state="frozen"/>
      <selection pane="topRight" activeCell="C1" sqref="C1"/>
      <selection pane="bottomLeft" activeCell="A8" sqref="A8"/>
      <selection pane="bottomRight" activeCell="C8" sqref="C8:R21"/>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12.7109375" style="2" bestFit="1" customWidth="1"/>
    <col min="12" max="12" width="13.28515625" style="2" bestFit="1" customWidth="1"/>
    <col min="13" max="13" width="11.28515625" style="2" bestFit="1" customWidth="1"/>
    <col min="14" max="14" width="13.28515625" style="2" bestFit="1" customWidth="1"/>
    <col min="15" max="15" width="10.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3"/>
  </cols>
  <sheetData>
    <row r="1" spans="1:19">
      <c r="A1" s="2" t="s">
        <v>189</v>
      </c>
      <c r="B1" s="338" t="str">
        <f>Info!C2</f>
        <v>სს "კრედო ბანკი"</v>
      </c>
    </row>
    <row r="2" spans="1:19">
      <c r="A2" s="2" t="s">
        <v>190</v>
      </c>
      <c r="B2" s="472">
        <f>'1. key ratios'!B2</f>
        <v>44469</v>
      </c>
    </row>
    <row r="4" spans="1:19" ht="39" thickBot="1">
      <c r="A4" s="66" t="s">
        <v>338</v>
      </c>
      <c r="B4" s="308" t="s">
        <v>359</v>
      </c>
    </row>
    <row r="5" spans="1:19">
      <c r="A5" s="129"/>
      <c r="B5" s="131"/>
      <c r="C5" s="115" t="s">
        <v>0</v>
      </c>
      <c r="D5" s="115" t="s">
        <v>1</v>
      </c>
      <c r="E5" s="115" t="s">
        <v>2</v>
      </c>
      <c r="F5" s="115" t="s">
        <v>3</v>
      </c>
      <c r="G5" s="115" t="s">
        <v>4</v>
      </c>
      <c r="H5" s="115" t="s">
        <v>6</v>
      </c>
      <c r="I5" s="115" t="s">
        <v>238</v>
      </c>
      <c r="J5" s="115" t="s">
        <v>239</v>
      </c>
      <c r="K5" s="115" t="s">
        <v>240</v>
      </c>
      <c r="L5" s="115" t="s">
        <v>241</v>
      </c>
      <c r="M5" s="115" t="s">
        <v>242</v>
      </c>
      <c r="N5" s="115" t="s">
        <v>243</v>
      </c>
      <c r="O5" s="115" t="s">
        <v>346</v>
      </c>
      <c r="P5" s="115" t="s">
        <v>347</v>
      </c>
      <c r="Q5" s="115" t="s">
        <v>348</v>
      </c>
      <c r="R5" s="299" t="s">
        <v>349</v>
      </c>
      <c r="S5" s="116" t="s">
        <v>350</v>
      </c>
    </row>
    <row r="6" spans="1:19" ht="46.5" customHeight="1">
      <c r="A6" s="154"/>
      <c r="B6" s="710" t="s">
        <v>351</v>
      </c>
      <c r="C6" s="708">
        <v>0</v>
      </c>
      <c r="D6" s="709"/>
      <c r="E6" s="708">
        <v>0.2</v>
      </c>
      <c r="F6" s="709"/>
      <c r="G6" s="708">
        <v>0.35</v>
      </c>
      <c r="H6" s="709"/>
      <c r="I6" s="708">
        <v>0.5</v>
      </c>
      <c r="J6" s="709"/>
      <c r="K6" s="708">
        <v>0.75</v>
      </c>
      <c r="L6" s="709"/>
      <c r="M6" s="708">
        <v>1</v>
      </c>
      <c r="N6" s="709"/>
      <c r="O6" s="708">
        <v>1.5</v>
      </c>
      <c r="P6" s="709"/>
      <c r="Q6" s="708">
        <v>2.5</v>
      </c>
      <c r="R6" s="709"/>
      <c r="S6" s="706" t="s">
        <v>251</v>
      </c>
    </row>
    <row r="7" spans="1:19">
      <c r="A7" s="154"/>
      <c r="B7" s="711"/>
      <c r="C7" s="307" t="s">
        <v>344</v>
      </c>
      <c r="D7" s="307" t="s">
        <v>345</v>
      </c>
      <c r="E7" s="307" t="s">
        <v>344</v>
      </c>
      <c r="F7" s="307" t="s">
        <v>345</v>
      </c>
      <c r="G7" s="307" t="s">
        <v>344</v>
      </c>
      <c r="H7" s="307" t="s">
        <v>345</v>
      </c>
      <c r="I7" s="307" t="s">
        <v>344</v>
      </c>
      <c r="J7" s="307" t="s">
        <v>345</v>
      </c>
      <c r="K7" s="307" t="s">
        <v>344</v>
      </c>
      <c r="L7" s="307" t="s">
        <v>345</v>
      </c>
      <c r="M7" s="307" t="s">
        <v>344</v>
      </c>
      <c r="N7" s="307" t="s">
        <v>345</v>
      </c>
      <c r="O7" s="307" t="s">
        <v>344</v>
      </c>
      <c r="P7" s="307" t="s">
        <v>345</v>
      </c>
      <c r="Q7" s="307" t="s">
        <v>344</v>
      </c>
      <c r="R7" s="307" t="s">
        <v>345</v>
      </c>
      <c r="S7" s="707"/>
    </row>
    <row r="8" spans="1:19" s="158" customFormat="1">
      <c r="A8" s="119">
        <v>1</v>
      </c>
      <c r="B8" s="176" t="s">
        <v>217</v>
      </c>
      <c r="C8" s="281">
        <v>82773224.700000003</v>
      </c>
      <c r="D8" s="281"/>
      <c r="E8" s="281"/>
      <c r="F8" s="300"/>
      <c r="G8" s="281"/>
      <c r="H8" s="281"/>
      <c r="I8" s="281"/>
      <c r="J8" s="281"/>
      <c r="K8" s="281"/>
      <c r="L8" s="281"/>
      <c r="M8" s="281">
        <v>18150212.059999999</v>
      </c>
      <c r="N8" s="281"/>
      <c r="O8" s="281"/>
      <c r="P8" s="281"/>
      <c r="Q8" s="281"/>
      <c r="R8" s="300"/>
      <c r="S8" s="312">
        <f>$C$6*SUM(C8:D8)+$E$6*SUM(E8:F8)+$G$6*SUM(G8:H8)+$I$6*SUM(I8:J8)+$K$6*SUM(K8:L8)+$M$6*SUM(M8:N8)+$O$6*SUM(O8:P8)+$Q$6*SUM(Q8:R8)</f>
        <v>18150212.059999999</v>
      </c>
    </row>
    <row r="9" spans="1:19" s="158" customFormat="1">
      <c r="A9" s="119">
        <v>2</v>
      </c>
      <c r="B9" s="176" t="s">
        <v>218</v>
      </c>
      <c r="C9" s="615">
        <v>0</v>
      </c>
      <c r="D9" s="281"/>
      <c r="E9" s="281"/>
      <c r="F9" s="281"/>
      <c r="G9" s="281"/>
      <c r="H9" s="281"/>
      <c r="I9" s="281"/>
      <c r="J9" s="281"/>
      <c r="K9" s="281"/>
      <c r="L9" s="281"/>
      <c r="M9" s="281"/>
      <c r="N9" s="281"/>
      <c r="O9" s="281"/>
      <c r="P9" s="281"/>
      <c r="Q9" s="281"/>
      <c r="R9" s="300"/>
      <c r="S9" s="312">
        <f t="shared" ref="S9:S21" si="0">$C$6*SUM(C9:D9)+$E$6*SUM(E9:F9)+$G$6*SUM(G9:H9)+$I$6*SUM(I9:J9)+$K$6*SUM(K9:L9)+$M$6*SUM(M9:N9)+$O$6*SUM(O9:P9)+$Q$6*SUM(Q9:R9)</f>
        <v>0</v>
      </c>
    </row>
    <row r="10" spans="1:19" s="158" customFormat="1">
      <c r="A10" s="119">
        <v>3</v>
      </c>
      <c r="B10" s="176" t="s">
        <v>219</v>
      </c>
      <c r="C10" s="281"/>
      <c r="D10" s="281"/>
      <c r="E10" s="281"/>
      <c r="F10" s="281"/>
      <c r="G10" s="281"/>
      <c r="H10" s="281"/>
      <c r="I10" s="281"/>
      <c r="J10" s="281"/>
      <c r="K10" s="281"/>
      <c r="L10" s="281"/>
      <c r="M10" s="281"/>
      <c r="N10" s="281"/>
      <c r="O10" s="281"/>
      <c r="P10" s="281"/>
      <c r="Q10" s="281"/>
      <c r="R10" s="300"/>
      <c r="S10" s="312">
        <f t="shared" si="0"/>
        <v>0</v>
      </c>
    </row>
    <row r="11" spans="1:19" s="158" customFormat="1">
      <c r="A11" s="119">
        <v>4</v>
      </c>
      <c r="B11" s="176" t="s">
        <v>220</v>
      </c>
      <c r="C11" s="281">
        <v>26123802.739999998</v>
      </c>
      <c r="D11" s="281"/>
      <c r="E11" s="281"/>
      <c r="F11" s="281"/>
      <c r="G11" s="281"/>
      <c r="H11" s="281"/>
      <c r="I11" s="281"/>
      <c r="J11" s="281"/>
      <c r="K11" s="281"/>
      <c r="L11" s="281"/>
      <c r="M11" s="281"/>
      <c r="N11" s="281"/>
      <c r="O11" s="281"/>
      <c r="P11" s="281"/>
      <c r="Q11" s="281"/>
      <c r="R11" s="300"/>
      <c r="S11" s="312">
        <f t="shared" si="0"/>
        <v>0</v>
      </c>
    </row>
    <row r="12" spans="1:19" s="158" customFormat="1">
      <c r="A12" s="119">
        <v>5</v>
      </c>
      <c r="B12" s="176" t="s">
        <v>221</v>
      </c>
      <c r="C12" s="281"/>
      <c r="D12" s="281"/>
      <c r="E12" s="281"/>
      <c r="F12" s="281"/>
      <c r="G12" s="281"/>
      <c r="H12" s="281"/>
      <c r="I12" s="281"/>
      <c r="J12" s="281"/>
      <c r="K12" s="281"/>
      <c r="L12" s="281"/>
      <c r="M12" s="281"/>
      <c r="N12" s="281"/>
      <c r="O12" s="281"/>
      <c r="P12" s="281"/>
      <c r="Q12" s="281"/>
      <c r="R12" s="300"/>
      <c r="S12" s="312">
        <f t="shared" si="0"/>
        <v>0</v>
      </c>
    </row>
    <row r="13" spans="1:19" s="158" customFormat="1">
      <c r="A13" s="119">
        <v>6</v>
      </c>
      <c r="B13" s="176" t="s">
        <v>222</v>
      </c>
      <c r="C13" s="281"/>
      <c r="D13" s="281"/>
      <c r="E13" s="281">
        <v>25281640.399999999</v>
      </c>
      <c r="F13" s="281"/>
      <c r="G13" s="281"/>
      <c r="H13" s="281"/>
      <c r="I13" s="281">
        <v>68610436.790000007</v>
      </c>
      <c r="J13" s="281"/>
      <c r="K13" s="281"/>
      <c r="L13" s="281"/>
      <c r="M13" s="281">
        <v>330087.31</v>
      </c>
      <c r="N13" s="281"/>
      <c r="O13" s="281"/>
      <c r="P13" s="281"/>
      <c r="Q13" s="281"/>
      <c r="R13" s="300"/>
      <c r="S13" s="312">
        <f t="shared" si="0"/>
        <v>39691633.785000004</v>
      </c>
    </row>
    <row r="14" spans="1:19" s="158" customFormat="1">
      <c r="A14" s="119">
        <v>7</v>
      </c>
      <c r="B14" s="176" t="s">
        <v>74</v>
      </c>
      <c r="C14" s="281"/>
      <c r="D14" s="281"/>
      <c r="E14" s="281"/>
      <c r="F14" s="281"/>
      <c r="G14" s="281"/>
      <c r="H14" s="281"/>
      <c r="I14" s="281"/>
      <c r="J14" s="281"/>
      <c r="K14" s="281"/>
      <c r="L14" s="281"/>
      <c r="M14" s="281"/>
      <c r="N14" s="281"/>
      <c r="O14" s="281"/>
      <c r="P14" s="281"/>
      <c r="Q14" s="281"/>
      <c r="R14" s="300"/>
      <c r="S14" s="312">
        <f t="shared" si="0"/>
        <v>0</v>
      </c>
    </row>
    <row r="15" spans="1:19" s="158" customFormat="1">
      <c r="A15" s="119">
        <v>8</v>
      </c>
      <c r="B15" s="176" t="s">
        <v>75</v>
      </c>
      <c r="C15" s="281"/>
      <c r="D15" s="281"/>
      <c r="E15" s="281"/>
      <c r="F15" s="281"/>
      <c r="G15" s="281"/>
      <c r="H15" s="281"/>
      <c r="I15" s="281" t="s">
        <v>5</v>
      </c>
      <c r="J15" s="281"/>
      <c r="K15" s="281">
        <v>1103568381.6066251</v>
      </c>
      <c r="L15" s="281">
        <v>4880434.375</v>
      </c>
      <c r="M15" s="281"/>
      <c r="N15" s="281"/>
      <c r="O15" s="281"/>
      <c r="P15" s="281"/>
      <c r="Q15" s="281"/>
      <c r="R15" s="300"/>
      <c r="S15" s="312">
        <f t="shared" si="0"/>
        <v>831336611.98621881</v>
      </c>
    </row>
    <row r="16" spans="1:19" s="158" customFormat="1">
      <c r="A16" s="119">
        <v>9</v>
      </c>
      <c r="B16" s="176" t="s">
        <v>76</v>
      </c>
      <c r="C16" s="281"/>
      <c r="D16" s="281"/>
      <c r="E16" s="281"/>
      <c r="F16" s="281"/>
      <c r="G16" s="281"/>
      <c r="H16" s="281"/>
      <c r="I16" s="281"/>
      <c r="J16" s="281"/>
      <c r="K16" s="281"/>
      <c r="L16" s="281"/>
      <c r="M16" s="281"/>
      <c r="N16" s="281"/>
      <c r="O16" s="281"/>
      <c r="P16" s="281"/>
      <c r="Q16" s="281"/>
      <c r="R16" s="300"/>
      <c r="S16" s="312">
        <f t="shared" si="0"/>
        <v>0</v>
      </c>
    </row>
    <row r="17" spans="1:19" s="158" customFormat="1">
      <c r="A17" s="119">
        <v>10</v>
      </c>
      <c r="B17" s="176" t="s">
        <v>70</v>
      </c>
      <c r="C17" s="281"/>
      <c r="D17" s="281"/>
      <c r="E17" s="281"/>
      <c r="F17" s="281"/>
      <c r="G17" s="281"/>
      <c r="H17" s="281"/>
      <c r="I17" s="281"/>
      <c r="J17" s="281"/>
      <c r="K17" s="281"/>
      <c r="L17" s="281"/>
      <c r="M17" s="281">
        <v>5180863.8645049585</v>
      </c>
      <c r="N17" s="281"/>
      <c r="O17" s="281">
        <v>518471.2950707135</v>
      </c>
      <c r="P17" s="281"/>
      <c r="Q17" s="281"/>
      <c r="R17" s="300"/>
      <c r="S17" s="312">
        <f t="shared" si="0"/>
        <v>5958570.8071110286</v>
      </c>
    </row>
    <row r="18" spans="1:19" s="158" customFormat="1">
      <c r="A18" s="119">
        <v>11</v>
      </c>
      <c r="B18" s="176" t="s">
        <v>71</v>
      </c>
      <c r="C18" s="281"/>
      <c r="D18" s="281"/>
      <c r="E18" s="281"/>
      <c r="F18" s="281"/>
      <c r="G18" s="281"/>
      <c r="H18" s="281"/>
      <c r="I18" s="281"/>
      <c r="J18" s="281"/>
      <c r="K18" s="281"/>
      <c r="L18" s="281"/>
      <c r="M18" s="281">
        <v>87493149.467006251</v>
      </c>
      <c r="N18" s="281"/>
      <c r="O18" s="281">
        <v>13932146.981221486</v>
      </c>
      <c r="P18" s="281"/>
      <c r="Q18" s="281"/>
      <c r="R18" s="300"/>
      <c r="S18" s="312">
        <f t="shared" si="0"/>
        <v>108391369.93883848</v>
      </c>
    </row>
    <row r="19" spans="1:19" s="158" customFormat="1">
      <c r="A19" s="119">
        <v>12</v>
      </c>
      <c r="B19" s="176" t="s">
        <v>72</v>
      </c>
      <c r="C19" s="281"/>
      <c r="D19" s="281"/>
      <c r="E19" s="281"/>
      <c r="F19" s="281"/>
      <c r="G19" s="281"/>
      <c r="H19" s="281"/>
      <c r="I19" s="281"/>
      <c r="J19" s="281"/>
      <c r="K19" s="281"/>
      <c r="L19" s="281"/>
      <c r="M19" s="281"/>
      <c r="N19" s="281"/>
      <c r="O19" s="281"/>
      <c r="P19" s="281"/>
      <c r="Q19" s="281"/>
      <c r="R19" s="300"/>
      <c r="S19" s="312">
        <f t="shared" si="0"/>
        <v>0</v>
      </c>
    </row>
    <row r="20" spans="1:19" s="158" customFormat="1">
      <c r="A20" s="119">
        <v>13</v>
      </c>
      <c r="B20" s="176" t="s">
        <v>73</v>
      </c>
      <c r="C20" s="281"/>
      <c r="D20" s="281"/>
      <c r="E20" s="281"/>
      <c r="F20" s="281"/>
      <c r="G20" s="281"/>
      <c r="H20" s="281"/>
      <c r="I20" s="281"/>
      <c r="J20" s="281"/>
      <c r="K20" s="281"/>
      <c r="L20" s="281"/>
      <c r="M20" s="281"/>
      <c r="N20" s="281"/>
      <c r="O20" s="281"/>
      <c r="P20" s="281"/>
      <c r="Q20" s="281"/>
      <c r="R20" s="300"/>
      <c r="S20" s="312">
        <f t="shared" si="0"/>
        <v>0</v>
      </c>
    </row>
    <row r="21" spans="1:19" s="158" customFormat="1">
      <c r="A21" s="119">
        <v>14</v>
      </c>
      <c r="B21" s="176" t="s">
        <v>249</v>
      </c>
      <c r="C21" s="281">
        <v>48559882.07</v>
      </c>
      <c r="D21" s="281"/>
      <c r="E21" s="281"/>
      <c r="F21" s="281"/>
      <c r="G21" s="281"/>
      <c r="H21" s="281"/>
      <c r="I21" s="281"/>
      <c r="J21" s="281"/>
      <c r="K21" s="281"/>
      <c r="L21" s="281"/>
      <c r="M21" s="281">
        <v>57354442.790000007</v>
      </c>
      <c r="N21" s="281"/>
      <c r="O21" s="281"/>
      <c r="P21" s="281"/>
      <c r="Q21" s="281">
        <v>15504176.054999962</v>
      </c>
      <c r="R21" s="300"/>
      <c r="S21" s="312">
        <f t="shared" si="0"/>
        <v>96114882.92749992</v>
      </c>
    </row>
    <row r="22" spans="1:19" ht="13.5" thickBot="1">
      <c r="A22" s="101"/>
      <c r="B22" s="160" t="s">
        <v>69</v>
      </c>
      <c r="C22" s="282">
        <f>SUM(C8:C21)</f>
        <v>157456909.50999999</v>
      </c>
      <c r="D22" s="282">
        <f t="shared" ref="D22:S22" si="1">SUM(D8:D21)</f>
        <v>0</v>
      </c>
      <c r="E22" s="282">
        <f t="shared" si="1"/>
        <v>25281640.399999999</v>
      </c>
      <c r="F22" s="282">
        <f t="shared" si="1"/>
        <v>0</v>
      </c>
      <c r="G22" s="282">
        <f t="shared" si="1"/>
        <v>0</v>
      </c>
      <c r="H22" s="282">
        <f t="shared" si="1"/>
        <v>0</v>
      </c>
      <c r="I22" s="282">
        <f t="shared" si="1"/>
        <v>68610436.790000007</v>
      </c>
      <c r="J22" s="282">
        <f t="shared" si="1"/>
        <v>0</v>
      </c>
      <c r="K22" s="282">
        <f t="shared" si="1"/>
        <v>1103568381.6066251</v>
      </c>
      <c r="L22" s="282">
        <f t="shared" si="1"/>
        <v>4880434.375</v>
      </c>
      <c r="M22" s="282">
        <f t="shared" si="1"/>
        <v>168508755.49151123</v>
      </c>
      <c r="N22" s="282">
        <f t="shared" si="1"/>
        <v>0</v>
      </c>
      <c r="O22" s="282">
        <f t="shared" si="1"/>
        <v>14450618.276292199</v>
      </c>
      <c r="P22" s="282">
        <f t="shared" si="1"/>
        <v>0</v>
      </c>
      <c r="Q22" s="282">
        <f t="shared" si="1"/>
        <v>15504176.054999962</v>
      </c>
      <c r="R22" s="282">
        <f t="shared" si="1"/>
        <v>0</v>
      </c>
      <c r="S22" s="616">
        <f t="shared" si="1"/>
        <v>1099643281.5046682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I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38" t="str">
        <f>Info!C2</f>
        <v>სს "კრედო ბანკი"</v>
      </c>
    </row>
    <row r="2" spans="1:22">
      <c r="A2" s="2" t="s">
        <v>190</v>
      </c>
      <c r="B2" s="472">
        <f>'1. key ratios'!B2</f>
        <v>44469</v>
      </c>
    </row>
    <row r="4" spans="1:22" ht="27.75" thickBot="1">
      <c r="A4" s="2" t="s">
        <v>339</v>
      </c>
      <c r="B4" s="309" t="s">
        <v>360</v>
      </c>
      <c r="V4" s="202" t="s">
        <v>94</v>
      </c>
    </row>
    <row r="5" spans="1:22">
      <c r="A5" s="99"/>
      <c r="B5" s="100"/>
      <c r="C5" s="712" t="s">
        <v>199</v>
      </c>
      <c r="D5" s="713"/>
      <c r="E5" s="713"/>
      <c r="F5" s="713"/>
      <c r="G5" s="713"/>
      <c r="H5" s="713"/>
      <c r="I5" s="713"/>
      <c r="J5" s="713"/>
      <c r="K5" s="713"/>
      <c r="L5" s="714"/>
      <c r="M5" s="712" t="s">
        <v>200</v>
      </c>
      <c r="N5" s="713"/>
      <c r="O5" s="713"/>
      <c r="P5" s="713"/>
      <c r="Q5" s="713"/>
      <c r="R5" s="713"/>
      <c r="S5" s="714"/>
      <c r="T5" s="717" t="s">
        <v>358</v>
      </c>
      <c r="U5" s="717" t="s">
        <v>357</v>
      </c>
      <c r="V5" s="715" t="s">
        <v>201</v>
      </c>
    </row>
    <row r="6" spans="1:22" s="66" customFormat="1" ht="140.25">
      <c r="A6" s="117"/>
      <c r="B6" s="178"/>
      <c r="C6" s="97" t="s">
        <v>202</v>
      </c>
      <c r="D6" s="96" t="s">
        <v>203</v>
      </c>
      <c r="E6" s="93" t="s">
        <v>204</v>
      </c>
      <c r="F6" s="310" t="s">
        <v>352</v>
      </c>
      <c r="G6" s="96" t="s">
        <v>205</v>
      </c>
      <c r="H6" s="96" t="s">
        <v>206</v>
      </c>
      <c r="I6" s="96" t="s">
        <v>207</v>
      </c>
      <c r="J6" s="96" t="s">
        <v>248</v>
      </c>
      <c r="K6" s="96" t="s">
        <v>208</v>
      </c>
      <c r="L6" s="98" t="s">
        <v>209</v>
      </c>
      <c r="M6" s="97" t="s">
        <v>210</v>
      </c>
      <c r="N6" s="96" t="s">
        <v>211</v>
      </c>
      <c r="O6" s="96" t="s">
        <v>212</v>
      </c>
      <c r="P6" s="96" t="s">
        <v>213</v>
      </c>
      <c r="Q6" s="96" t="s">
        <v>214</v>
      </c>
      <c r="R6" s="96" t="s">
        <v>215</v>
      </c>
      <c r="S6" s="98" t="s">
        <v>216</v>
      </c>
      <c r="T6" s="718"/>
      <c r="U6" s="718"/>
      <c r="V6" s="716"/>
    </row>
    <row r="7" spans="1:22" s="158" customFormat="1">
      <c r="A7" s="159">
        <v>1</v>
      </c>
      <c r="B7" s="157" t="s">
        <v>217</v>
      </c>
      <c r="C7" s="283"/>
      <c r="D7" s="281"/>
      <c r="E7" s="281"/>
      <c r="F7" s="281"/>
      <c r="G7" s="281"/>
      <c r="H7" s="281"/>
      <c r="I7" s="281"/>
      <c r="J7" s="281"/>
      <c r="K7" s="281"/>
      <c r="L7" s="284"/>
      <c r="M7" s="283"/>
      <c r="N7" s="281"/>
      <c r="O7" s="281"/>
      <c r="P7" s="281"/>
      <c r="Q7" s="281"/>
      <c r="R7" s="281"/>
      <c r="S7" s="284"/>
      <c r="T7" s="304"/>
      <c r="U7" s="303"/>
      <c r="V7" s="285">
        <f>SUM(C7:S7)</f>
        <v>0</v>
      </c>
    </row>
    <row r="8" spans="1:22" s="158" customFormat="1">
      <c r="A8" s="159">
        <v>2</v>
      </c>
      <c r="B8" s="157" t="s">
        <v>218</v>
      </c>
      <c r="C8" s="283"/>
      <c r="D8" s="281"/>
      <c r="E8" s="281"/>
      <c r="F8" s="281"/>
      <c r="G8" s="281"/>
      <c r="H8" s="281"/>
      <c r="I8" s="281"/>
      <c r="J8" s="281"/>
      <c r="K8" s="281"/>
      <c r="L8" s="284"/>
      <c r="M8" s="283"/>
      <c r="N8" s="281"/>
      <c r="O8" s="281"/>
      <c r="P8" s="281"/>
      <c r="Q8" s="281"/>
      <c r="R8" s="281"/>
      <c r="S8" s="284"/>
      <c r="T8" s="303"/>
      <c r="U8" s="303"/>
      <c r="V8" s="285">
        <f t="shared" ref="V8:V20" si="0">SUM(C8:S8)</f>
        <v>0</v>
      </c>
    </row>
    <row r="9" spans="1:22" s="158" customFormat="1">
      <c r="A9" s="159">
        <v>3</v>
      </c>
      <c r="B9" s="157" t="s">
        <v>219</v>
      </c>
      <c r="C9" s="283"/>
      <c r="D9" s="281"/>
      <c r="E9" s="281"/>
      <c r="F9" s="281"/>
      <c r="G9" s="281"/>
      <c r="H9" s="281"/>
      <c r="I9" s="281"/>
      <c r="J9" s="281"/>
      <c r="K9" s="281"/>
      <c r="L9" s="284"/>
      <c r="M9" s="283"/>
      <c r="N9" s="281"/>
      <c r="O9" s="281"/>
      <c r="P9" s="281"/>
      <c r="Q9" s="281"/>
      <c r="R9" s="281"/>
      <c r="S9" s="284"/>
      <c r="T9" s="303"/>
      <c r="U9" s="303"/>
      <c r="V9" s="285">
        <f>SUM(C9:S9)</f>
        <v>0</v>
      </c>
    </row>
    <row r="10" spans="1:22" s="158" customFormat="1">
      <c r="A10" s="159">
        <v>4</v>
      </c>
      <c r="B10" s="157" t="s">
        <v>220</v>
      </c>
      <c r="C10" s="283"/>
      <c r="D10" s="281"/>
      <c r="E10" s="281"/>
      <c r="F10" s="281"/>
      <c r="G10" s="281"/>
      <c r="H10" s="281"/>
      <c r="I10" s="281"/>
      <c r="J10" s="281"/>
      <c r="K10" s="281"/>
      <c r="L10" s="284"/>
      <c r="M10" s="283"/>
      <c r="N10" s="281"/>
      <c r="O10" s="281"/>
      <c r="P10" s="281"/>
      <c r="Q10" s="281"/>
      <c r="R10" s="281"/>
      <c r="S10" s="284"/>
      <c r="T10" s="303"/>
      <c r="U10" s="303"/>
      <c r="V10" s="285">
        <f t="shared" si="0"/>
        <v>0</v>
      </c>
    </row>
    <row r="11" spans="1:22" s="158" customFormat="1">
      <c r="A11" s="159">
        <v>5</v>
      </c>
      <c r="B11" s="157" t="s">
        <v>221</v>
      </c>
      <c r="C11" s="283"/>
      <c r="D11" s="281"/>
      <c r="E11" s="281"/>
      <c r="F11" s="281"/>
      <c r="G11" s="281"/>
      <c r="H11" s="281"/>
      <c r="I11" s="281"/>
      <c r="J11" s="281"/>
      <c r="K11" s="281"/>
      <c r="L11" s="284"/>
      <c r="M11" s="283"/>
      <c r="N11" s="281"/>
      <c r="O11" s="281"/>
      <c r="P11" s="281"/>
      <c r="Q11" s="281"/>
      <c r="R11" s="281"/>
      <c r="S11" s="284"/>
      <c r="T11" s="303"/>
      <c r="U11" s="303"/>
      <c r="V11" s="285">
        <f t="shared" si="0"/>
        <v>0</v>
      </c>
    </row>
    <row r="12" spans="1:22" s="158" customFormat="1">
      <c r="A12" s="159">
        <v>6</v>
      </c>
      <c r="B12" s="157" t="s">
        <v>222</v>
      </c>
      <c r="C12" s="283"/>
      <c r="D12" s="281"/>
      <c r="E12" s="281"/>
      <c r="F12" s="281"/>
      <c r="G12" s="281"/>
      <c r="H12" s="281"/>
      <c r="I12" s="281"/>
      <c r="J12" s="281"/>
      <c r="K12" s="281"/>
      <c r="L12" s="284"/>
      <c r="M12" s="283"/>
      <c r="N12" s="281"/>
      <c r="O12" s="281"/>
      <c r="P12" s="281"/>
      <c r="Q12" s="281"/>
      <c r="R12" s="281"/>
      <c r="S12" s="284"/>
      <c r="T12" s="303"/>
      <c r="U12" s="303"/>
      <c r="V12" s="285">
        <f t="shared" si="0"/>
        <v>0</v>
      </c>
    </row>
    <row r="13" spans="1:22" s="158" customFormat="1">
      <c r="A13" s="159">
        <v>7</v>
      </c>
      <c r="B13" s="157" t="s">
        <v>74</v>
      </c>
      <c r="C13" s="283"/>
      <c r="D13" s="281"/>
      <c r="E13" s="281"/>
      <c r="F13" s="281"/>
      <c r="G13" s="281"/>
      <c r="H13" s="281"/>
      <c r="I13" s="281"/>
      <c r="J13" s="281"/>
      <c r="K13" s="281"/>
      <c r="L13" s="284"/>
      <c r="M13" s="283"/>
      <c r="N13" s="281"/>
      <c r="O13" s="281"/>
      <c r="P13" s="281"/>
      <c r="Q13" s="281"/>
      <c r="R13" s="281"/>
      <c r="S13" s="284"/>
      <c r="T13" s="303"/>
      <c r="U13" s="303"/>
      <c r="V13" s="285">
        <f t="shared" si="0"/>
        <v>0</v>
      </c>
    </row>
    <row r="14" spans="1:22" s="158" customFormat="1">
      <c r="A14" s="159">
        <v>8</v>
      </c>
      <c r="B14" s="157" t="s">
        <v>75</v>
      </c>
      <c r="C14" s="283"/>
      <c r="D14" s="281"/>
      <c r="E14" s="281"/>
      <c r="F14" s="281"/>
      <c r="G14" s="281"/>
      <c r="H14" s="281"/>
      <c r="I14" s="281"/>
      <c r="J14" s="281"/>
      <c r="K14" s="281"/>
      <c r="L14" s="284"/>
      <c r="M14" s="283"/>
      <c r="N14" s="281"/>
      <c r="O14" s="281"/>
      <c r="P14" s="281"/>
      <c r="Q14" s="281"/>
      <c r="R14" s="281"/>
      <c r="S14" s="284"/>
      <c r="T14" s="303"/>
      <c r="U14" s="303"/>
      <c r="V14" s="285">
        <f t="shared" si="0"/>
        <v>0</v>
      </c>
    </row>
    <row r="15" spans="1:22" s="158" customFormat="1">
      <c r="A15" s="159">
        <v>9</v>
      </c>
      <c r="B15" s="157" t="s">
        <v>76</v>
      </c>
      <c r="C15" s="283"/>
      <c r="D15" s="281"/>
      <c r="E15" s="281"/>
      <c r="F15" s="281"/>
      <c r="G15" s="281"/>
      <c r="H15" s="281"/>
      <c r="I15" s="281"/>
      <c r="J15" s="281"/>
      <c r="K15" s="281"/>
      <c r="L15" s="284"/>
      <c r="M15" s="283"/>
      <c r="N15" s="281"/>
      <c r="O15" s="281"/>
      <c r="P15" s="281"/>
      <c r="Q15" s="281"/>
      <c r="R15" s="281"/>
      <c r="S15" s="284"/>
      <c r="T15" s="303"/>
      <c r="U15" s="303"/>
      <c r="V15" s="285">
        <f t="shared" si="0"/>
        <v>0</v>
      </c>
    </row>
    <row r="16" spans="1:22" s="158" customFormat="1">
      <c r="A16" s="159">
        <v>10</v>
      </c>
      <c r="B16" s="157" t="s">
        <v>70</v>
      </c>
      <c r="C16" s="283"/>
      <c r="D16" s="281"/>
      <c r="E16" s="281"/>
      <c r="F16" s="281"/>
      <c r="G16" s="281"/>
      <c r="H16" s="281"/>
      <c r="I16" s="281"/>
      <c r="J16" s="281"/>
      <c r="K16" s="281"/>
      <c r="L16" s="284"/>
      <c r="M16" s="283"/>
      <c r="N16" s="281"/>
      <c r="O16" s="281"/>
      <c r="P16" s="281"/>
      <c r="Q16" s="281"/>
      <c r="R16" s="281"/>
      <c r="S16" s="284"/>
      <c r="T16" s="303"/>
      <c r="U16" s="303"/>
      <c r="V16" s="285">
        <f t="shared" si="0"/>
        <v>0</v>
      </c>
    </row>
    <row r="17" spans="1:22" s="158" customFormat="1">
      <c r="A17" s="159">
        <v>11</v>
      </c>
      <c r="B17" s="157" t="s">
        <v>71</v>
      </c>
      <c r="C17" s="283"/>
      <c r="D17" s="281"/>
      <c r="E17" s="281"/>
      <c r="F17" s="281"/>
      <c r="G17" s="281"/>
      <c r="H17" s="281"/>
      <c r="I17" s="281"/>
      <c r="J17" s="281"/>
      <c r="K17" s="281"/>
      <c r="L17" s="284"/>
      <c r="M17" s="283"/>
      <c r="N17" s="281"/>
      <c r="O17" s="281"/>
      <c r="P17" s="281"/>
      <c r="Q17" s="281"/>
      <c r="R17" s="281"/>
      <c r="S17" s="284"/>
      <c r="T17" s="303"/>
      <c r="U17" s="303"/>
      <c r="V17" s="285">
        <f t="shared" si="0"/>
        <v>0</v>
      </c>
    </row>
    <row r="18" spans="1:22" s="158" customFormat="1">
      <c r="A18" s="159">
        <v>12</v>
      </c>
      <c r="B18" s="157" t="s">
        <v>72</v>
      </c>
      <c r="C18" s="283"/>
      <c r="D18" s="281"/>
      <c r="E18" s="281"/>
      <c r="F18" s="281"/>
      <c r="G18" s="281"/>
      <c r="H18" s="281"/>
      <c r="I18" s="281"/>
      <c r="J18" s="281"/>
      <c r="K18" s="281"/>
      <c r="L18" s="284"/>
      <c r="M18" s="283"/>
      <c r="N18" s="281"/>
      <c r="O18" s="281"/>
      <c r="P18" s="281"/>
      <c r="Q18" s="281"/>
      <c r="R18" s="281"/>
      <c r="S18" s="284"/>
      <c r="T18" s="303"/>
      <c r="U18" s="303"/>
      <c r="V18" s="285">
        <f t="shared" si="0"/>
        <v>0</v>
      </c>
    </row>
    <row r="19" spans="1:22" s="158" customFormat="1">
      <c r="A19" s="159">
        <v>13</v>
      </c>
      <c r="B19" s="157" t="s">
        <v>73</v>
      </c>
      <c r="C19" s="283"/>
      <c r="D19" s="281"/>
      <c r="E19" s="281"/>
      <c r="F19" s="281"/>
      <c r="G19" s="281"/>
      <c r="H19" s="281"/>
      <c r="I19" s="281"/>
      <c r="J19" s="281"/>
      <c r="K19" s="281"/>
      <c r="L19" s="284"/>
      <c r="M19" s="283"/>
      <c r="N19" s="281"/>
      <c r="O19" s="281"/>
      <c r="P19" s="281"/>
      <c r="Q19" s="281"/>
      <c r="R19" s="281"/>
      <c r="S19" s="284"/>
      <c r="T19" s="303"/>
      <c r="U19" s="303"/>
      <c r="V19" s="285">
        <f t="shared" si="0"/>
        <v>0</v>
      </c>
    </row>
    <row r="20" spans="1:22" s="158" customFormat="1">
      <c r="A20" s="159">
        <v>14</v>
      </c>
      <c r="B20" s="157" t="s">
        <v>249</v>
      </c>
      <c r="C20" s="283"/>
      <c r="D20" s="281"/>
      <c r="E20" s="281"/>
      <c r="F20" s="281"/>
      <c r="G20" s="281"/>
      <c r="H20" s="281"/>
      <c r="I20" s="281"/>
      <c r="J20" s="281"/>
      <c r="K20" s="281"/>
      <c r="L20" s="284"/>
      <c r="M20" s="283"/>
      <c r="N20" s="281"/>
      <c r="O20" s="281"/>
      <c r="P20" s="281"/>
      <c r="Q20" s="281"/>
      <c r="R20" s="281"/>
      <c r="S20" s="284"/>
      <c r="T20" s="303"/>
      <c r="U20" s="303"/>
      <c r="V20" s="285">
        <f t="shared" si="0"/>
        <v>0</v>
      </c>
    </row>
    <row r="21" spans="1:22" ht="13.5" thickBot="1">
      <c r="A21" s="101"/>
      <c r="B21" s="102" t="s">
        <v>69</v>
      </c>
      <c r="C21" s="286">
        <f>SUM(C7:C20)</f>
        <v>0</v>
      </c>
      <c r="D21" s="282">
        <f t="shared" ref="D21:V21" si="1">SUM(D7:D20)</f>
        <v>0</v>
      </c>
      <c r="E21" s="282">
        <f t="shared" si="1"/>
        <v>0</v>
      </c>
      <c r="F21" s="282">
        <f t="shared" si="1"/>
        <v>0</v>
      </c>
      <c r="G21" s="282">
        <f t="shared" si="1"/>
        <v>0</v>
      </c>
      <c r="H21" s="282">
        <f t="shared" si="1"/>
        <v>0</v>
      </c>
      <c r="I21" s="282">
        <f t="shared" si="1"/>
        <v>0</v>
      </c>
      <c r="J21" s="282">
        <f t="shared" si="1"/>
        <v>0</v>
      </c>
      <c r="K21" s="282">
        <f t="shared" si="1"/>
        <v>0</v>
      </c>
      <c r="L21" s="287">
        <f t="shared" si="1"/>
        <v>0</v>
      </c>
      <c r="M21" s="286">
        <f t="shared" si="1"/>
        <v>0</v>
      </c>
      <c r="N21" s="282">
        <f t="shared" si="1"/>
        <v>0</v>
      </c>
      <c r="O21" s="282">
        <f t="shared" si="1"/>
        <v>0</v>
      </c>
      <c r="P21" s="282">
        <f t="shared" si="1"/>
        <v>0</v>
      </c>
      <c r="Q21" s="282">
        <f t="shared" si="1"/>
        <v>0</v>
      </c>
      <c r="R21" s="282">
        <f t="shared" si="1"/>
        <v>0</v>
      </c>
      <c r="S21" s="287">
        <f t="shared" si="1"/>
        <v>0</v>
      </c>
      <c r="T21" s="287">
        <f>SUM(T7:T20)</f>
        <v>0</v>
      </c>
      <c r="U21" s="287">
        <f t="shared" si="1"/>
        <v>0</v>
      </c>
      <c r="V21" s="288">
        <f t="shared" si="1"/>
        <v>0</v>
      </c>
    </row>
    <row r="24" spans="1:22">
      <c r="A24" s="18"/>
      <c r="B24" s="18"/>
      <c r="C24" s="70"/>
      <c r="D24" s="70"/>
      <c r="E24" s="70"/>
    </row>
    <row r="25" spans="1:22">
      <c r="A25" s="94"/>
      <c r="B25" s="94"/>
      <c r="C25" s="18"/>
      <c r="D25" s="70"/>
      <c r="E25" s="70"/>
    </row>
    <row r="26" spans="1:22">
      <c r="A26" s="94"/>
      <c r="B26" s="95"/>
      <c r="C26" s="18"/>
      <c r="D26" s="70"/>
      <c r="E26" s="70"/>
    </row>
    <row r="27" spans="1:22">
      <c r="A27" s="94"/>
      <c r="B27" s="94"/>
      <c r="C27" s="18"/>
      <c r="D27" s="70"/>
      <c r="E27" s="70"/>
    </row>
    <row r="28" spans="1:22">
      <c r="A28" s="94"/>
      <c r="B28" s="95"/>
      <c r="C28" s="18"/>
      <c r="D28" s="70"/>
      <c r="E28" s="7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C13" activePane="bottomRight" state="frozen"/>
      <selection activeCell="L18" sqref="L18"/>
      <selection pane="topRight" activeCell="L18" sqref="L18"/>
      <selection pane="bottomLeft" activeCell="L18" sqref="L18"/>
      <selection pane="bottomRight" activeCell="C8" sqref="C8:G21"/>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38" t="str">
        <f>Info!C2</f>
        <v>სს "კრედო ბანკი"</v>
      </c>
    </row>
    <row r="2" spans="1:9">
      <c r="A2" s="2" t="s">
        <v>190</v>
      </c>
      <c r="B2" s="472">
        <f>'1. key ratios'!B2</f>
        <v>44469</v>
      </c>
    </row>
    <row r="4" spans="1:9" ht="13.5" thickBot="1">
      <c r="A4" s="2" t="s">
        <v>340</v>
      </c>
      <c r="B4" s="306" t="s">
        <v>361</v>
      </c>
    </row>
    <row r="5" spans="1:9">
      <c r="A5" s="99"/>
      <c r="B5" s="155"/>
      <c r="C5" s="161" t="s">
        <v>0</v>
      </c>
      <c r="D5" s="161" t="s">
        <v>1</v>
      </c>
      <c r="E5" s="161" t="s">
        <v>2</v>
      </c>
      <c r="F5" s="161" t="s">
        <v>3</v>
      </c>
      <c r="G5" s="301" t="s">
        <v>4</v>
      </c>
      <c r="H5" s="162" t="s">
        <v>6</v>
      </c>
      <c r="I5" s="24"/>
    </row>
    <row r="6" spans="1:9" ht="15" customHeight="1">
      <c r="A6" s="154"/>
      <c r="B6" s="22"/>
      <c r="C6" s="719" t="s">
        <v>353</v>
      </c>
      <c r="D6" s="723" t="s">
        <v>363</v>
      </c>
      <c r="E6" s="724"/>
      <c r="F6" s="719" t="s">
        <v>364</v>
      </c>
      <c r="G6" s="719" t="s">
        <v>365</v>
      </c>
      <c r="H6" s="721" t="s">
        <v>355</v>
      </c>
      <c r="I6" s="24"/>
    </row>
    <row r="7" spans="1:9" ht="76.5">
      <c r="A7" s="154"/>
      <c r="B7" s="22"/>
      <c r="C7" s="720"/>
      <c r="D7" s="305" t="s">
        <v>356</v>
      </c>
      <c r="E7" s="305" t="s">
        <v>354</v>
      </c>
      <c r="F7" s="720"/>
      <c r="G7" s="720"/>
      <c r="H7" s="722"/>
      <c r="I7" s="24"/>
    </row>
    <row r="8" spans="1:9">
      <c r="A8" s="90">
        <v>1</v>
      </c>
      <c r="B8" s="72" t="s">
        <v>217</v>
      </c>
      <c r="C8" s="289">
        <v>100923436.76000001</v>
      </c>
      <c r="D8" s="290"/>
      <c r="E8" s="289"/>
      <c r="F8" s="289">
        <v>18150212.059999999</v>
      </c>
      <c r="G8" s="302">
        <v>18150212.059999999</v>
      </c>
      <c r="H8" s="311">
        <f>IFERROR(G8/(C8+E8),"")</f>
        <v>0.1798413990118265</v>
      </c>
    </row>
    <row r="9" spans="1:9" ht="15" customHeight="1">
      <c r="A9" s="90">
        <v>2</v>
      </c>
      <c r="B9" s="72" t="s">
        <v>218</v>
      </c>
      <c r="C9" s="289"/>
      <c r="D9" s="290"/>
      <c r="E9" s="289"/>
      <c r="F9" s="289"/>
      <c r="G9" s="302"/>
      <c r="H9" s="311" t="str">
        <f t="shared" ref="H9:H21" si="0">IFERROR(G9/(C9+E9),"")</f>
        <v/>
      </c>
    </row>
    <row r="10" spans="1:9">
      <c r="A10" s="90">
        <v>3</v>
      </c>
      <c r="B10" s="72" t="s">
        <v>219</v>
      </c>
      <c r="C10" s="289"/>
      <c r="D10" s="290"/>
      <c r="E10" s="289"/>
      <c r="F10" s="289"/>
      <c r="G10" s="302"/>
      <c r="H10" s="311" t="str">
        <f t="shared" si="0"/>
        <v/>
      </c>
    </row>
    <row r="11" spans="1:9">
      <c r="A11" s="90">
        <v>4</v>
      </c>
      <c r="B11" s="72" t="s">
        <v>220</v>
      </c>
      <c r="C11" s="289">
        <v>26123802.739999998</v>
      </c>
      <c r="D11" s="290"/>
      <c r="E11" s="289"/>
      <c r="F11" s="289">
        <v>0</v>
      </c>
      <c r="G11" s="302">
        <v>0</v>
      </c>
      <c r="H11" s="311">
        <f t="shared" si="0"/>
        <v>0</v>
      </c>
    </row>
    <row r="12" spans="1:9">
      <c r="A12" s="90">
        <v>5</v>
      </c>
      <c r="B12" s="72" t="s">
        <v>221</v>
      </c>
      <c r="C12" s="289"/>
      <c r="D12" s="290"/>
      <c r="E12" s="289"/>
      <c r="F12" s="289"/>
      <c r="G12" s="302"/>
      <c r="H12" s="311" t="str">
        <f t="shared" si="0"/>
        <v/>
      </c>
    </row>
    <row r="13" spans="1:9">
      <c r="A13" s="90">
        <v>6</v>
      </c>
      <c r="B13" s="72" t="s">
        <v>222</v>
      </c>
      <c r="C13" s="289">
        <v>94222164.5</v>
      </c>
      <c r="D13" s="290"/>
      <c r="E13" s="289"/>
      <c r="F13" s="289">
        <v>39691633.785000004</v>
      </c>
      <c r="G13" s="302">
        <v>39691633.785000004</v>
      </c>
      <c r="H13" s="311">
        <f t="shared" si="0"/>
        <v>0.42125580531531948</v>
      </c>
    </row>
    <row r="14" spans="1:9">
      <c r="A14" s="90">
        <v>7</v>
      </c>
      <c r="B14" s="72" t="s">
        <v>74</v>
      </c>
      <c r="C14" s="289"/>
      <c r="D14" s="290"/>
      <c r="E14" s="289"/>
      <c r="F14" s="290"/>
      <c r="G14" s="350"/>
      <c r="H14" s="311" t="str">
        <f t="shared" si="0"/>
        <v/>
      </c>
    </row>
    <row r="15" spans="1:9">
      <c r="A15" s="90">
        <v>8</v>
      </c>
      <c r="B15" s="72" t="s">
        <v>75</v>
      </c>
      <c r="C15" s="290">
        <v>1103568381.6066251</v>
      </c>
      <c r="D15" s="290">
        <v>29763625.300000001</v>
      </c>
      <c r="E15" s="289">
        <v>4880434.375</v>
      </c>
      <c r="F15" s="290">
        <v>831336611.98621881</v>
      </c>
      <c r="G15" s="350">
        <v>831336611.98621881</v>
      </c>
      <c r="H15" s="311">
        <f t="shared" si="0"/>
        <v>0.75</v>
      </c>
    </row>
    <row r="16" spans="1:9">
      <c r="A16" s="90">
        <v>9</v>
      </c>
      <c r="B16" s="72" t="s">
        <v>76</v>
      </c>
      <c r="C16" s="289"/>
      <c r="D16" s="290"/>
      <c r="E16" s="289"/>
      <c r="F16" s="290"/>
      <c r="G16" s="350"/>
      <c r="H16" s="311" t="str">
        <f t="shared" si="0"/>
        <v/>
      </c>
    </row>
    <row r="17" spans="1:8">
      <c r="A17" s="90">
        <v>10</v>
      </c>
      <c r="B17" s="72" t="s">
        <v>70</v>
      </c>
      <c r="C17" s="289">
        <v>5699335.1595756719</v>
      </c>
      <c r="D17" s="290"/>
      <c r="E17" s="289"/>
      <c r="F17" s="290">
        <v>5958570.8071110286</v>
      </c>
      <c r="G17" s="350">
        <v>5958570.8071110286</v>
      </c>
      <c r="H17" s="311">
        <f t="shared" si="0"/>
        <v>1.0454852435024469</v>
      </c>
    </row>
    <row r="18" spans="1:8">
      <c r="A18" s="90">
        <v>11</v>
      </c>
      <c r="B18" s="72" t="s">
        <v>71</v>
      </c>
      <c r="C18" s="289">
        <v>101425296.44822773</v>
      </c>
      <c r="D18" s="290"/>
      <c r="E18" s="289"/>
      <c r="F18" s="290">
        <v>108391369.93883848</v>
      </c>
      <c r="G18" s="350">
        <v>108391369.93883848</v>
      </c>
      <c r="H18" s="311">
        <f t="shared" si="0"/>
        <v>1.0686818154302025</v>
      </c>
    </row>
    <row r="19" spans="1:8">
      <c r="A19" s="90">
        <v>12</v>
      </c>
      <c r="B19" s="72" t="s">
        <v>72</v>
      </c>
      <c r="C19" s="289"/>
      <c r="D19" s="290"/>
      <c r="E19" s="289"/>
      <c r="F19" s="290"/>
      <c r="G19" s="350"/>
      <c r="H19" s="311" t="str">
        <f t="shared" si="0"/>
        <v/>
      </c>
    </row>
    <row r="20" spans="1:8">
      <c r="A20" s="90">
        <v>13</v>
      </c>
      <c r="B20" s="72" t="s">
        <v>73</v>
      </c>
      <c r="C20" s="289"/>
      <c r="D20" s="290"/>
      <c r="E20" s="289"/>
      <c r="F20" s="290"/>
      <c r="G20" s="350"/>
      <c r="H20" s="311" t="str">
        <f t="shared" si="0"/>
        <v/>
      </c>
    </row>
    <row r="21" spans="1:8">
      <c r="A21" s="90">
        <v>14</v>
      </c>
      <c r="B21" s="72" t="s">
        <v>249</v>
      </c>
      <c r="C21" s="289">
        <v>121418500.91499998</v>
      </c>
      <c r="D21" s="290"/>
      <c r="E21" s="289"/>
      <c r="F21" s="290">
        <v>96114882.92749992</v>
      </c>
      <c r="G21" s="350">
        <v>96114882.92749992</v>
      </c>
      <c r="H21" s="311">
        <f t="shared" si="0"/>
        <v>0.79159998025989409</v>
      </c>
    </row>
    <row r="22" spans="1:8" ht="13.5" thickBot="1">
      <c r="A22" s="156"/>
      <c r="B22" s="163" t="s">
        <v>69</v>
      </c>
      <c r="C22" s="282">
        <f>SUM(C8:C21)</f>
        <v>1553380918.1294284</v>
      </c>
      <c r="D22" s="282">
        <f>SUM(D8:D21)</f>
        <v>29763625.300000001</v>
      </c>
      <c r="E22" s="282">
        <f>SUM(E8:E21)</f>
        <v>4880434.375</v>
      </c>
      <c r="F22" s="282">
        <f>SUM(F8:F21)</f>
        <v>1099643281.5046682</v>
      </c>
      <c r="G22" s="282">
        <f>SUM(G8:G21)</f>
        <v>1099643281.5046682</v>
      </c>
      <c r="H22" s="617">
        <f>G22/(C22+E22)</f>
        <v>0.70568603895445914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E12" activePane="bottomRight" state="frozen"/>
      <selection pane="topRight" activeCell="C1" sqref="C1"/>
      <selection pane="bottomLeft" activeCell="A6" sqref="A6"/>
      <selection pane="bottomRight" activeCell="H25" sqref="H25"/>
    </sheetView>
  </sheetViews>
  <sheetFormatPr defaultColWidth="9.140625" defaultRowHeight="12.75"/>
  <cols>
    <col min="1" max="1" width="10.5703125" style="338" bestFit="1" customWidth="1"/>
    <col min="2" max="2" width="92.28515625" style="338" customWidth="1"/>
    <col min="3" max="11" width="12.7109375" style="338" customWidth="1"/>
    <col min="12" max="16384" width="9.140625" style="338"/>
  </cols>
  <sheetData>
    <row r="1" spans="1:11">
      <c r="A1" s="338" t="s">
        <v>189</v>
      </c>
      <c r="B1" s="338" t="str">
        <f>Info!C2</f>
        <v>სს "კრედო ბანკი"</v>
      </c>
    </row>
    <row r="2" spans="1:11">
      <c r="A2" s="338" t="s">
        <v>190</v>
      </c>
      <c r="B2" s="472">
        <f>'1. key ratios'!B2</f>
        <v>44469</v>
      </c>
      <c r="C2" s="339"/>
      <c r="D2" s="339"/>
    </row>
    <row r="3" spans="1:11">
      <c r="B3" s="339"/>
      <c r="C3" s="339"/>
      <c r="D3" s="339"/>
    </row>
    <row r="4" spans="1:11" ht="13.5" thickBot="1">
      <c r="A4" s="338" t="s">
        <v>393</v>
      </c>
      <c r="B4" s="306" t="s">
        <v>392</v>
      </c>
      <c r="C4" s="339"/>
      <c r="D4" s="339"/>
    </row>
    <row r="5" spans="1:11" ht="30" customHeight="1">
      <c r="A5" s="728"/>
      <c r="B5" s="729"/>
      <c r="C5" s="726" t="s">
        <v>424</v>
      </c>
      <c r="D5" s="726"/>
      <c r="E5" s="726"/>
      <c r="F5" s="726" t="s">
        <v>425</v>
      </c>
      <c r="G5" s="726"/>
      <c r="H5" s="726"/>
      <c r="I5" s="726" t="s">
        <v>426</v>
      </c>
      <c r="J5" s="726"/>
      <c r="K5" s="727"/>
    </row>
    <row r="6" spans="1:11">
      <c r="A6" s="336"/>
      <c r="B6" s="337"/>
      <c r="C6" s="340" t="s">
        <v>28</v>
      </c>
      <c r="D6" s="340" t="s">
        <v>97</v>
      </c>
      <c r="E6" s="340" t="s">
        <v>69</v>
      </c>
      <c r="F6" s="340" t="s">
        <v>28</v>
      </c>
      <c r="G6" s="340" t="s">
        <v>97</v>
      </c>
      <c r="H6" s="340" t="s">
        <v>69</v>
      </c>
      <c r="I6" s="340" t="s">
        <v>28</v>
      </c>
      <c r="J6" s="340" t="s">
        <v>97</v>
      </c>
      <c r="K6" s="341" t="s">
        <v>69</v>
      </c>
    </row>
    <row r="7" spans="1:11">
      <c r="A7" s="342" t="s">
        <v>372</v>
      </c>
      <c r="B7" s="335"/>
      <c r="C7" s="335"/>
      <c r="D7" s="335"/>
      <c r="E7" s="335"/>
      <c r="F7" s="335"/>
      <c r="G7" s="335"/>
      <c r="H7" s="335"/>
      <c r="I7" s="335"/>
      <c r="J7" s="335"/>
      <c r="K7" s="343"/>
    </row>
    <row r="8" spans="1:11">
      <c r="A8" s="334">
        <v>1</v>
      </c>
      <c r="B8" s="318" t="s">
        <v>372</v>
      </c>
      <c r="C8" s="316"/>
      <c r="D8" s="316"/>
      <c r="E8" s="316"/>
      <c r="F8" s="620">
        <v>90740310.382859007</v>
      </c>
      <c r="G8" s="620">
        <v>108337602.50805216</v>
      </c>
      <c r="H8" s="620">
        <f>F8+G8</f>
        <v>199077912.89091116</v>
      </c>
      <c r="I8" s="620">
        <v>73164811.718609869</v>
      </c>
      <c r="J8" s="620">
        <v>44986545.465588577</v>
      </c>
      <c r="K8" s="621">
        <f>I8+J8</f>
        <v>118151357.18419844</v>
      </c>
    </row>
    <row r="9" spans="1:11">
      <c r="A9" s="342" t="s">
        <v>373</v>
      </c>
      <c r="B9" s="335"/>
      <c r="C9" s="335"/>
      <c r="D9" s="335"/>
      <c r="E9" s="335"/>
      <c r="F9" s="335"/>
      <c r="G9" s="335"/>
      <c r="H9" s="620"/>
      <c r="I9" s="335"/>
      <c r="J9" s="335"/>
      <c r="K9" s="621"/>
    </row>
    <row r="10" spans="1:11">
      <c r="A10" s="344">
        <v>2</v>
      </c>
      <c r="B10" s="319" t="s">
        <v>374</v>
      </c>
      <c r="C10" s="501">
        <v>68512712.782727286</v>
      </c>
      <c r="D10" s="618">
        <v>38318319.190606058</v>
      </c>
      <c r="E10" s="618">
        <f>C10+D10</f>
        <v>106831031.97333334</v>
      </c>
      <c r="F10" s="618">
        <v>20553813.834818184</v>
      </c>
      <c r="G10" s="618">
        <v>11495495.757181818</v>
      </c>
      <c r="H10" s="620">
        <f t="shared" ref="H10:H19" si="0">F10+G10</f>
        <v>32049309.592</v>
      </c>
      <c r="I10" s="618">
        <v>3425635.6391363647</v>
      </c>
      <c r="J10" s="618">
        <v>1915915.959530303</v>
      </c>
      <c r="K10" s="621">
        <f t="shared" ref="K10:K19" si="1">I10+J10</f>
        <v>5341551.5986666679</v>
      </c>
    </row>
    <row r="11" spans="1:11">
      <c r="A11" s="344">
        <v>3</v>
      </c>
      <c r="B11" s="319" t="s">
        <v>375</v>
      </c>
      <c r="C11" s="501">
        <v>92765330.067809418</v>
      </c>
      <c r="D11" s="618">
        <v>16502251.549164595</v>
      </c>
      <c r="E11" s="618">
        <f t="shared" ref="E11:E19" si="2">C11+D11</f>
        <v>109267581.61697401</v>
      </c>
      <c r="F11" s="618">
        <v>50745605.342107594</v>
      </c>
      <c r="G11" s="618">
        <v>13447029.873378234</v>
      </c>
      <c r="H11" s="620">
        <f t="shared" si="0"/>
        <v>64192635.215485826</v>
      </c>
      <c r="I11" s="618">
        <v>42219174.160682142</v>
      </c>
      <c r="J11" s="618">
        <v>12683224.454431642</v>
      </c>
      <c r="K11" s="621">
        <f t="shared" si="1"/>
        <v>54902398.61511378</v>
      </c>
    </row>
    <row r="12" spans="1:11">
      <c r="A12" s="344">
        <v>4</v>
      </c>
      <c r="B12" s="319" t="s">
        <v>376</v>
      </c>
      <c r="C12" s="501">
        <v>40000000</v>
      </c>
      <c r="D12" s="618"/>
      <c r="E12" s="618">
        <f t="shared" si="2"/>
        <v>40000000</v>
      </c>
      <c r="F12" s="618"/>
      <c r="G12" s="618"/>
      <c r="H12" s="620"/>
      <c r="I12" s="618"/>
      <c r="J12" s="618"/>
      <c r="K12" s="621"/>
    </row>
    <row r="13" spans="1:11">
      <c r="A13" s="344">
        <v>5</v>
      </c>
      <c r="B13" s="319" t="s">
        <v>377</v>
      </c>
      <c r="C13" s="501">
        <v>26821318.281060606</v>
      </c>
      <c r="D13" s="618">
        <v>2697987.4233333333</v>
      </c>
      <c r="E13" s="618">
        <f t="shared" si="2"/>
        <v>29519305.704393938</v>
      </c>
      <c r="F13" s="618">
        <v>8046395.4843181819</v>
      </c>
      <c r="G13" s="618">
        <v>809396.22699999996</v>
      </c>
      <c r="H13" s="620">
        <f t="shared" si="0"/>
        <v>8855791.7113181818</v>
      </c>
      <c r="I13" s="618">
        <v>1341065.9140530303</v>
      </c>
      <c r="J13" s="618">
        <v>134899.37116666668</v>
      </c>
      <c r="K13" s="621">
        <f t="shared" si="1"/>
        <v>1475965.285219697</v>
      </c>
    </row>
    <row r="14" spans="1:11">
      <c r="A14" s="344">
        <v>6</v>
      </c>
      <c r="B14" s="319" t="s">
        <v>391</v>
      </c>
      <c r="C14" s="501"/>
      <c r="D14" s="618"/>
      <c r="E14" s="618"/>
      <c r="F14" s="618"/>
      <c r="G14" s="618"/>
      <c r="H14" s="620"/>
      <c r="I14" s="618"/>
      <c r="J14" s="618"/>
      <c r="K14" s="621"/>
    </row>
    <row r="15" spans="1:11">
      <c r="A15" s="344">
        <v>7</v>
      </c>
      <c r="B15" s="319" t="s">
        <v>378</v>
      </c>
      <c r="C15" s="501">
        <v>6915777.7883333331</v>
      </c>
      <c r="D15" s="618">
        <v>2449754.1318159089</v>
      </c>
      <c r="E15" s="618">
        <f t="shared" si="2"/>
        <v>9365531.9201492425</v>
      </c>
      <c r="F15" s="618">
        <v>6915777.7883333331</v>
      </c>
      <c r="G15" s="618">
        <v>2449754.1318159089</v>
      </c>
      <c r="H15" s="620">
        <f t="shared" si="0"/>
        <v>9365531.9201492425</v>
      </c>
      <c r="I15" s="618">
        <v>6915777.7883333331</v>
      </c>
      <c r="J15" s="618">
        <v>2449754.1318159089</v>
      </c>
      <c r="K15" s="621">
        <f t="shared" si="1"/>
        <v>9365531.9201492425</v>
      </c>
    </row>
    <row r="16" spans="1:11">
      <c r="A16" s="344">
        <v>8</v>
      </c>
      <c r="B16" s="321" t="s">
        <v>379</v>
      </c>
      <c r="C16" s="622">
        <f t="shared" ref="C16:K16" si="3">SUM(C10:C15)</f>
        <v>235015138.91993064</v>
      </c>
      <c r="D16" s="622">
        <f t="shared" si="3"/>
        <v>59968312.294919893</v>
      </c>
      <c r="E16" s="622">
        <f t="shared" si="3"/>
        <v>294983451.21485054</v>
      </c>
      <c r="F16" s="622">
        <f t="shared" si="3"/>
        <v>86261592.449577287</v>
      </c>
      <c r="G16" s="622">
        <f t="shared" si="3"/>
        <v>28201675.989375964</v>
      </c>
      <c r="H16" s="622">
        <f t="shared" si="3"/>
        <v>114463268.43895324</v>
      </c>
      <c r="I16" s="622">
        <f t="shared" si="3"/>
        <v>53901653.502204873</v>
      </c>
      <c r="J16" s="622">
        <f t="shared" si="3"/>
        <v>17183793.916944522</v>
      </c>
      <c r="K16" s="622">
        <f t="shared" si="3"/>
        <v>71085447.419149384</v>
      </c>
    </row>
    <row r="17" spans="1:11">
      <c r="A17" s="342" t="s">
        <v>380</v>
      </c>
      <c r="B17" s="335"/>
      <c r="C17" s="619"/>
      <c r="D17" s="619"/>
      <c r="E17" s="618"/>
      <c r="F17" s="619"/>
      <c r="G17" s="619"/>
      <c r="H17" s="620"/>
      <c r="I17" s="619"/>
      <c r="J17" s="619"/>
      <c r="K17" s="621"/>
    </row>
    <row r="18" spans="1:11">
      <c r="A18" s="344">
        <v>9</v>
      </c>
      <c r="B18" s="319" t="s">
        <v>381</v>
      </c>
      <c r="C18" s="501"/>
      <c r="D18" s="618"/>
      <c r="E18" s="618"/>
      <c r="F18" s="618"/>
      <c r="G18" s="618"/>
      <c r="H18" s="620"/>
      <c r="I18" s="618"/>
      <c r="J18" s="618"/>
      <c r="K18" s="621"/>
    </row>
    <row r="19" spans="1:11">
      <c r="A19" s="344">
        <v>10</v>
      </c>
      <c r="B19" s="319" t="s">
        <v>382</v>
      </c>
      <c r="C19" s="501">
        <v>62175470.387778789</v>
      </c>
      <c r="D19" s="618">
        <v>552292.54073039396</v>
      </c>
      <c r="E19" s="618">
        <f t="shared" si="2"/>
        <v>62727762.928509183</v>
      </c>
      <c r="F19" s="618">
        <v>31087735.193889394</v>
      </c>
      <c r="G19" s="618">
        <v>276146.27036519698</v>
      </c>
      <c r="H19" s="620">
        <f t="shared" si="0"/>
        <v>31363881.464254592</v>
      </c>
      <c r="I19" s="618">
        <v>89389513.224192441</v>
      </c>
      <c r="J19" s="618">
        <v>64780415.774153076</v>
      </c>
      <c r="K19" s="621">
        <f t="shared" si="1"/>
        <v>154169928.99834552</v>
      </c>
    </row>
    <row r="20" spans="1:11">
      <c r="A20" s="344">
        <v>11</v>
      </c>
      <c r="B20" s="319" t="s">
        <v>383</v>
      </c>
      <c r="C20" s="319"/>
      <c r="D20" s="320"/>
      <c r="E20" s="320"/>
      <c r="F20" s="320"/>
      <c r="G20" s="320"/>
      <c r="H20" s="320"/>
      <c r="I20" s="320"/>
      <c r="J20" s="320"/>
      <c r="K20" s="345"/>
    </row>
    <row r="21" spans="1:11" ht="13.5" thickBot="1">
      <c r="A21" s="221">
        <v>12</v>
      </c>
      <c r="B21" s="346" t="s">
        <v>384</v>
      </c>
      <c r="C21" s="623">
        <f>SUM(C18:C20)</f>
        <v>62175470.387778789</v>
      </c>
      <c r="D21" s="623">
        <f t="shared" ref="D21:K21" si="4">SUM(D18:D20)</f>
        <v>552292.54073039396</v>
      </c>
      <c r="E21" s="623">
        <f t="shared" si="4"/>
        <v>62727762.928509183</v>
      </c>
      <c r="F21" s="623">
        <f t="shared" si="4"/>
        <v>31087735.193889394</v>
      </c>
      <c r="G21" s="623">
        <f t="shared" si="4"/>
        <v>276146.27036519698</v>
      </c>
      <c r="H21" s="623">
        <f t="shared" si="4"/>
        <v>31363881.464254592</v>
      </c>
      <c r="I21" s="623">
        <f t="shared" si="4"/>
        <v>89389513.224192441</v>
      </c>
      <c r="J21" s="623">
        <f t="shared" si="4"/>
        <v>64780415.774153076</v>
      </c>
      <c r="K21" s="623">
        <f t="shared" si="4"/>
        <v>154169928.99834552</v>
      </c>
    </row>
    <row r="22" spans="1:11" ht="38.25" customHeight="1" thickBot="1">
      <c r="A22" s="332"/>
      <c r="B22" s="333"/>
      <c r="C22" s="333"/>
      <c r="D22" s="333"/>
      <c r="E22" s="333"/>
      <c r="F22" s="725" t="s">
        <v>385</v>
      </c>
      <c r="G22" s="726"/>
      <c r="H22" s="726"/>
      <c r="I22" s="725" t="s">
        <v>386</v>
      </c>
      <c r="J22" s="726"/>
      <c r="K22" s="727"/>
    </row>
    <row r="23" spans="1:11" ht="13.5" thickBot="1">
      <c r="A23" s="325">
        <v>13</v>
      </c>
      <c r="B23" s="322" t="s">
        <v>372</v>
      </c>
      <c r="C23" s="331"/>
      <c r="D23" s="331"/>
      <c r="E23" s="331"/>
      <c r="F23" s="624">
        <f>F8</f>
        <v>90740310.382859007</v>
      </c>
      <c r="G23" s="624">
        <f>G8</f>
        <v>108337602.50805216</v>
      </c>
      <c r="H23" s="625">
        <f>F23+G23</f>
        <v>199077912.89091116</v>
      </c>
      <c r="I23" s="624">
        <f>I8</f>
        <v>73164811.718609869</v>
      </c>
      <c r="J23" s="624">
        <f>J8</f>
        <v>44986545.465588577</v>
      </c>
      <c r="K23" s="626">
        <f>I23+J23</f>
        <v>118151357.18419844</v>
      </c>
    </row>
    <row r="24" spans="1:11" ht="13.5" thickBot="1">
      <c r="A24" s="326">
        <v>14</v>
      </c>
      <c r="B24" s="323" t="s">
        <v>387</v>
      </c>
      <c r="C24" s="347"/>
      <c r="D24" s="329"/>
      <c r="E24" s="330"/>
      <c r="F24" s="627">
        <f>MAX(F16-F21,F16*0.25)</f>
        <v>55173857.255687892</v>
      </c>
      <c r="G24" s="627">
        <f>MAX(G16-G21,G16*0.25)</f>
        <v>27925529.719010767</v>
      </c>
      <c r="H24" s="625">
        <f>F24+G24</f>
        <v>83099386.974698663</v>
      </c>
      <c r="I24" s="627">
        <f>MAX(I16-I21,I16*0.25)</f>
        <v>13475413.375551218</v>
      </c>
      <c r="J24" s="627">
        <f>MAX(J16-J21,J16*0.25)</f>
        <v>4295948.4792361306</v>
      </c>
      <c r="K24" s="626">
        <f>I24+J24</f>
        <v>17771361.85478735</v>
      </c>
    </row>
    <row r="25" spans="1:11" ht="13.5" thickBot="1">
      <c r="A25" s="327">
        <v>15</v>
      </c>
      <c r="B25" s="324" t="s">
        <v>388</v>
      </c>
      <c r="C25" s="328"/>
      <c r="D25" s="328"/>
      <c r="E25" s="328"/>
      <c r="F25" s="628">
        <f t="shared" ref="F25:K25" si="5">F23/F24</f>
        <v>1.6446250977586774</v>
      </c>
      <c r="G25" s="628">
        <f t="shared" si="5"/>
        <v>3.8795182615389936</v>
      </c>
      <c r="H25" s="628">
        <f t="shared" si="5"/>
        <v>2.3956604270922548</v>
      </c>
      <c r="I25" s="628">
        <f t="shared" si="5"/>
        <v>5.4295040663728082</v>
      </c>
      <c r="J25" s="628">
        <f t="shared" si="5"/>
        <v>10.471854046440452</v>
      </c>
      <c r="K25" s="629">
        <f t="shared" si="5"/>
        <v>6.6484132251445978</v>
      </c>
    </row>
    <row r="28" spans="1:11" ht="38.25">
      <c r="B28" s="23" t="s">
        <v>423</v>
      </c>
    </row>
  </sheetData>
  <mergeCells count="6">
    <mergeCell ref="F22:H22"/>
    <mergeCell ref="I22:K22"/>
    <mergeCell ref="A5:B5"/>
    <mergeCell ref="C5:E5"/>
    <mergeCell ref="F5:H5"/>
    <mergeCell ref="I5:K5"/>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9" sqref="C9"/>
    </sheetView>
  </sheetViews>
  <sheetFormatPr defaultColWidth="9.140625" defaultRowHeight="15"/>
  <cols>
    <col min="1" max="1" width="10.5703125" style="67" bestFit="1" customWidth="1"/>
    <col min="2" max="2" width="95" style="67" customWidth="1"/>
    <col min="3" max="3" width="12.5703125" style="67" bestFit="1" customWidth="1"/>
    <col min="4" max="4" width="10" style="67" bestFit="1" customWidth="1"/>
    <col min="5" max="5" width="18.28515625" style="67" bestFit="1" customWidth="1"/>
    <col min="6" max="13" width="10.7109375" style="67" customWidth="1"/>
    <col min="14" max="14" width="31" style="67" bestFit="1" customWidth="1"/>
    <col min="15" max="16384" width="9.140625" style="13"/>
  </cols>
  <sheetData>
    <row r="1" spans="1:14">
      <c r="A1" s="5" t="s">
        <v>189</v>
      </c>
      <c r="B1" s="67" t="str">
        <f>Info!C2</f>
        <v>სს "კრედო ბანკი"</v>
      </c>
    </row>
    <row r="2" spans="1:14" ht="14.25" customHeight="1">
      <c r="A2" s="67" t="s">
        <v>190</v>
      </c>
      <c r="B2" s="472">
        <f>'1. key ratios'!B2</f>
        <v>44469</v>
      </c>
    </row>
    <row r="3" spans="1:14" ht="14.25" customHeight="1"/>
    <row r="4" spans="1:14" ht="15.75" thickBot="1">
      <c r="A4" s="2" t="s">
        <v>341</v>
      </c>
      <c r="B4" s="92" t="s">
        <v>78</v>
      </c>
    </row>
    <row r="5" spans="1:14" s="25" customFormat="1" ht="12.75">
      <c r="A5" s="172"/>
      <c r="B5" s="173"/>
      <c r="C5" s="174" t="s">
        <v>0</v>
      </c>
      <c r="D5" s="174" t="s">
        <v>1</v>
      </c>
      <c r="E5" s="174" t="s">
        <v>2</v>
      </c>
      <c r="F5" s="174" t="s">
        <v>3</v>
      </c>
      <c r="G5" s="174" t="s">
        <v>4</v>
      </c>
      <c r="H5" s="174" t="s">
        <v>6</v>
      </c>
      <c r="I5" s="174" t="s">
        <v>238</v>
      </c>
      <c r="J5" s="174" t="s">
        <v>239</v>
      </c>
      <c r="K5" s="174" t="s">
        <v>240</v>
      </c>
      <c r="L5" s="174" t="s">
        <v>241</v>
      </c>
      <c r="M5" s="174" t="s">
        <v>242</v>
      </c>
      <c r="N5" s="175" t="s">
        <v>243</v>
      </c>
    </row>
    <row r="6" spans="1:14" ht="45">
      <c r="A6" s="164"/>
      <c r="B6" s="104"/>
      <c r="C6" s="105" t="s">
        <v>88</v>
      </c>
      <c r="D6" s="106" t="s">
        <v>77</v>
      </c>
      <c r="E6" s="107" t="s">
        <v>87</v>
      </c>
      <c r="F6" s="108">
        <v>0</v>
      </c>
      <c r="G6" s="108">
        <v>0.2</v>
      </c>
      <c r="H6" s="108">
        <v>0.35</v>
      </c>
      <c r="I6" s="108">
        <v>0.5</v>
      </c>
      <c r="J6" s="108">
        <v>0.75</v>
      </c>
      <c r="K6" s="108">
        <v>1</v>
      </c>
      <c r="L6" s="108">
        <v>1.5</v>
      </c>
      <c r="M6" s="108">
        <v>2.5</v>
      </c>
      <c r="N6" s="165" t="s">
        <v>78</v>
      </c>
    </row>
    <row r="7" spans="1:14">
      <c r="A7" s="166">
        <v>1</v>
      </c>
      <c r="B7" s="109" t="s">
        <v>79</v>
      </c>
      <c r="C7" s="291">
        <f>SUM(C8:C13)</f>
        <v>15613999.999999998</v>
      </c>
      <c r="D7" s="104"/>
      <c r="E7" s="294">
        <f t="shared" ref="E7:M7" si="0">SUM(E8:E13)</f>
        <v>780700</v>
      </c>
      <c r="F7" s="291">
        <f>SUM(F8:F13)</f>
        <v>0</v>
      </c>
      <c r="G7" s="291">
        <f t="shared" si="0"/>
        <v>0</v>
      </c>
      <c r="H7" s="291">
        <f t="shared" si="0"/>
        <v>0</v>
      </c>
      <c r="I7" s="291">
        <f t="shared" si="0"/>
        <v>0</v>
      </c>
      <c r="J7" s="291">
        <f t="shared" si="0"/>
        <v>0</v>
      </c>
      <c r="K7" s="291">
        <f t="shared" si="0"/>
        <v>780700</v>
      </c>
      <c r="L7" s="291">
        <f t="shared" si="0"/>
        <v>0</v>
      </c>
      <c r="M7" s="291">
        <f t="shared" si="0"/>
        <v>0</v>
      </c>
      <c r="N7" s="167">
        <f>SUM(N8:N13)</f>
        <v>780700</v>
      </c>
    </row>
    <row r="8" spans="1:14">
      <c r="A8" s="166">
        <v>1.1000000000000001</v>
      </c>
      <c r="B8" s="110" t="s">
        <v>80</v>
      </c>
      <c r="C8" s="292">
        <v>0</v>
      </c>
      <c r="D8" s="111">
        <v>0.02</v>
      </c>
      <c r="E8" s="294">
        <f>C8*D8</f>
        <v>0</v>
      </c>
      <c r="F8" s="292"/>
      <c r="G8" s="292"/>
      <c r="H8" s="292"/>
      <c r="I8" s="292"/>
      <c r="J8" s="292"/>
      <c r="K8" s="292"/>
      <c r="L8" s="292"/>
      <c r="M8" s="292"/>
      <c r="N8" s="167">
        <f>SUMPRODUCT($F$6:$M$6,F8:M8)</f>
        <v>0</v>
      </c>
    </row>
    <row r="9" spans="1:14">
      <c r="A9" s="166">
        <v>1.2</v>
      </c>
      <c r="B9" s="110" t="s">
        <v>81</v>
      </c>
      <c r="C9" s="292">
        <v>15613999.999999998</v>
      </c>
      <c r="D9" s="111">
        <v>0.05</v>
      </c>
      <c r="E9" s="294">
        <f>C9*D9</f>
        <v>780700</v>
      </c>
      <c r="F9" s="292"/>
      <c r="G9" s="292"/>
      <c r="H9" s="292"/>
      <c r="I9" s="292"/>
      <c r="J9" s="292"/>
      <c r="K9" s="292">
        <v>780700</v>
      </c>
      <c r="L9" s="292"/>
      <c r="M9" s="292"/>
      <c r="N9" s="167">
        <f t="shared" ref="N9:N12" si="1">SUMPRODUCT($F$6:$M$6,F9:M9)</f>
        <v>780700</v>
      </c>
    </row>
    <row r="10" spans="1:14">
      <c r="A10" s="166">
        <v>1.3</v>
      </c>
      <c r="B10" s="110" t="s">
        <v>82</v>
      </c>
      <c r="C10" s="292">
        <v>0</v>
      </c>
      <c r="D10" s="111">
        <v>0.08</v>
      </c>
      <c r="E10" s="294">
        <f>C10*D10</f>
        <v>0</v>
      </c>
      <c r="F10" s="292"/>
      <c r="G10" s="292"/>
      <c r="H10" s="292"/>
      <c r="I10" s="292"/>
      <c r="J10" s="292"/>
      <c r="K10" s="292"/>
      <c r="L10" s="292"/>
      <c r="M10" s="292"/>
      <c r="N10" s="167">
        <f>SUMPRODUCT($F$6:$M$6,F10:M10)</f>
        <v>0</v>
      </c>
    </row>
    <row r="11" spans="1:14">
      <c r="A11" s="166">
        <v>1.4</v>
      </c>
      <c r="B11" s="110" t="s">
        <v>83</v>
      </c>
      <c r="C11" s="292">
        <v>0</v>
      </c>
      <c r="D11" s="111">
        <v>0.11</v>
      </c>
      <c r="E11" s="294">
        <f>C11*D11</f>
        <v>0</v>
      </c>
      <c r="F11" s="292"/>
      <c r="G11" s="292"/>
      <c r="H11" s="292"/>
      <c r="I11" s="292"/>
      <c r="J11" s="292"/>
      <c r="K11" s="292"/>
      <c r="L11" s="292"/>
      <c r="M11" s="292"/>
      <c r="N11" s="167">
        <f t="shared" si="1"/>
        <v>0</v>
      </c>
    </row>
    <row r="12" spans="1:14">
      <c r="A12" s="166">
        <v>1.5</v>
      </c>
      <c r="B12" s="110" t="s">
        <v>84</v>
      </c>
      <c r="C12" s="292">
        <v>0</v>
      </c>
      <c r="D12" s="111">
        <v>0.14000000000000001</v>
      </c>
      <c r="E12" s="294">
        <f>C12*D12</f>
        <v>0</v>
      </c>
      <c r="F12" s="292"/>
      <c r="G12" s="292"/>
      <c r="H12" s="292"/>
      <c r="I12" s="292"/>
      <c r="J12" s="292"/>
      <c r="K12" s="292"/>
      <c r="L12" s="292"/>
      <c r="M12" s="292"/>
      <c r="N12" s="167">
        <f t="shared" si="1"/>
        <v>0</v>
      </c>
    </row>
    <row r="13" spans="1:14">
      <c r="A13" s="166">
        <v>1.6</v>
      </c>
      <c r="B13" s="112" t="s">
        <v>85</v>
      </c>
      <c r="C13" s="292">
        <v>0</v>
      </c>
      <c r="D13" s="113"/>
      <c r="E13" s="292"/>
      <c r="F13" s="292"/>
      <c r="G13" s="292"/>
      <c r="H13" s="292"/>
      <c r="I13" s="292"/>
      <c r="J13" s="292"/>
      <c r="K13" s="292"/>
      <c r="L13" s="292"/>
      <c r="M13" s="292"/>
      <c r="N13" s="167">
        <f>SUMPRODUCT($F$6:$M$6,F13:M13)</f>
        <v>0</v>
      </c>
    </row>
    <row r="14" spans="1:14">
      <c r="A14" s="166">
        <v>2</v>
      </c>
      <c r="B14" s="114" t="s">
        <v>86</v>
      </c>
      <c r="C14" s="291">
        <f>SUM(C15:C20)</f>
        <v>0</v>
      </c>
      <c r="D14" s="104"/>
      <c r="E14" s="294">
        <f t="shared" ref="E14:M14" si="2">SUM(E15:E20)</f>
        <v>0</v>
      </c>
      <c r="F14" s="292">
        <f t="shared" si="2"/>
        <v>0</v>
      </c>
      <c r="G14" s="292">
        <f t="shared" si="2"/>
        <v>0</v>
      </c>
      <c r="H14" s="292">
        <f t="shared" si="2"/>
        <v>0</v>
      </c>
      <c r="I14" s="292">
        <f t="shared" si="2"/>
        <v>0</v>
      </c>
      <c r="J14" s="292">
        <f t="shared" si="2"/>
        <v>0</v>
      </c>
      <c r="K14" s="292">
        <f t="shared" si="2"/>
        <v>0</v>
      </c>
      <c r="L14" s="292">
        <f t="shared" si="2"/>
        <v>0</v>
      </c>
      <c r="M14" s="292">
        <f t="shared" si="2"/>
        <v>0</v>
      </c>
      <c r="N14" s="167">
        <f>SUM(N15:N20)</f>
        <v>0</v>
      </c>
    </row>
    <row r="15" spans="1:14">
      <c r="A15" s="166">
        <v>2.1</v>
      </c>
      <c r="B15" s="112" t="s">
        <v>80</v>
      </c>
      <c r="C15" s="292"/>
      <c r="D15" s="111">
        <v>5.0000000000000001E-3</v>
      </c>
      <c r="E15" s="294">
        <f>C15*D15</f>
        <v>0</v>
      </c>
      <c r="F15" s="292"/>
      <c r="G15" s="292"/>
      <c r="H15" s="292"/>
      <c r="I15" s="292"/>
      <c r="J15" s="292"/>
      <c r="K15" s="292"/>
      <c r="L15" s="292"/>
      <c r="M15" s="292"/>
      <c r="N15" s="167">
        <f>SUMPRODUCT($F$6:$M$6,F15:M15)</f>
        <v>0</v>
      </c>
    </row>
    <row r="16" spans="1:14">
      <c r="A16" s="166">
        <v>2.2000000000000002</v>
      </c>
      <c r="B16" s="112" t="s">
        <v>81</v>
      </c>
      <c r="C16" s="292"/>
      <c r="D16" s="111">
        <v>0.01</v>
      </c>
      <c r="E16" s="294">
        <f>C16*D16</f>
        <v>0</v>
      </c>
      <c r="F16" s="292"/>
      <c r="G16" s="292"/>
      <c r="H16" s="292"/>
      <c r="I16" s="292"/>
      <c r="J16" s="292"/>
      <c r="K16" s="292"/>
      <c r="L16" s="292"/>
      <c r="M16" s="292"/>
      <c r="N16" s="167">
        <f t="shared" ref="N16:N20" si="3">SUMPRODUCT($F$6:$M$6,F16:M16)</f>
        <v>0</v>
      </c>
    </row>
    <row r="17" spans="1:14">
      <c r="A17" s="166">
        <v>2.2999999999999998</v>
      </c>
      <c r="B17" s="112" t="s">
        <v>82</v>
      </c>
      <c r="C17" s="292"/>
      <c r="D17" s="111">
        <v>0.02</v>
      </c>
      <c r="E17" s="294">
        <f>C17*D17</f>
        <v>0</v>
      </c>
      <c r="F17" s="292"/>
      <c r="G17" s="292"/>
      <c r="H17" s="292"/>
      <c r="I17" s="292"/>
      <c r="J17" s="292"/>
      <c r="K17" s="292"/>
      <c r="L17" s="292"/>
      <c r="M17" s="292"/>
      <c r="N17" s="167">
        <f t="shared" si="3"/>
        <v>0</v>
      </c>
    </row>
    <row r="18" spans="1:14">
      <c r="A18" s="166">
        <v>2.4</v>
      </c>
      <c r="B18" s="112" t="s">
        <v>83</v>
      </c>
      <c r="C18" s="292"/>
      <c r="D18" s="111">
        <v>0.03</v>
      </c>
      <c r="E18" s="294">
        <f>C18*D18</f>
        <v>0</v>
      </c>
      <c r="F18" s="292"/>
      <c r="G18" s="292"/>
      <c r="H18" s="292"/>
      <c r="I18" s="292"/>
      <c r="J18" s="292"/>
      <c r="K18" s="292"/>
      <c r="L18" s="292"/>
      <c r="M18" s="292"/>
      <c r="N18" s="167">
        <f t="shared" si="3"/>
        <v>0</v>
      </c>
    </row>
    <row r="19" spans="1:14">
      <c r="A19" s="166">
        <v>2.5</v>
      </c>
      <c r="B19" s="112" t="s">
        <v>84</v>
      </c>
      <c r="C19" s="292"/>
      <c r="D19" s="111">
        <v>0.04</v>
      </c>
      <c r="E19" s="294">
        <f>C19*D19</f>
        <v>0</v>
      </c>
      <c r="F19" s="292"/>
      <c r="G19" s="292"/>
      <c r="H19" s="292"/>
      <c r="I19" s="292"/>
      <c r="J19" s="292"/>
      <c r="K19" s="292"/>
      <c r="L19" s="292"/>
      <c r="M19" s="292"/>
      <c r="N19" s="167">
        <f t="shared" si="3"/>
        <v>0</v>
      </c>
    </row>
    <row r="20" spans="1:14">
      <c r="A20" s="166">
        <v>2.6</v>
      </c>
      <c r="B20" s="112" t="s">
        <v>85</v>
      </c>
      <c r="C20" s="292"/>
      <c r="D20" s="113"/>
      <c r="E20" s="295"/>
      <c r="F20" s="292"/>
      <c r="G20" s="292"/>
      <c r="H20" s="292"/>
      <c r="I20" s="292"/>
      <c r="J20" s="292"/>
      <c r="K20" s="292"/>
      <c r="L20" s="292"/>
      <c r="M20" s="292"/>
      <c r="N20" s="167">
        <f t="shared" si="3"/>
        <v>0</v>
      </c>
    </row>
    <row r="21" spans="1:14" ht="15.75" thickBot="1">
      <c r="A21" s="168">
        <v>3</v>
      </c>
      <c r="B21" s="169" t="s">
        <v>69</v>
      </c>
      <c r="C21" s="293">
        <f>C14+C7</f>
        <v>15613999.999999998</v>
      </c>
      <c r="D21" s="170"/>
      <c r="E21" s="296">
        <f>E14+E7</f>
        <v>780700</v>
      </c>
      <c r="F21" s="297">
        <f>F7+F14</f>
        <v>0</v>
      </c>
      <c r="G21" s="297">
        <f t="shared" ref="G21:L21" si="4">G7+G14</f>
        <v>0</v>
      </c>
      <c r="H21" s="297">
        <f t="shared" si="4"/>
        <v>0</v>
      </c>
      <c r="I21" s="297">
        <f t="shared" si="4"/>
        <v>0</v>
      </c>
      <c r="J21" s="297">
        <f t="shared" si="4"/>
        <v>0</v>
      </c>
      <c r="K21" s="297">
        <f t="shared" si="4"/>
        <v>780700</v>
      </c>
      <c r="L21" s="297">
        <f t="shared" si="4"/>
        <v>0</v>
      </c>
      <c r="M21" s="297">
        <f>M7+M14</f>
        <v>0</v>
      </c>
      <c r="N21" s="171">
        <f>N14+N7</f>
        <v>780700</v>
      </c>
    </row>
    <row r="22" spans="1:14">
      <c r="E22" s="298"/>
      <c r="F22" s="298"/>
      <c r="G22" s="298"/>
      <c r="H22" s="298"/>
      <c r="I22" s="298"/>
      <c r="J22" s="298"/>
      <c r="K22" s="298"/>
      <c r="L22" s="298"/>
      <c r="M22" s="298"/>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2" workbookViewId="0">
      <selection activeCell="C35" sqref="C35"/>
    </sheetView>
  </sheetViews>
  <sheetFormatPr defaultRowHeight="15"/>
  <cols>
    <col min="1" max="1" width="11.42578125" customWidth="1"/>
    <col min="2" max="2" width="76.85546875" style="4" customWidth="1"/>
    <col min="3" max="3" width="22.85546875" customWidth="1"/>
  </cols>
  <sheetData>
    <row r="1" spans="1:3">
      <c r="A1" s="338" t="s">
        <v>189</v>
      </c>
      <c r="B1" t="str">
        <f>Info!C2</f>
        <v>სს "კრედო ბანკი"</v>
      </c>
    </row>
    <row r="2" spans="1:3">
      <c r="A2" s="338" t="s">
        <v>190</v>
      </c>
      <c r="B2" s="472">
        <f>'1. key ratios'!B2</f>
        <v>44469</v>
      </c>
    </row>
    <row r="3" spans="1:3">
      <c r="A3" s="338"/>
      <c r="B3"/>
    </row>
    <row r="4" spans="1:3">
      <c r="A4" s="338" t="s">
        <v>468</v>
      </c>
      <c r="B4" t="s">
        <v>427</v>
      </c>
    </row>
    <row r="5" spans="1:3">
      <c r="A5" s="400"/>
      <c r="B5" s="400" t="s">
        <v>428</v>
      </c>
      <c r="C5" s="412"/>
    </row>
    <row r="6" spans="1:3">
      <c r="A6" s="401">
        <v>1</v>
      </c>
      <c r="B6" s="413" t="s">
        <v>480</v>
      </c>
      <c r="C6" s="414">
        <v>1594105202.5144284</v>
      </c>
    </row>
    <row r="7" spans="1:3">
      <c r="A7" s="401">
        <v>2</v>
      </c>
      <c r="B7" s="413" t="s">
        <v>429</v>
      </c>
      <c r="C7" s="414">
        <v>-41120743.385000043</v>
      </c>
    </row>
    <row r="8" spans="1:3">
      <c r="A8" s="402">
        <v>3</v>
      </c>
      <c r="B8" s="415" t="s">
        <v>430</v>
      </c>
      <c r="C8" s="416">
        <f>C6+C7</f>
        <v>1552984459.1294284</v>
      </c>
    </row>
    <row r="9" spans="1:3">
      <c r="A9" s="403"/>
      <c r="B9" s="403" t="s">
        <v>431</v>
      </c>
      <c r="C9" s="417"/>
    </row>
    <row r="10" spans="1:3">
      <c r="A10" s="404">
        <v>4</v>
      </c>
      <c r="B10" s="418" t="s">
        <v>432</v>
      </c>
      <c r="C10" s="414"/>
    </row>
    <row r="11" spans="1:3">
      <c r="A11" s="404">
        <v>5</v>
      </c>
      <c r="B11" s="419" t="s">
        <v>433</v>
      </c>
      <c r="C11" s="414"/>
    </row>
    <row r="12" spans="1:3">
      <c r="A12" s="404" t="s">
        <v>434</v>
      </c>
      <c r="B12" s="413" t="s">
        <v>435</v>
      </c>
      <c r="C12" s="416">
        <f>'15. CCR'!E21</f>
        <v>780700</v>
      </c>
    </row>
    <row r="13" spans="1:3">
      <c r="A13" s="405">
        <v>6</v>
      </c>
      <c r="B13" s="420" t="s">
        <v>436</v>
      </c>
      <c r="C13" s="414"/>
    </row>
    <row r="14" spans="1:3">
      <c r="A14" s="405">
        <v>7</v>
      </c>
      <c r="B14" s="421" t="s">
        <v>437</v>
      </c>
      <c r="C14" s="414"/>
    </row>
    <row r="15" spans="1:3">
      <c r="A15" s="406">
        <v>8</v>
      </c>
      <c r="B15" s="413" t="s">
        <v>438</v>
      </c>
      <c r="C15" s="414"/>
    </row>
    <row r="16" spans="1:3" ht="24">
      <c r="A16" s="405">
        <v>9</v>
      </c>
      <c r="B16" s="421" t="s">
        <v>439</v>
      </c>
      <c r="C16" s="414"/>
    </row>
    <row r="17" spans="1:3">
      <c r="A17" s="405">
        <v>10</v>
      </c>
      <c r="B17" s="421" t="s">
        <v>440</v>
      </c>
      <c r="C17" s="414"/>
    </row>
    <row r="18" spans="1:3">
      <c r="A18" s="407">
        <v>11</v>
      </c>
      <c r="B18" s="422" t="s">
        <v>441</v>
      </c>
      <c r="C18" s="416">
        <f>SUM(C10:C17)</f>
        <v>780700</v>
      </c>
    </row>
    <row r="19" spans="1:3">
      <c r="A19" s="403"/>
      <c r="B19" s="403" t="s">
        <v>442</v>
      </c>
      <c r="C19" s="423"/>
    </row>
    <row r="20" spans="1:3">
      <c r="A20" s="405">
        <v>12</v>
      </c>
      <c r="B20" s="418" t="s">
        <v>443</v>
      </c>
      <c r="C20" s="414"/>
    </row>
    <row r="21" spans="1:3">
      <c r="A21" s="405">
        <v>13</v>
      </c>
      <c r="B21" s="418" t="s">
        <v>444</v>
      </c>
      <c r="C21" s="414"/>
    </row>
    <row r="22" spans="1:3">
      <c r="A22" s="405">
        <v>14</v>
      </c>
      <c r="B22" s="418" t="s">
        <v>445</v>
      </c>
      <c r="C22" s="414"/>
    </row>
    <row r="23" spans="1:3" ht="24">
      <c r="A23" s="405" t="s">
        <v>446</v>
      </c>
      <c r="B23" s="418" t="s">
        <v>447</v>
      </c>
      <c r="C23" s="414"/>
    </row>
    <row r="24" spans="1:3">
      <c r="A24" s="405">
        <v>15</v>
      </c>
      <c r="B24" s="418" t="s">
        <v>448</v>
      </c>
      <c r="C24" s="414"/>
    </row>
    <row r="25" spans="1:3">
      <c r="A25" s="405" t="s">
        <v>449</v>
      </c>
      <c r="B25" s="413" t="s">
        <v>450</v>
      </c>
      <c r="C25" s="414"/>
    </row>
    <row r="26" spans="1:3">
      <c r="A26" s="407">
        <v>16</v>
      </c>
      <c r="B26" s="422" t="s">
        <v>451</v>
      </c>
      <c r="C26" s="416">
        <f>SUM(C20:C25)</f>
        <v>0</v>
      </c>
    </row>
    <row r="27" spans="1:3">
      <c r="A27" s="403"/>
      <c r="B27" s="403" t="s">
        <v>452</v>
      </c>
      <c r="C27" s="417"/>
    </row>
    <row r="28" spans="1:3">
      <c r="A28" s="404">
        <v>17</v>
      </c>
      <c r="B28" s="413" t="s">
        <v>453</v>
      </c>
      <c r="C28" s="414">
        <v>29763625.300000001</v>
      </c>
    </row>
    <row r="29" spans="1:3">
      <c r="A29" s="404">
        <v>18</v>
      </c>
      <c r="B29" s="413" t="s">
        <v>454</v>
      </c>
      <c r="C29" s="414">
        <v>-24883190.925000001</v>
      </c>
    </row>
    <row r="30" spans="1:3">
      <c r="A30" s="407">
        <v>19</v>
      </c>
      <c r="B30" s="422" t="s">
        <v>455</v>
      </c>
      <c r="C30" s="416">
        <f>C28+C29</f>
        <v>4880434.375</v>
      </c>
    </row>
    <row r="31" spans="1:3">
      <c r="A31" s="408"/>
      <c r="B31" s="403" t="s">
        <v>456</v>
      </c>
      <c r="C31" s="417"/>
    </row>
    <row r="32" spans="1:3">
      <c r="A32" s="404" t="s">
        <v>457</v>
      </c>
      <c r="B32" s="418" t="s">
        <v>458</v>
      </c>
      <c r="C32" s="424"/>
    </row>
    <row r="33" spans="1:3">
      <c r="A33" s="404" t="s">
        <v>459</v>
      </c>
      <c r="B33" s="419" t="s">
        <v>460</v>
      </c>
      <c r="C33" s="424"/>
    </row>
    <row r="34" spans="1:3">
      <c r="A34" s="403"/>
      <c r="B34" s="403" t="s">
        <v>461</v>
      </c>
      <c r="C34" s="417"/>
    </row>
    <row r="35" spans="1:3">
      <c r="A35" s="407">
        <v>20</v>
      </c>
      <c r="B35" s="422" t="s">
        <v>90</v>
      </c>
      <c r="C35" s="416">
        <f>'1. key ratios'!C9</f>
        <v>170545936.60499954</v>
      </c>
    </row>
    <row r="36" spans="1:3">
      <c r="A36" s="407">
        <v>21</v>
      </c>
      <c r="B36" s="422" t="s">
        <v>462</v>
      </c>
      <c r="C36" s="416">
        <f>C8+C18+C26+C30</f>
        <v>1558645593.5044284</v>
      </c>
    </row>
    <row r="37" spans="1:3">
      <c r="A37" s="409"/>
      <c r="B37" s="409" t="s">
        <v>427</v>
      </c>
      <c r="C37" s="417"/>
    </row>
    <row r="38" spans="1:3">
      <c r="A38" s="407">
        <v>22</v>
      </c>
      <c r="B38" s="422" t="s">
        <v>427</v>
      </c>
      <c r="C38" s="632">
        <f>IFERROR(C35/C36,0)</f>
        <v>0.109419317204463</v>
      </c>
    </row>
    <row r="39" spans="1:3">
      <c r="A39" s="409"/>
      <c r="B39" s="409" t="s">
        <v>463</v>
      </c>
      <c r="C39" s="417"/>
    </row>
    <row r="40" spans="1:3">
      <c r="A40" s="410" t="s">
        <v>464</v>
      </c>
      <c r="B40" s="418" t="s">
        <v>465</v>
      </c>
      <c r="C40" s="424"/>
    </row>
    <row r="41" spans="1:3">
      <c r="A41" s="411" t="s">
        <v>466</v>
      </c>
      <c r="B41" s="419" t="s">
        <v>467</v>
      </c>
      <c r="C41" s="424"/>
    </row>
    <row r="43" spans="1:3">
      <c r="B43" s="435" t="s">
        <v>481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27" activePane="bottomRight" state="frozen"/>
      <selection pane="topRight" activeCell="C1" sqref="C1"/>
      <selection pane="bottomLeft" activeCell="A7" sqref="A7"/>
      <selection pane="bottomRight" activeCell="D34" sqref="D34"/>
    </sheetView>
  </sheetViews>
  <sheetFormatPr defaultRowHeight="15"/>
  <cols>
    <col min="1" max="1" width="9.85546875" style="338" bestFit="1" customWidth="1"/>
    <col min="2" max="2" width="82.5703125" style="23" customWidth="1"/>
    <col min="3" max="7" width="17.5703125" style="338" customWidth="1"/>
  </cols>
  <sheetData>
    <row r="1" spans="1:7">
      <c r="A1" s="338" t="s">
        <v>189</v>
      </c>
      <c r="B1" s="338" t="str">
        <f>Info!C2</f>
        <v>სს "კრედო ბანკი"</v>
      </c>
    </row>
    <row r="2" spans="1:7">
      <c r="A2" s="338" t="s">
        <v>190</v>
      </c>
      <c r="B2" s="472">
        <f>'1. key ratios'!B2</f>
        <v>44469</v>
      </c>
    </row>
    <row r="3" spans="1:7">
      <c r="B3" s="472"/>
    </row>
    <row r="4" spans="1:7" ht="15.75" thickBot="1">
      <c r="A4" s="338" t="s">
        <v>530</v>
      </c>
      <c r="B4" s="475" t="s">
        <v>495</v>
      </c>
    </row>
    <row r="5" spans="1:7">
      <c r="A5" s="476"/>
      <c r="B5" s="477"/>
      <c r="C5" s="730" t="s">
        <v>496</v>
      </c>
      <c r="D5" s="730"/>
      <c r="E5" s="730"/>
      <c r="F5" s="730"/>
      <c r="G5" s="731" t="s">
        <v>497</v>
      </c>
    </row>
    <row r="6" spans="1:7">
      <c r="A6" s="478"/>
      <c r="B6" s="479"/>
      <c r="C6" s="480" t="s">
        <v>498</v>
      </c>
      <c r="D6" s="481" t="s">
        <v>499</v>
      </c>
      <c r="E6" s="481" t="s">
        <v>500</v>
      </c>
      <c r="F6" s="481" t="s">
        <v>501</v>
      </c>
      <c r="G6" s="732"/>
    </row>
    <row r="7" spans="1:7">
      <c r="A7" s="482"/>
      <c r="B7" s="483" t="s">
        <v>502</v>
      </c>
      <c r="C7" s="484"/>
      <c r="D7" s="484"/>
      <c r="E7" s="484"/>
      <c r="F7" s="484"/>
      <c r="G7" s="485"/>
    </row>
    <row r="8" spans="1:7">
      <c r="A8" s="486">
        <v>1</v>
      </c>
      <c r="B8" s="487" t="s">
        <v>503</v>
      </c>
      <c r="C8" s="488">
        <f>SUM(C9:C10)</f>
        <v>170545936.60499954</v>
      </c>
      <c r="D8" s="488">
        <f>SUM(D9:D10)</f>
        <v>0</v>
      </c>
      <c r="E8" s="488">
        <f>SUM(E9:E10)</f>
        <v>0</v>
      </c>
      <c r="F8" s="488">
        <f>SUM(F9:F10)</f>
        <v>770376940</v>
      </c>
      <c r="G8" s="489">
        <f>SUM(G9:G10)</f>
        <v>940922876.60499954</v>
      </c>
    </row>
    <row r="9" spans="1:7">
      <c r="A9" s="486">
        <v>2</v>
      </c>
      <c r="B9" s="490" t="s">
        <v>89</v>
      </c>
      <c r="C9" s="488">
        <v>170545936.60499954</v>
      </c>
      <c r="D9" s="488"/>
      <c r="E9" s="488"/>
      <c r="F9" s="488">
        <v>53846856</v>
      </c>
      <c r="G9" s="489">
        <v>224392792.60499954</v>
      </c>
    </row>
    <row r="10" spans="1:7">
      <c r="A10" s="486">
        <v>3</v>
      </c>
      <c r="B10" s="490" t="s">
        <v>504</v>
      </c>
      <c r="C10" s="491"/>
      <c r="D10" s="491"/>
      <c r="E10" s="491"/>
      <c r="F10" s="488">
        <v>716530084</v>
      </c>
      <c r="G10" s="489">
        <v>716530084</v>
      </c>
    </row>
    <row r="11" spans="1:7" ht="26.25">
      <c r="A11" s="486">
        <v>4</v>
      </c>
      <c r="B11" s="487" t="s">
        <v>505</v>
      </c>
      <c r="C11" s="488">
        <f t="shared" ref="C11:F11" si="0">SUM(C12:C13)</f>
        <v>50139945</v>
      </c>
      <c r="D11" s="488">
        <f t="shared" si="0"/>
        <v>42001421</v>
      </c>
      <c r="E11" s="488">
        <f t="shared" si="0"/>
        <v>22948764</v>
      </c>
      <c r="F11" s="488">
        <f t="shared" si="0"/>
        <v>3512911</v>
      </c>
      <c r="G11" s="489">
        <f>SUM(G12:G13)</f>
        <v>112090055.25</v>
      </c>
    </row>
    <row r="12" spans="1:7">
      <c r="A12" s="486">
        <v>5</v>
      </c>
      <c r="B12" s="490" t="s">
        <v>506</v>
      </c>
      <c r="C12" s="488">
        <v>50139945</v>
      </c>
      <c r="D12" s="492">
        <v>40891896</v>
      </c>
      <c r="E12" s="488">
        <v>22829613</v>
      </c>
      <c r="F12" s="488">
        <v>3446401</v>
      </c>
      <c r="G12" s="489">
        <v>111442462.25</v>
      </c>
    </row>
    <row r="13" spans="1:7">
      <c r="A13" s="486">
        <v>6</v>
      </c>
      <c r="B13" s="490" t="s">
        <v>507</v>
      </c>
      <c r="C13" s="488"/>
      <c r="D13" s="492">
        <v>1109525</v>
      </c>
      <c r="E13" s="488">
        <v>119151</v>
      </c>
      <c r="F13" s="488">
        <v>66510</v>
      </c>
      <c r="G13" s="489">
        <v>647593</v>
      </c>
    </row>
    <row r="14" spans="1:7">
      <c r="A14" s="486">
        <v>7</v>
      </c>
      <c r="B14" s="487" t="s">
        <v>508</v>
      </c>
      <c r="C14" s="488">
        <f t="shared" ref="C14:F14" si="1">SUM(C15:C16)</f>
        <v>24069362.790000003</v>
      </c>
      <c r="D14" s="488">
        <f t="shared" si="1"/>
        <v>162054711</v>
      </c>
      <c r="E14" s="488">
        <f t="shared" si="1"/>
        <v>180806020</v>
      </c>
      <c r="F14" s="488">
        <f t="shared" si="1"/>
        <v>500100</v>
      </c>
      <c r="G14" s="489">
        <f>SUM(G15:G16)</f>
        <v>183715096.89500001</v>
      </c>
    </row>
    <row r="15" spans="1:7" ht="51.75">
      <c r="A15" s="486">
        <v>8</v>
      </c>
      <c r="B15" s="490" t="s">
        <v>509</v>
      </c>
      <c r="C15" s="488">
        <v>24069362.790000003</v>
      </c>
      <c r="D15" s="633">
        <f>25027904+6290250+7420100</f>
        <v>38738254</v>
      </c>
      <c r="E15" s="488">
        <f>54955794+12500000</f>
        <v>67455794</v>
      </c>
      <c r="F15" s="488">
        <v>500100</v>
      </c>
      <c r="G15" s="489">
        <v>65381755.395000003</v>
      </c>
    </row>
    <row r="16" spans="1:7" ht="26.25">
      <c r="A16" s="486">
        <v>9</v>
      </c>
      <c r="B16" s="490" t="s">
        <v>510</v>
      </c>
      <c r="C16" s="488"/>
      <c r="D16" s="633">
        <f>40000000+83316457</f>
        <v>123316457</v>
      </c>
      <c r="E16" s="633">
        <v>113350226</v>
      </c>
      <c r="F16" s="488"/>
      <c r="G16" s="489">
        <v>118333341.5</v>
      </c>
    </row>
    <row r="17" spans="1:7">
      <c r="A17" s="486">
        <v>10</v>
      </c>
      <c r="B17" s="487" t="s">
        <v>511</v>
      </c>
      <c r="C17" s="488"/>
      <c r="D17" s="492"/>
      <c r="E17" s="488"/>
      <c r="F17" s="488"/>
      <c r="G17" s="489"/>
    </row>
    <row r="18" spans="1:7">
      <c r="A18" s="486">
        <v>11</v>
      </c>
      <c r="B18" s="487" t="s">
        <v>96</v>
      </c>
      <c r="C18" s="488">
        <f>SUM(C19:C20)</f>
        <v>57069083</v>
      </c>
      <c r="D18" s="492">
        <f t="shared" ref="D18:G18" si="2">SUM(D19:D20)</f>
        <v>28006116</v>
      </c>
      <c r="E18" s="488">
        <f t="shared" si="2"/>
        <v>14238109.310232192</v>
      </c>
      <c r="F18" s="488">
        <f t="shared" si="2"/>
        <v>5184425</v>
      </c>
      <c r="G18" s="489">
        <f t="shared" si="2"/>
        <v>0</v>
      </c>
    </row>
    <row r="19" spans="1:7">
      <c r="A19" s="486">
        <v>12</v>
      </c>
      <c r="B19" s="490" t="s">
        <v>512</v>
      </c>
      <c r="C19" s="491"/>
      <c r="D19" s="492"/>
      <c r="E19" s="488"/>
      <c r="F19" s="488"/>
      <c r="G19" s="489"/>
    </row>
    <row r="20" spans="1:7" ht="26.25">
      <c r="A20" s="486">
        <v>13</v>
      </c>
      <c r="B20" s="490" t="s">
        <v>513</v>
      </c>
      <c r="C20" s="488">
        <v>57069083</v>
      </c>
      <c r="D20" s="488">
        <v>28006116</v>
      </c>
      <c r="E20" s="488">
        <v>14238109.310232192</v>
      </c>
      <c r="F20" s="488">
        <v>5184425</v>
      </c>
      <c r="G20" s="489"/>
    </row>
    <row r="21" spans="1:7">
      <c r="A21" s="493">
        <v>14</v>
      </c>
      <c r="B21" s="494" t="s">
        <v>514</v>
      </c>
      <c r="C21" s="491"/>
      <c r="D21" s="491"/>
      <c r="E21" s="491"/>
      <c r="F21" s="491"/>
      <c r="G21" s="495">
        <f>SUM(G8,G11,G14,G17,G18)</f>
        <v>1236728028.7499995</v>
      </c>
    </row>
    <row r="22" spans="1:7">
      <c r="A22" s="496"/>
      <c r="B22" s="515" t="s">
        <v>515</v>
      </c>
      <c r="C22" s="497"/>
      <c r="D22" s="498"/>
      <c r="E22" s="497"/>
      <c r="F22" s="497"/>
      <c r="G22" s="499"/>
    </row>
    <row r="23" spans="1:7">
      <c r="A23" s="486">
        <v>15</v>
      </c>
      <c r="B23" s="487" t="s">
        <v>372</v>
      </c>
      <c r="C23" s="500">
        <f>132282568+69894207</f>
        <v>202176775</v>
      </c>
      <c r="D23" s="501">
        <f>(26000000+16190000+746000)*0.95</f>
        <v>40789200</v>
      </c>
      <c r="E23" s="500"/>
      <c r="F23" s="500"/>
      <c r="G23" s="489">
        <f>D23*0.05</f>
        <v>2039460</v>
      </c>
    </row>
    <row r="24" spans="1:7">
      <c r="A24" s="486">
        <v>16</v>
      </c>
      <c r="B24" s="487" t="s">
        <v>516</v>
      </c>
      <c r="C24" s="488">
        <f>SUM(C25:C27,C29,C31)</f>
        <v>330087</v>
      </c>
      <c r="D24" s="492">
        <f t="shared" ref="D24:G24" si="3">SUM(D25:D27,D29,D31)</f>
        <v>365259993.03854609</v>
      </c>
      <c r="E24" s="488">
        <f t="shared" si="3"/>
        <v>201906173.07428089</v>
      </c>
      <c r="F24" s="488">
        <f t="shared" si="3"/>
        <v>511330389.72082591</v>
      </c>
      <c r="G24" s="489">
        <f t="shared" si="3"/>
        <v>707463427.36911535</v>
      </c>
    </row>
    <row r="25" spans="1:7" ht="26.25">
      <c r="A25" s="486">
        <v>17</v>
      </c>
      <c r="B25" s="490" t="s">
        <v>517</v>
      </c>
      <c r="C25" s="488"/>
      <c r="D25" s="492"/>
      <c r="E25" s="488"/>
      <c r="F25" s="488"/>
      <c r="G25" s="489"/>
    </row>
    <row r="26" spans="1:7" ht="39">
      <c r="A26" s="486">
        <v>18</v>
      </c>
      <c r="B26" s="490" t="s">
        <v>518</v>
      </c>
      <c r="C26" s="633">
        <v>330087</v>
      </c>
      <c r="D26" s="633">
        <v>24000000</v>
      </c>
      <c r="E26" s="633"/>
      <c r="F26" s="633"/>
      <c r="G26" s="634">
        <f>C26*0.15+D26*0.05</f>
        <v>1249513.05</v>
      </c>
    </row>
    <row r="27" spans="1:7">
      <c r="A27" s="486">
        <v>19</v>
      </c>
      <c r="B27" s="490" t="s">
        <v>519</v>
      </c>
      <c r="C27" s="488"/>
      <c r="D27" s="492">
        <v>341259993.03854609</v>
      </c>
      <c r="E27" s="488">
        <v>201906173.07428089</v>
      </c>
      <c r="F27" s="488">
        <v>509220889.72082591</v>
      </c>
      <c r="G27" s="489">
        <f>(D27+E27)*0.5+F27*0.85</f>
        <v>704420839.3191154</v>
      </c>
    </row>
    <row r="28" spans="1:7">
      <c r="A28" s="486">
        <v>20</v>
      </c>
      <c r="B28" s="502" t="s">
        <v>520</v>
      </c>
      <c r="C28" s="488"/>
      <c r="D28" s="492"/>
      <c r="E28" s="488"/>
      <c r="F28" s="488"/>
      <c r="G28" s="489"/>
    </row>
    <row r="29" spans="1:7">
      <c r="A29" s="486">
        <v>21</v>
      </c>
      <c r="B29" s="490" t="s">
        <v>521</v>
      </c>
      <c r="C29" s="488"/>
      <c r="D29" s="492"/>
      <c r="E29" s="488"/>
      <c r="F29" s="488"/>
      <c r="G29" s="489"/>
    </row>
    <row r="30" spans="1:7">
      <c r="A30" s="486">
        <v>22</v>
      </c>
      <c r="B30" s="502" t="s">
        <v>520</v>
      </c>
      <c r="C30" s="488"/>
      <c r="D30" s="492"/>
      <c r="E30" s="488"/>
      <c r="F30" s="488"/>
      <c r="G30" s="489"/>
    </row>
    <row r="31" spans="1:7" ht="26.25">
      <c r="A31" s="486">
        <v>23</v>
      </c>
      <c r="B31" s="490" t="s">
        <v>522</v>
      </c>
      <c r="C31" s="488"/>
      <c r="D31" s="492"/>
      <c r="E31" s="488"/>
      <c r="F31" s="488">
        <v>2109500</v>
      </c>
      <c r="G31" s="489">
        <f>F31*0.85</f>
        <v>1793075</v>
      </c>
    </row>
    <row r="32" spans="1:7">
      <c r="A32" s="486">
        <v>24</v>
      </c>
      <c r="B32" s="487" t="s">
        <v>523</v>
      </c>
      <c r="C32" s="488"/>
      <c r="D32" s="492"/>
      <c r="E32" s="488"/>
      <c r="F32" s="488"/>
      <c r="G32" s="489"/>
    </row>
    <row r="33" spans="1:7">
      <c r="A33" s="486">
        <v>25</v>
      </c>
      <c r="B33" s="487" t="s">
        <v>166</v>
      </c>
      <c r="C33" s="488">
        <f>SUM(C34:C35)</f>
        <v>56256786.369999997</v>
      </c>
      <c r="D33" s="488">
        <f>SUM(D34:D35)</f>
        <v>32704413.961453915</v>
      </c>
      <c r="E33" s="488">
        <f>SUM(E34:E35)</f>
        <v>17342296.148192197</v>
      </c>
      <c r="F33" s="488">
        <f>SUM(F34:F35)</f>
        <v>103368158.90917408</v>
      </c>
      <c r="G33" s="489">
        <f>SUM(G34:G35)</f>
        <v>209671655.3888202</v>
      </c>
    </row>
    <row r="34" spans="1:7">
      <c r="A34" s="486">
        <v>26</v>
      </c>
      <c r="B34" s="490" t="s">
        <v>524</v>
      </c>
      <c r="C34" s="491"/>
      <c r="D34" s="492">
        <v>10429</v>
      </c>
      <c r="E34" s="488"/>
      <c r="F34" s="488"/>
      <c r="G34" s="489">
        <f>D34</f>
        <v>10429</v>
      </c>
    </row>
    <row r="35" spans="1:7">
      <c r="A35" s="486">
        <v>27</v>
      </c>
      <c r="B35" s="490" t="s">
        <v>525</v>
      </c>
      <c r="C35" s="488">
        <v>56256786.369999997</v>
      </c>
      <c r="D35" s="492">
        <v>32693984.961453915</v>
      </c>
      <c r="E35" s="488">
        <v>17342296.148192197</v>
      </c>
      <c r="F35" s="488">
        <v>103368158.90917408</v>
      </c>
      <c r="G35" s="489">
        <f>SUM(C35:F35)</f>
        <v>209661226.3888202</v>
      </c>
    </row>
    <row r="36" spans="1:7">
      <c r="A36" s="486">
        <v>28</v>
      </c>
      <c r="B36" s="487" t="s">
        <v>526</v>
      </c>
      <c r="C36" s="488">
        <v>20002756.550000001</v>
      </c>
      <c r="D36" s="492">
        <v>9725868.75</v>
      </c>
      <c r="E36" s="488"/>
      <c r="F36" s="488"/>
      <c r="G36" s="489">
        <f>(C36+D36)*0.05</f>
        <v>1486431.2650000001</v>
      </c>
    </row>
    <row r="37" spans="1:7">
      <c r="A37" s="493">
        <v>29</v>
      </c>
      <c r="B37" s="494" t="s">
        <v>527</v>
      </c>
      <c r="C37" s="491"/>
      <c r="D37" s="491"/>
      <c r="E37" s="491"/>
      <c r="F37" s="491"/>
      <c r="G37" s="495">
        <f>SUM(G23:G24,G32:G33,G36)</f>
        <v>920660974.02293551</v>
      </c>
    </row>
    <row r="38" spans="1:7">
      <c r="A38" s="482"/>
      <c r="B38" s="503"/>
      <c r="C38" s="504"/>
      <c r="D38" s="504"/>
      <c r="E38" s="504"/>
      <c r="F38" s="504"/>
      <c r="G38" s="505"/>
    </row>
    <row r="39" spans="1:7" ht="15.75" thickBot="1">
      <c r="A39" s="506">
        <v>30</v>
      </c>
      <c r="B39" s="507" t="s">
        <v>495</v>
      </c>
      <c r="C39" s="347"/>
      <c r="D39" s="329"/>
      <c r="E39" s="329"/>
      <c r="F39" s="508"/>
      <c r="G39" s="509">
        <f>IFERROR(G21/G37,0)</f>
        <v>1.3433044993163685</v>
      </c>
    </row>
    <row r="42" spans="1:7" ht="39">
      <c r="B42" s="23" t="s">
        <v>528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H51"/>
  <sheetViews>
    <sheetView tabSelected="1" zoomScaleNormal="100" workbookViewId="0">
      <pane xSplit="1" ySplit="5" topLeftCell="B6" activePane="bottomRight" state="frozen"/>
      <selection pane="topRight" activeCell="B1" sqref="B1"/>
      <selection pane="bottomLeft" activeCell="A6" sqref="A6"/>
      <selection pane="bottomRight" activeCell="J7" sqref="J7"/>
    </sheetView>
  </sheetViews>
  <sheetFormatPr defaultRowHeight="15.75"/>
  <cols>
    <col min="1" max="1" width="9.5703125" style="19" bestFit="1" customWidth="1"/>
    <col min="2" max="2" width="88.42578125" style="16" customWidth="1"/>
    <col min="3" max="3" width="12.7109375" style="16" customWidth="1"/>
    <col min="4" max="7" width="12.7109375" style="2" customWidth="1"/>
    <col min="8" max="13" width="6.7109375" customWidth="1"/>
  </cols>
  <sheetData>
    <row r="1" spans="1:8">
      <c r="A1" s="17" t="s">
        <v>189</v>
      </c>
      <c r="B1" s="434" t="str">
        <f>Info!C2</f>
        <v>სს "კრედო ბანკი"</v>
      </c>
    </row>
    <row r="2" spans="1:8">
      <c r="A2" s="17" t="s">
        <v>190</v>
      </c>
      <c r="B2" s="456">
        <v>44469</v>
      </c>
      <c r="C2" s="28"/>
      <c r="D2" s="18"/>
      <c r="E2" s="18"/>
      <c r="F2" s="18"/>
      <c r="G2" s="18"/>
      <c r="H2" s="1"/>
    </row>
    <row r="3" spans="1:8">
      <c r="A3" s="17"/>
      <c r="C3" s="28"/>
      <c r="D3" s="18"/>
      <c r="E3" s="18"/>
      <c r="F3" s="18"/>
      <c r="G3" s="18"/>
      <c r="H3" s="1"/>
    </row>
    <row r="4" spans="1:8" ht="16.5" thickBot="1">
      <c r="A4" s="68" t="s">
        <v>328</v>
      </c>
      <c r="B4" s="205" t="s">
        <v>224</v>
      </c>
      <c r="C4" s="206"/>
      <c r="D4" s="207"/>
      <c r="E4" s="207"/>
      <c r="F4" s="207"/>
      <c r="G4" s="207"/>
      <c r="H4" s="1"/>
    </row>
    <row r="5" spans="1:8" ht="15">
      <c r="A5" s="314" t="s">
        <v>27</v>
      </c>
      <c r="B5" s="315"/>
      <c r="C5" s="457" t="str">
        <f>INT((MONTH($B$2))/3)&amp;"Q"&amp;"-"&amp;YEAR($B$2)</f>
        <v>3Q-2021</v>
      </c>
      <c r="D5" s="457" t="str">
        <f>IF(INT(MONTH($B$2))=3, "4"&amp;"Q"&amp;"-"&amp;YEAR($B$2)-1, IF(INT(MONTH($B$2))=6, "1"&amp;"Q"&amp;"-"&amp;YEAR($B$2), IF(INT(MONTH($B$2))=9, "2"&amp;"Q"&amp;"-"&amp;YEAR($B$2),IF(INT(MONTH($B$2))=12, "3"&amp;"Q"&amp;"-"&amp;YEAR($B$2), 0))))</f>
        <v>2Q-2021</v>
      </c>
      <c r="E5" s="457" t="str">
        <f>IF(INT(MONTH($B$2))=3, "3"&amp;"Q"&amp;"-"&amp;YEAR($B$2)-1, IF(INT(MONTH($B$2))=6, "4"&amp;"Q"&amp;"-"&amp;YEAR($B$2)-1, IF(INT(MONTH($B$2))=9, "1"&amp;"Q"&amp;"-"&amp;YEAR($B$2),IF(INT(MONTH($B$2))=12, "2"&amp;"Q"&amp;"-"&amp;YEAR($B$2), 0))))</f>
        <v>1Q-2021</v>
      </c>
      <c r="F5" s="457" t="str">
        <f>IF(INT(MONTH($B$2))=3, "2"&amp;"Q"&amp;"-"&amp;YEAR($B$2)-1, IF(INT(MONTH($B$2))=6, "3"&amp;"Q"&amp;"-"&amp;YEAR($B$2)-1, IF(INT(MONTH($B$2))=9, "4"&amp;"Q"&amp;"-"&amp;YEAR($B$2)-1,IF(INT(MONTH($B$2))=12, "1"&amp;"Q"&amp;"-"&amp;YEAR($B$2), 0))))</f>
        <v>4Q-2020</v>
      </c>
      <c r="G5" s="458" t="str">
        <f>IF(INT(MONTH($B$2))=3, "1"&amp;"Q"&amp;"-"&amp;YEAR($B$2)-1, IF(INT(MONTH($B$2))=6, "2"&amp;"Q"&amp;"-"&amp;YEAR($B$2)-1, IF(INT(MONTH($B$2))=9, "3"&amp;"Q"&amp;"-"&amp;YEAR($B$2)-1,IF(INT(MONTH($B$2))=12, "4"&amp;"Q"&amp;"-"&amp;YEAR($B$2)-1, 0))))</f>
        <v>3Q-2020</v>
      </c>
    </row>
    <row r="6" spans="1:8" ht="15">
      <c r="A6" s="459"/>
      <c r="B6" s="460" t="s">
        <v>187</v>
      </c>
      <c r="C6" s="316"/>
      <c r="D6" s="316"/>
      <c r="E6" s="316"/>
      <c r="F6" s="316"/>
      <c r="G6" s="317"/>
    </row>
    <row r="7" spans="1:8" ht="15">
      <c r="A7" s="459"/>
      <c r="B7" s="461" t="s">
        <v>191</v>
      </c>
      <c r="C7" s="316"/>
      <c r="D7" s="316"/>
      <c r="E7" s="316"/>
      <c r="F7" s="316"/>
      <c r="G7" s="317"/>
    </row>
    <row r="8" spans="1:8" ht="15">
      <c r="A8" s="439">
        <v>1</v>
      </c>
      <c r="B8" s="440" t="s">
        <v>24</v>
      </c>
      <c r="C8" s="462">
        <v>170545936.60499954</v>
      </c>
      <c r="D8" s="463">
        <v>159516402.39999977</v>
      </c>
      <c r="E8" s="463">
        <v>151702892.47</v>
      </c>
      <c r="F8" s="463">
        <v>143907195.28999963</v>
      </c>
      <c r="G8" s="464">
        <v>135156420.78999978</v>
      </c>
    </row>
    <row r="9" spans="1:8" ht="15">
      <c r="A9" s="439">
        <v>2</v>
      </c>
      <c r="B9" s="440" t="s">
        <v>90</v>
      </c>
      <c r="C9" s="462">
        <v>170545936.60499954</v>
      </c>
      <c r="D9" s="463">
        <v>159516402.39999977</v>
      </c>
      <c r="E9" s="463">
        <v>151702892.47</v>
      </c>
      <c r="F9" s="463">
        <v>143907195.28999963</v>
      </c>
      <c r="G9" s="464">
        <v>135156420.78999978</v>
      </c>
    </row>
    <row r="10" spans="1:8" ht="15">
      <c r="A10" s="439">
        <v>3</v>
      </c>
      <c r="B10" s="440" t="s">
        <v>89</v>
      </c>
      <c r="C10" s="462">
        <v>238148092.37380791</v>
      </c>
      <c r="D10" s="463">
        <v>220503390.8101269</v>
      </c>
      <c r="E10" s="463">
        <v>208474378.55370051</v>
      </c>
      <c r="F10" s="463">
        <v>189392744.52843872</v>
      </c>
      <c r="G10" s="464">
        <v>180656742.28759545</v>
      </c>
    </row>
    <row r="11" spans="1:8" ht="15">
      <c r="A11" s="439">
        <v>4</v>
      </c>
      <c r="B11" s="440" t="s">
        <v>486</v>
      </c>
      <c r="C11" s="462">
        <v>109872576.48518217</v>
      </c>
      <c r="D11" s="463">
        <v>104154177.3230308</v>
      </c>
      <c r="E11" s="463">
        <v>67662721.97703366</v>
      </c>
      <c r="F11" s="463">
        <v>61877855.567255847</v>
      </c>
      <c r="G11" s="464">
        <v>58079597.334735222</v>
      </c>
    </row>
    <row r="12" spans="1:8" ht="15">
      <c r="A12" s="439">
        <v>5</v>
      </c>
      <c r="B12" s="440" t="s">
        <v>487</v>
      </c>
      <c r="C12" s="462">
        <v>135229184.71478793</v>
      </c>
      <c r="D12" s="463">
        <v>128029747.38348642</v>
      </c>
      <c r="E12" s="463">
        <v>90224248.275642887</v>
      </c>
      <c r="F12" s="463">
        <v>82510802.514234364</v>
      </c>
      <c r="G12" s="464">
        <v>77446130.273720309</v>
      </c>
    </row>
    <row r="13" spans="1:8" ht="15">
      <c r="A13" s="439">
        <v>6</v>
      </c>
      <c r="B13" s="440" t="s">
        <v>488</v>
      </c>
      <c r="C13" s="462">
        <v>186717948.58043131</v>
      </c>
      <c r="D13" s="463">
        <v>174443344.48956314</v>
      </c>
      <c r="E13" s="463">
        <v>134554051.85172278</v>
      </c>
      <c r="F13" s="463">
        <v>131997266.97875273</v>
      </c>
      <c r="G13" s="464">
        <v>123888820.86321713</v>
      </c>
    </row>
    <row r="14" spans="1:8" ht="15">
      <c r="A14" s="459"/>
      <c r="B14" s="460" t="s">
        <v>490</v>
      </c>
      <c r="C14" s="316"/>
      <c r="D14" s="316"/>
      <c r="E14" s="316"/>
      <c r="F14" s="316"/>
      <c r="G14" s="317"/>
    </row>
    <row r="15" spans="1:8" ht="15" customHeight="1">
      <c r="A15" s="439">
        <v>7</v>
      </c>
      <c r="B15" s="440" t="s">
        <v>489</v>
      </c>
      <c r="C15" s="465">
        <v>1354725836.7705703</v>
      </c>
      <c r="D15" s="463">
        <v>1303609759.8539195</v>
      </c>
      <c r="E15" s="463">
        <v>1272772692.0415695</v>
      </c>
      <c r="F15" s="463">
        <v>1249026342.4113774</v>
      </c>
      <c r="G15" s="464">
        <v>1172006467.7039804</v>
      </c>
    </row>
    <row r="16" spans="1:8" ht="15">
      <c r="A16" s="459"/>
      <c r="B16" s="460" t="s">
        <v>494</v>
      </c>
      <c r="C16" s="316"/>
      <c r="D16" s="316"/>
      <c r="E16" s="316"/>
      <c r="F16" s="316"/>
      <c r="G16" s="317"/>
    </row>
    <row r="17" spans="1:7" s="3" customFormat="1" ht="15">
      <c r="A17" s="439"/>
      <c r="B17" s="461" t="s">
        <v>475</v>
      </c>
      <c r="C17" s="316"/>
      <c r="D17" s="316"/>
      <c r="E17" s="316"/>
      <c r="F17" s="316"/>
      <c r="G17" s="317"/>
    </row>
    <row r="18" spans="1:7" ht="15">
      <c r="A18" s="438">
        <v>8</v>
      </c>
      <c r="B18" s="466" t="s">
        <v>484</v>
      </c>
      <c r="C18" s="473">
        <v>0.12588963167008851</v>
      </c>
      <c r="D18" s="473">
        <v>0.12236514892146476</v>
      </c>
      <c r="E18" s="474">
        <v>0.11919087628024415</v>
      </c>
      <c r="F18" s="474">
        <v>0.11521550058918019</v>
      </c>
      <c r="G18" s="474">
        <v>0.11532054174989154</v>
      </c>
    </row>
    <row r="19" spans="1:7" ht="15" customHeight="1">
      <c r="A19" s="438">
        <v>9</v>
      </c>
      <c r="B19" s="466" t="s">
        <v>483</v>
      </c>
      <c r="C19" s="473">
        <v>0.12588963167008851</v>
      </c>
      <c r="D19" s="473">
        <v>0.12236514892146476</v>
      </c>
      <c r="E19" s="474">
        <v>0.11919087628024415</v>
      </c>
      <c r="F19" s="474">
        <v>0.11521550058918019</v>
      </c>
      <c r="G19" s="474">
        <v>0.11532054174989154</v>
      </c>
    </row>
    <row r="20" spans="1:7" ht="15">
      <c r="A20" s="438">
        <v>10</v>
      </c>
      <c r="B20" s="466" t="s">
        <v>485</v>
      </c>
      <c r="C20" s="473">
        <v>0.17579061822686673</v>
      </c>
      <c r="D20" s="473">
        <v>0.16914831232533589</v>
      </c>
      <c r="E20" s="474">
        <v>0.16379545213159838</v>
      </c>
      <c r="F20" s="474">
        <v>0.15163230597906846</v>
      </c>
      <c r="G20" s="474">
        <v>0.15414312741934871</v>
      </c>
    </row>
    <row r="21" spans="1:7" ht="15">
      <c r="A21" s="438">
        <v>11</v>
      </c>
      <c r="B21" s="440" t="s">
        <v>486</v>
      </c>
      <c r="C21" s="473">
        <v>8.1103182284541941E-2</v>
      </c>
      <c r="D21" s="473">
        <v>7.9896745583357826E-2</v>
      </c>
      <c r="E21" s="474">
        <v>5.3161670108195377E-2</v>
      </c>
      <c r="F21" s="474">
        <v>4.9540873131461827E-2</v>
      </c>
      <c r="G21" s="474">
        <v>4.9555696948086023E-2</v>
      </c>
    </row>
    <row r="22" spans="1:7" ht="15">
      <c r="A22" s="438">
        <v>12</v>
      </c>
      <c r="B22" s="440" t="s">
        <v>487</v>
      </c>
      <c r="C22" s="473">
        <v>9.9820333416797219E-2</v>
      </c>
      <c r="D22" s="473">
        <v>9.821171283485422E-2</v>
      </c>
      <c r="E22" s="474">
        <v>7.0887951037761673E-2</v>
      </c>
      <c r="F22" s="474">
        <v>6.6060097943922091E-2</v>
      </c>
      <c r="G22" s="474">
        <v>6.6079951269758061E-2</v>
      </c>
    </row>
    <row r="23" spans="1:7" ht="15">
      <c r="A23" s="438">
        <v>13</v>
      </c>
      <c r="B23" s="440" t="s">
        <v>488</v>
      </c>
      <c r="C23" s="473">
        <v>0.13782711122239633</v>
      </c>
      <c r="D23" s="473">
        <v>0.13381561711313897</v>
      </c>
      <c r="E23" s="474">
        <v>0.10571726805034889</v>
      </c>
      <c r="F23" s="474">
        <v>0.10568013059189613</v>
      </c>
      <c r="G23" s="474">
        <v>0.10570660169301076</v>
      </c>
    </row>
    <row r="24" spans="1:7" ht="15">
      <c r="A24" s="459"/>
      <c r="B24" s="460" t="s">
        <v>7</v>
      </c>
      <c r="C24" s="316"/>
      <c r="D24" s="316"/>
      <c r="E24" s="316"/>
      <c r="F24" s="316"/>
      <c r="G24" s="317"/>
    </row>
    <row r="25" spans="1:7" ht="15" customHeight="1">
      <c r="A25" s="467">
        <v>14</v>
      </c>
      <c r="B25" s="468" t="s">
        <v>8</v>
      </c>
      <c r="C25" s="604">
        <v>0.16676073723122978</v>
      </c>
      <c r="D25" s="604">
        <v>0.16490591544310193</v>
      </c>
      <c r="E25" s="605">
        <v>0.16420464402205129</v>
      </c>
      <c r="F25" s="605">
        <v>0.16420737604838972</v>
      </c>
      <c r="G25" s="605">
        <v>0.16355891124094896</v>
      </c>
    </row>
    <row r="26" spans="1:7" ht="15">
      <c r="A26" s="467">
        <v>15</v>
      </c>
      <c r="B26" s="468" t="s">
        <v>9</v>
      </c>
      <c r="C26" s="604">
        <v>8.5703202350992838E-2</v>
      </c>
      <c r="D26" s="604">
        <v>8.2510663276905469E-2</v>
      </c>
      <c r="E26" s="605">
        <v>8.0441019149516221E-2</v>
      </c>
      <c r="F26" s="605">
        <v>8.61720096087078E-2</v>
      </c>
      <c r="G26" s="605">
        <v>8.7125047062246275E-2</v>
      </c>
    </row>
    <row r="27" spans="1:7" ht="15">
      <c r="A27" s="467">
        <v>16</v>
      </c>
      <c r="B27" s="468" t="s">
        <v>10</v>
      </c>
      <c r="C27" s="604">
        <v>4.2393594816898507E-2</v>
      </c>
      <c r="D27" s="604">
        <v>4.4595100939298284E-2</v>
      </c>
      <c r="E27" s="605">
        <v>4.1424513920289049E-2</v>
      </c>
      <c r="F27" s="605">
        <v>3.4016918835750566E-2</v>
      </c>
      <c r="G27" s="605">
        <v>3.0556825174370746E-2</v>
      </c>
    </row>
    <row r="28" spans="1:7" ht="15">
      <c r="A28" s="467">
        <v>17</v>
      </c>
      <c r="B28" s="468" t="s">
        <v>225</v>
      </c>
      <c r="C28" s="604">
        <v>8.1057534880236912E-2</v>
      </c>
      <c r="D28" s="604">
        <v>8.2395252166196462E-2</v>
      </c>
      <c r="E28" s="605">
        <v>8.3763624872535053E-2</v>
      </c>
      <c r="F28" s="605">
        <v>7.8035366439681952E-2</v>
      </c>
      <c r="G28" s="605">
        <v>7.6433864178702696E-2</v>
      </c>
    </row>
    <row r="29" spans="1:7" ht="15">
      <c r="A29" s="467">
        <v>18</v>
      </c>
      <c r="B29" s="468" t="s">
        <v>11</v>
      </c>
      <c r="C29" s="604">
        <v>2.042410213898507E-2</v>
      </c>
      <c r="D29" s="604">
        <v>2.3207042180071493E-2</v>
      </c>
      <c r="E29" s="605">
        <v>2.1769455792221164E-2</v>
      </c>
      <c r="F29" s="605">
        <v>1.1729153857570951E-2</v>
      </c>
      <c r="G29" s="605">
        <v>5.9587097792051782E-3</v>
      </c>
    </row>
    <row r="30" spans="1:7" ht="15">
      <c r="A30" s="467">
        <v>19</v>
      </c>
      <c r="B30" s="468" t="s">
        <v>12</v>
      </c>
      <c r="C30" s="604">
        <v>0.17001370928338166</v>
      </c>
      <c r="D30" s="604">
        <v>0.2051091874195872</v>
      </c>
      <c r="E30" s="605">
        <v>0.19207039542552393</v>
      </c>
      <c r="F30" s="605">
        <v>9.9399996651987718E-2</v>
      </c>
      <c r="G30" s="605">
        <v>4.9632132443742809E-2</v>
      </c>
    </row>
    <row r="31" spans="1:7" ht="15">
      <c r="A31" s="459"/>
      <c r="B31" s="460" t="s">
        <v>13</v>
      </c>
      <c r="C31" s="316"/>
      <c r="D31" s="316"/>
      <c r="E31" s="316"/>
      <c r="F31" s="316"/>
      <c r="G31" s="317"/>
    </row>
    <row r="32" spans="1:7" ht="15">
      <c r="A32" s="467">
        <v>20</v>
      </c>
      <c r="B32" s="468" t="s">
        <v>14</v>
      </c>
      <c r="C32" s="604">
        <v>2.3394146315303972E-2</v>
      </c>
      <c r="D32" s="604">
        <v>1.8721118429435246E-2</v>
      </c>
      <c r="E32" s="605">
        <v>2.0822403825060919E-2</v>
      </c>
      <c r="F32" s="605">
        <v>1.8321966877577089E-2</v>
      </c>
      <c r="G32" s="605">
        <v>8.6E-3</v>
      </c>
    </row>
    <row r="33" spans="1:7" ht="15" customHeight="1">
      <c r="A33" s="467">
        <v>21</v>
      </c>
      <c r="B33" s="468" t="s">
        <v>15</v>
      </c>
      <c r="C33" s="604">
        <v>3.7030603577105303E-2</v>
      </c>
      <c r="D33" s="604">
        <v>3.5200000000000002E-2</v>
      </c>
      <c r="E33" s="605">
        <v>3.6187962041661199E-2</v>
      </c>
      <c r="F33" s="605">
        <v>3.6087926082905786E-2</v>
      </c>
      <c r="G33" s="605">
        <v>3.4700000000000002E-2</v>
      </c>
    </row>
    <row r="34" spans="1:7" ht="15">
      <c r="A34" s="467">
        <v>22</v>
      </c>
      <c r="B34" s="468" t="s">
        <v>16</v>
      </c>
      <c r="C34" s="604">
        <v>9.1551287193214675E-2</v>
      </c>
      <c r="D34" s="604">
        <v>9.149066023636318E-2</v>
      </c>
      <c r="E34" s="605">
        <v>9.6783736693314318E-2</v>
      </c>
      <c r="F34" s="605">
        <v>9.5857896605660076E-2</v>
      </c>
      <c r="G34" s="605">
        <v>9.4200000000000006E-2</v>
      </c>
    </row>
    <row r="35" spans="1:7" ht="15" customHeight="1">
      <c r="A35" s="467">
        <v>23</v>
      </c>
      <c r="B35" s="468" t="s">
        <v>17</v>
      </c>
      <c r="C35" s="604">
        <v>0.13492248165465076</v>
      </c>
      <c r="D35" s="604">
        <v>0.14977465231554332</v>
      </c>
      <c r="E35" s="605">
        <v>0.16489806577974372</v>
      </c>
      <c r="F35" s="605">
        <v>0.17054484636504691</v>
      </c>
      <c r="G35" s="605">
        <v>0.15590000000000001</v>
      </c>
    </row>
    <row r="36" spans="1:7" ht="15">
      <c r="A36" s="467">
        <v>24</v>
      </c>
      <c r="B36" s="468" t="s">
        <v>18</v>
      </c>
      <c r="C36" s="604">
        <v>0.13508389064670023</v>
      </c>
      <c r="D36" s="604">
        <v>8.6800000000000002E-2</v>
      </c>
      <c r="E36" s="605">
        <v>2.1100000000000001E-2</v>
      </c>
      <c r="F36" s="605">
        <v>0.26032038042050143</v>
      </c>
      <c r="G36" s="605">
        <v>0.21299999999999999</v>
      </c>
    </row>
    <row r="37" spans="1:7" ht="15" customHeight="1">
      <c r="A37" s="459"/>
      <c r="B37" s="460" t="s">
        <v>19</v>
      </c>
      <c r="C37" s="316"/>
      <c r="D37" s="316"/>
      <c r="E37" s="316"/>
      <c r="F37" s="316"/>
      <c r="G37" s="317"/>
    </row>
    <row r="38" spans="1:7" ht="15" customHeight="1">
      <c r="A38" s="467">
        <v>25</v>
      </c>
      <c r="B38" s="468" t="s">
        <v>20</v>
      </c>
      <c r="C38" s="604">
        <v>0.14780529813254237</v>
      </c>
      <c r="D38" s="604">
        <v>0.16078716298516199</v>
      </c>
      <c r="E38" s="604">
        <v>0.16675064262590911</v>
      </c>
      <c r="F38" s="604">
        <v>0.187987283250416</v>
      </c>
      <c r="G38" s="604">
        <v>0.13109999999999999</v>
      </c>
    </row>
    <row r="39" spans="1:7" ht="15" customHeight="1">
      <c r="A39" s="467">
        <v>26</v>
      </c>
      <c r="B39" s="468" t="s">
        <v>21</v>
      </c>
      <c r="C39" s="604">
        <v>0.17003998457359173</v>
      </c>
      <c r="D39" s="604">
        <v>0.18094049013450156</v>
      </c>
      <c r="E39" s="604">
        <v>0.25273793537411621</v>
      </c>
      <c r="F39" s="604">
        <v>0.25784482166546513</v>
      </c>
      <c r="G39" s="604">
        <v>0.24779999999999999</v>
      </c>
    </row>
    <row r="40" spans="1:7" ht="15" customHeight="1">
      <c r="A40" s="467">
        <v>27</v>
      </c>
      <c r="B40" s="469" t="s">
        <v>22</v>
      </c>
      <c r="C40" s="604">
        <v>4.7189690439026731E-2</v>
      </c>
      <c r="D40" s="604">
        <v>5.14726153104791E-2</v>
      </c>
      <c r="E40" s="604">
        <v>5.0901537786217151E-2</v>
      </c>
      <c r="F40" s="604">
        <v>5.9616186238940265E-2</v>
      </c>
      <c r="G40" s="604">
        <v>4.0500000000000001E-2</v>
      </c>
    </row>
    <row r="41" spans="1:7" ht="15" customHeight="1">
      <c r="A41" s="471"/>
      <c r="B41" s="460" t="s">
        <v>396</v>
      </c>
      <c r="C41" s="316"/>
      <c r="D41" s="316"/>
      <c r="E41" s="316"/>
      <c r="F41" s="316"/>
      <c r="G41" s="317"/>
    </row>
    <row r="42" spans="1:7" ht="15" customHeight="1">
      <c r="A42" s="467">
        <v>28</v>
      </c>
      <c r="B42" s="514" t="s">
        <v>389</v>
      </c>
      <c r="C42" s="630">
        <v>199077912.89091116</v>
      </c>
      <c r="D42" s="606">
        <v>214376794.77349353</v>
      </c>
      <c r="E42" s="469">
        <v>220144172.22217697</v>
      </c>
      <c r="F42" s="469">
        <v>176591304.296114</v>
      </c>
      <c r="G42" s="469">
        <v>126822446.40269232</v>
      </c>
    </row>
    <row r="43" spans="1:7" ht="15">
      <c r="A43" s="467">
        <v>29</v>
      </c>
      <c r="B43" s="468" t="s">
        <v>390</v>
      </c>
      <c r="C43" s="630">
        <v>83099386.974698663</v>
      </c>
      <c r="D43" s="606">
        <v>100930519.47576636</v>
      </c>
      <c r="E43" s="470">
        <v>66435210.961435787</v>
      </c>
      <c r="F43" s="470">
        <v>34877597.749489382</v>
      </c>
      <c r="G43" s="470">
        <v>33543495.428065702</v>
      </c>
    </row>
    <row r="44" spans="1:7" ht="15">
      <c r="A44" s="510">
        <v>30</v>
      </c>
      <c r="B44" s="511" t="s">
        <v>388</v>
      </c>
      <c r="C44" s="631">
        <v>2.3956604270922548</v>
      </c>
      <c r="D44" s="607">
        <v>2.1240036798281401</v>
      </c>
      <c r="E44" s="604">
        <v>3.3136670906330972</v>
      </c>
      <c r="F44" s="604">
        <v>5.0631728011915422</v>
      </c>
      <c r="G44" s="604">
        <v>3.7808357413038269</v>
      </c>
    </row>
    <row r="45" spans="1:7" ht="15">
      <c r="A45" s="510"/>
      <c r="B45" s="460" t="s">
        <v>495</v>
      </c>
      <c r="C45" s="316"/>
      <c r="D45" s="316"/>
      <c r="E45" s="316"/>
      <c r="F45" s="316"/>
      <c r="G45" s="317"/>
    </row>
    <row r="46" spans="1:7" ht="15">
      <c r="A46" s="510">
        <v>31</v>
      </c>
      <c r="B46" s="511" t="s">
        <v>502</v>
      </c>
      <c r="C46" s="666">
        <v>1236728028.7499995</v>
      </c>
      <c r="D46" s="512">
        <v>1117305337.848695</v>
      </c>
      <c r="E46" s="513">
        <v>959459929.28716135</v>
      </c>
      <c r="F46" s="513">
        <v>970567426.34524727</v>
      </c>
      <c r="G46" s="513">
        <v>967696323.30999029</v>
      </c>
    </row>
    <row r="47" spans="1:7" ht="15">
      <c r="A47" s="510">
        <v>32</v>
      </c>
      <c r="B47" s="511" t="s">
        <v>515</v>
      </c>
      <c r="C47" s="666">
        <v>920660974.02293551</v>
      </c>
      <c r="D47" s="512">
        <v>851634981.07405925</v>
      </c>
      <c r="E47" s="513">
        <v>794469701.77628505</v>
      </c>
      <c r="F47" s="513">
        <v>772625756.8957088</v>
      </c>
      <c r="G47" s="513">
        <v>738975693.71630383</v>
      </c>
    </row>
    <row r="48" spans="1:7" thickBot="1">
      <c r="A48" s="120">
        <v>33</v>
      </c>
      <c r="B48" s="229" t="s">
        <v>529</v>
      </c>
      <c r="C48" s="667">
        <v>1.3433044993163685</v>
      </c>
      <c r="D48" s="608">
        <v>1.3119533164778876</v>
      </c>
      <c r="E48" s="609">
        <v>1.2076734042116259</v>
      </c>
      <c r="F48" s="609">
        <v>1.2561934645368769</v>
      </c>
      <c r="G48" s="609">
        <v>1.3095103553994476</v>
      </c>
    </row>
    <row r="49" spans="1:7">
      <c r="A49" s="20"/>
    </row>
    <row r="50" spans="1:7" ht="39.75">
      <c r="B50" s="23" t="s">
        <v>474</v>
      </c>
    </row>
    <row r="51" spans="1:7" ht="65.25">
      <c r="B51" s="365" t="s">
        <v>395</v>
      </c>
      <c r="D51" s="338"/>
      <c r="E51" s="338"/>
      <c r="F51" s="338"/>
      <c r="G51" s="3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B3" zoomScale="75" zoomScaleNormal="75" workbookViewId="0">
      <selection activeCell="E26" sqref="E26"/>
    </sheetView>
  </sheetViews>
  <sheetFormatPr defaultColWidth="9.140625" defaultRowHeight="12.75"/>
  <cols>
    <col min="1" max="1" width="10.85546875" style="517" customWidth="1"/>
    <col min="2" max="2" width="93.5703125" style="517" customWidth="1"/>
    <col min="3" max="8" width="24.7109375" style="517" customWidth="1"/>
    <col min="9" max="16384" width="9.140625" style="517"/>
  </cols>
  <sheetData>
    <row r="1" spans="1:8" ht="13.5">
      <c r="A1" s="516" t="s">
        <v>189</v>
      </c>
      <c r="B1" s="434" t="str">
        <f>Info!C2</f>
        <v>სს "კრედო ბანკი"</v>
      </c>
    </row>
    <row r="2" spans="1:8">
      <c r="A2" s="518" t="s">
        <v>190</v>
      </c>
      <c r="B2" s="520">
        <f>'1. key ratios'!B2</f>
        <v>44469</v>
      </c>
    </row>
    <row r="3" spans="1:8">
      <c r="A3" s="519" t="s">
        <v>531</v>
      </c>
    </row>
    <row r="5" spans="1:8">
      <c r="A5" s="733" t="s">
        <v>532</v>
      </c>
      <c r="B5" s="734"/>
      <c r="C5" s="739" t="s">
        <v>533</v>
      </c>
      <c r="D5" s="740"/>
      <c r="E5" s="740"/>
      <c r="F5" s="740"/>
      <c r="G5" s="740"/>
      <c r="H5" s="741"/>
    </row>
    <row r="6" spans="1:8">
      <c r="A6" s="735"/>
      <c r="B6" s="736"/>
      <c r="C6" s="742"/>
      <c r="D6" s="743"/>
      <c r="E6" s="743"/>
      <c r="F6" s="743"/>
      <c r="G6" s="743"/>
      <c r="H6" s="744"/>
    </row>
    <row r="7" spans="1:8" ht="25.5">
      <c r="A7" s="737"/>
      <c r="B7" s="738"/>
      <c r="C7" s="521" t="s">
        <v>534</v>
      </c>
      <c r="D7" s="521" t="s">
        <v>535</v>
      </c>
      <c r="E7" s="521" t="s">
        <v>536</v>
      </c>
      <c r="F7" s="521" t="s">
        <v>537</v>
      </c>
      <c r="G7" s="590" t="s">
        <v>709</v>
      </c>
      <c r="H7" s="521" t="s">
        <v>69</v>
      </c>
    </row>
    <row r="8" spans="1:8" ht="15" customHeight="1">
      <c r="A8" s="522">
        <v>1</v>
      </c>
      <c r="B8" s="523" t="s">
        <v>217</v>
      </c>
      <c r="C8" s="635">
        <v>83722685.700000003</v>
      </c>
      <c r="D8" s="635">
        <v>734921</v>
      </c>
      <c r="E8" s="635">
        <v>3004473</v>
      </c>
      <c r="F8" s="635">
        <v>13461357</v>
      </c>
      <c r="G8" s="635"/>
      <c r="H8" s="635">
        <f>SUM(C8:G8)</f>
        <v>100923436.7</v>
      </c>
    </row>
    <row r="9" spans="1:8" ht="23.25" customHeight="1">
      <c r="A9" s="522">
        <v>2</v>
      </c>
      <c r="B9" s="523" t="s">
        <v>218</v>
      </c>
      <c r="C9" s="635"/>
      <c r="D9" s="635"/>
      <c r="E9" s="635"/>
      <c r="F9" s="635"/>
      <c r="G9" s="635"/>
      <c r="H9" s="635">
        <f t="shared" ref="H9:H21" si="0">SUM(C9:G9)</f>
        <v>0</v>
      </c>
    </row>
    <row r="10" spans="1:8" ht="15" customHeight="1">
      <c r="A10" s="522">
        <v>3</v>
      </c>
      <c r="B10" s="523" t="s">
        <v>219</v>
      </c>
      <c r="C10" s="635"/>
      <c r="D10" s="635"/>
      <c r="E10" s="635"/>
      <c r="F10" s="635"/>
      <c r="G10" s="635"/>
      <c r="H10" s="635">
        <f t="shared" si="0"/>
        <v>0</v>
      </c>
    </row>
    <row r="11" spans="1:8" ht="15" customHeight="1">
      <c r="A11" s="522">
        <v>4</v>
      </c>
      <c r="B11" s="523" t="s">
        <v>220</v>
      </c>
      <c r="C11" s="635"/>
      <c r="D11" s="635"/>
      <c r="E11" s="635">
        <v>26123803</v>
      </c>
      <c r="F11" s="635"/>
      <c r="G11" s="635"/>
      <c r="H11" s="635">
        <f t="shared" si="0"/>
        <v>26123803</v>
      </c>
    </row>
    <row r="12" spans="1:8" ht="15" customHeight="1">
      <c r="A12" s="522">
        <v>5</v>
      </c>
      <c r="B12" s="523" t="s">
        <v>221</v>
      </c>
      <c r="C12" s="635"/>
      <c r="D12" s="635"/>
      <c r="E12" s="635"/>
      <c r="F12" s="635"/>
      <c r="G12" s="635"/>
      <c r="H12" s="635">
        <f t="shared" si="0"/>
        <v>0</v>
      </c>
    </row>
    <row r="13" spans="1:8" ht="15" customHeight="1">
      <c r="A13" s="522">
        <v>6</v>
      </c>
      <c r="B13" s="523" t="s">
        <v>222</v>
      </c>
      <c r="C13" s="635">
        <v>94222164.5</v>
      </c>
      <c r="D13" s="635"/>
      <c r="E13" s="635"/>
      <c r="F13" s="635"/>
      <c r="G13" s="635"/>
      <c r="H13" s="635">
        <f t="shared" si="0"/>
        <v>94222164.5</v>
      </c>
    </row>
    <row r="14" spans="1:8" ht="15" customHeight="1">
      <c r="A14" s="522">
        <v>7</v>
      </c>
      <c r="B14" s="523" t="s">
        <v>74</v>
      </c>
      <c r="C14" s="635"/>
      <c r="D14" s="635"/>
      <c r="E14" s="635"/>
      <c r="F14" s="635"/>
      <c r="G14" s="635"/>
      <c r="H14" s="635">
        <f t="shared" si="0"/>
        <v>0</v>
      </c>
    </row>
    <row r="15" spans="1:8" ht="15" customHeight="1">
      <c r="A15" s="522">
        <v>8</v>
      </c>
      <c r="B15" s="525" t="s">
        <v>75</v>
      </c>
      <c r="C15" s="635">
        <v>378</v>
      </c>
      <c r="D15" s="635">
        <v>226882170.13339499</v>
      </c>
      <c r="E15" s="635">
        <v>733651365.24925852</v>
      </c>
      <c r="F15" s="635">
        <v>148056029.89718622</v>
      </c>
      <c r="G15" s="635">
        <v>554881.6098466391</v>
      </c>
      <c r="H15" s="635">
        <f t="shared" si="0"/>
        <v>1109144824.8896863</v>
      </c>
    </row>
    <row r="16" spans="1:8" ht="15" customHeight="1">
      <c r="A16" s="522">
        <v>9</v>
      </c>
      <c r="B16" s="523" t="s">
        <v>76</v>
      </c>
      <c r="C16" s="635"/>
      <c r="D16" s="635"/>
      <c r="E16" s="635"/>
      <c r="F16" s="635"/>
      <c r="G16" s="635"/>
      <c r="H16" s="635">
        <f t="shared" si="0"/>
        <v>0</v>
      </c>
    </row>
    <row r="17" spans="1:8" ht="15" customHeight="1">
      <c r="A17" s="522">
        <v>10</v>
      </c>
      <c r="B17" s="593" t="s">
        <v>559</v>
      </c>
      <c r="C17" s="635"/>
      <c r="D17" s="635">
        <v>1412298.8285272585</v>
      </c>
      <c r="E17" s="635">
        <v>3758465.5369373099</v>
      </c>
      <c r="F17" s="635">
        <v>272077.39110296633</v>
      </c>
      <c r="G17" s="635">
        <v>256493.40300813777</v>
      </c>
      <c r="H17" s="635">
        <f t="shared" si="0"/>
        <v>5699335.1595756719</v>
      </c>
    </row>
    <row r="18" spans="1:8" ht="15" customHeight="1">
      <c r="A18" s="522">
        <v>11</v>
      </c>
      <c r="B18" s="523" t="s">
        <v>71</v>
      </c>
      <c r="C18" s="635">
        <v>49</v>
      </c>
      <c r="D18" s="635">
        <v>19346317.114337094</v>
      </c>
      <c r="E18" s="635">
        <v>79088596.122188091</v>
      </c>
      <c r="F18" s="635">
        <v>3109188.8275457555</v>
      </c>
      <c r="G18" s="635">
        <v>4037.2606710923283</v>
      </c>
      <c r="H18" s="635">
        <f t="shared" si="0"/>
        <v>101548188.32474203</v>
      </c>
    </row>
    <row r="19" spans="1:8" ht="15" customHeight="1">
      <c r="A19" s="522">
        <v>12</v>
      </c>
      <c r="B19" s="523" t="s">
        <v>72</v>
      </c>
      <c r="C19" s="635"/>
      <c r="D19" s="635"/>
      <c r="E19" s="635"/>
      <c r="F19" s="635"/>
      <c r="G19" s="635"/>
      <c r="H19" s="635">
        <f t="shared" si="0"/>
        <v>0</v>
      </c>
    </row>
    <row r="20" spans="1:8" ht="15" customHeight="1">
      <c r="A20" s="526">
        <v>13</v>
      </c>
      <c r="B20" s="525" t="s">
        <v>73</v>
      </c>
      <c r="C20" s="635"/>
      <c r="D20" s="635"/>
      <c r="E20" s="635"/>
      <c r="F20" s="635"/>
      <c r="G20" s="635"/>
      <c r="H20" s="635">
        <f t="shared" si="0"/>
        <v>0</v>
      </c>
    </row>
    <row r="21" spans="1:8" ht="15" customHeight="1">
      <c r="A21" s="522">
        <v>14</v>
      </c>
      <c r="B21" s="523" t="s">
        <v>538</v>
      </c>
      <c r="C21" s="635">
        <v>48559882.07</v>
      </c>
      <c r="D21" s="635">
        <v>34448718</v>
      </c>
      <c r="E21" s="635">
        <v>5776149</v>
      </c>
      <c r="F21" s="635">
        <v>17129575.790000014</v>
      </c>
      <c r="G21" s="635">
        <v>15504176.054999962</v>
      </c>
      <c r="H21" s="635">
        <f t="shared" si="0"/>
        <v>121418500.91499998</v>
      </c>
    </row>
    <row r="22" spans="1:8" ht="15" customHeight="1">
      <c r="A22" s="527">
        <v>15</v>
      </c>
      <c r="B22" s="524" t="s">
        <v>69</v>
      </c>
      <c r="C22" s="635">
        <f>SUM(C18:C21)+SUM(C8:C16)</f>
        <v>226505159.26999998</v>
      </c>
      <c r="D22" s="635">
        <f t="shared" ref="D22:G22" si="1">SUM(D18:D21)+SUM(D8:D16)</f>
        <v>281412126.2477321</v>
      </c>
      <c r="E22" s="635">
        <f t="shared" si="1"/>
        <v>847644386.37144661</v>
      </c>
      <c r="F22" s="635">
        <f t="shared" si="1"/>
        <v>181756151.514732</v>
      </c>
      <c r="G22" s="635">
        <f t="shared" si="1"/>
        <v>16063094.925517693</v>
      </c>
      <c r="H22" s="635">
        <f>SUM(H18:H21)+SUM(H8:H16)</f>
        <v>1553380918.3294284</v>
      </c>
    </row>
    <row r="26" spans="1:8" ht="38.25">
      <c r="B26" s="592" t="s">
        <v>708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A4" zoomScale="80" zoomScaleNormal="80" workbookViewId="0">
      <selection activeCell="C22" sqref="C22:D22"/>
    </sheetView>
  </sheetViews>
  <sheetFormatPr defaultColWidth="9.140625" defaultRowHeight="12.75"/>
  <cols>
    <col min="1" max="1" width="11.85546875" style="528" bestFit="1" customWidth="1"/>
    <col min="2" max="2" width="102.85546875" style="517" customWidth="1"/>
    <col min="3" max="3" width="22.42578125" style="517" customWidth="1"/>
    <col min="4" max="4" width="23.5703125" style="517" customWidth="1"/>
    <col min="5" max="7" width="22.140625" style="540" customWidth="1"/>
    <col min="8" max="8" width="22.140625" style="517" customWidth="1"/>
    <col min="9" max="9" width="41.42578125" style="517" customWidth="1"/>
    <col min="10" max="16384" width="9.140625" style="517"/>
  </cols>
  <sheetData>
    <row r="1" spans="1:9" ht="13.5">
      <c r="A1" s="516" t="s">
        <v>189</v>
      </c>
      <c r="B1" s="434" t="str">
        <f>Info!C2</f>
        <v>სს "კრედო ბანკი"</v>
      </c>
      <c r="E1" s="517"/>
      <c r="F1" s="517"/>
      <c r="G1" s="517"/>
    </row>
    <row r="2" spans="1:9">
      <c r="A2" s="518" t="s">
        <v>190</v>
      </c>
      <c r="B2" s="520">
        <f>'1. key ratios'!B2</f>
        <v>44469</v>
      </c>
      <c r="E2" s="517"/>
      <c r="F2" s="517"/>
      <c r="G2" s="517"/>
    </row>
    <row r="3" spans="1:9">
      <c r="A3" s="519" t="s">
        <v>539</v>
      </c>
      <c r="E3" s="517"/>
      <c r="F3" s="517"/>
      <c r="G3" s="517"/>
    </row>
    <row r="4" spans="1:9">
      <c r="C4" s="529" t="s">
        <v>540</v>
      </c>
      <c r="D4" s="529" t="s">
        <v>541</v>
      </c>
      <c r="E4" s="529" t="s">
        <v>542</v>
      </c>
      <c r="F4" s="529" t="s">
        <v>543</v>
      </c>
      <c r="G4" s="529" t="s">
        <v>544</v>
      </c>
      <c r="H4" s="529" t="s">
        <v>545</v>
      </c>
      <c r="I4" s="529" t="s">
        <v>546</v>
      </c>
    </row>
    <row r="5" spans="1:9" ht="33.950000000000003" customHeight="1">
      <c r="A5" s="733" t="s">
        <v>549</v>
      </c>
      <c r="B5" s="734"/>
      <c r="C5" s="747" t="s">
        <v>550</v>
      </c>
      <c r="D5" s="747"/>
      <c r="E5" s="747" t="s">
        <v>551</v>
      </c>
      <c r="F5" s="747" t="s">
        <v>552</v>
      </c>
      <c r="G5" s="745" t="s">
        <v>553</v>
      </c>
      <c r="H5" s="745" t="s">
        <v>554</v>
      </c>
      <c r="I5" s="530" t="s">
        <v>555</v>
      </c>
    </row>
    <row r="6" spans="1:9" ht="38.25">
      <c r="A6" s="737"/>
      <c r="B6" s="738"/>
      <c r="C6" s="581" t="s">
        <v>556</v>
      </c>
      <c r="D6" s="581" t="s">
        <v>557</v>
      </c>
      <c r="E6" s="747"/>
      <c r="F6" s="747"/>
      <c r="G6" s="746"/>
      <c r="H6" s="746"/>
      <c r="I6" s="530" t="s">
        <v>558</v>
      </c>
    </row>
    <row r="7" spans="1:9">
      <c r="A7" s="531">
        <v>1</v>
      </c>
      <c r="B7" s="523" t="s">
        <v>217</v>
      </c>
      <c r="C7" s="636"/>
      <c r="D7" s="636">
        <v>100923436.7</v>
      </c>
      <c r="E7" s="637"/>
      <c r="F7" s="637"/>
      <c r="G7" s="637"/>
      <c r="H7" s="636"/>
      <c r="I7" s="534">
        <f t="shared" ref="I7:I23" si="0">C7+D7-E7-F7-G7</f>
        <v>100923436.7</v>
      </c>
    </row>
    <row r="8" spans="1:9">
      <c r="A8" s="531">
        <v>2</v>
      </c>
      <c r="B8" s="523" t="s">
        <v>218</v>
      </c>
      <c r="C8" s="636"/>
      <c r="D8" s="636">
        <v>0</v>
      </c>
      <c r="E8" s="637"/>
      <c r="F8" s="637"/>
      <c r="G8" s="637"/>
      <c r="H8" s="636"/>
      <c r="I8" s="534">
        <f t="shared" si="0"/>
        <v>0</v>
      </c>
    </row>
    <row r="9" spans="1:9">
      <c r="A9" s="531">
        <v>3</v>
      </c>
      <c r="B9" s="523" t="s">
        <v>219</v>
      </c>
      <c r="C9" s="636"/>
      <c r="D9" s="636">
        <v>0</v>
      </c>
      <c r="E9" s="637"/>
      <c r="F9" s="637"/>
      <c r="G9" s="637"/>
      <c r="H9" s="636"/>
      <c r="I9" s="534">
        <f t="shared" si="0"/>
        <v>0</v>
      </c>
    </row>
    <row r="10" spans="1:9">
      <c r="A10" s="531">
        <v>4</v>
      </c>
      <c r="B10" s="523" t="s">
        <v>220</v>
      </c>
      <c r="C10" s="636"/>
      <c r="D10" s="636">
        <v>26123803</v>
      </c>
      <c r="E10" s="637"/>
      <c r="F10" s="637"/>
      <c r="G10" s="637"/>
      <c r="H10" s="636"/>
      <c r="I10" s="534">
        <f t="shared" si="0"/>
        <v>26123803</v>
      </c>
    </row>
    <row r="11" spans="1:9">
      <c r="A11" s="531">
        <v>5</v>
      </c>
      <c r="B11" s="523" t="s">
        <v>221</v>
      </c>
      <c r="C11" s="636"/>
      <c r="D11" s="636">
        <v>0</v>
      </c>
      <c r="E11" s="637"/>
      <c r="F11" s="637"/>
      <c r="G11" s="637"/>
      <c r="H11" s="636"/>
      <c r="I11" s="534">
        <f t="shared" si="0"/>
        <v>0</v>
      </c>
    </row>
    <row r="12" spans="1:9">
      <c r="A12" s="531">
        <v>6</v>
      </c>
      <c r="B12" s="523" t="s">
        <v>222</v>
      </c>
      <c r="C12" s="636"/>
      <c r="D12" s="636">
        <v>94222164.5</v>
      </c>
      <c r="E12" s="637"/>
      <c r="F12" s="637"/>
      <c r="G12" s="637"/>
      <c r="H12" s="636"/>
      <c r="I12" s="534">
        <f t="shared" si="0"/>
        <v>94222164.5</v>
      </c>
    </row>
    <row r="13" spans="1:9">
      <c r="A13" s="531">
        <v>7</v>
      </c>
      <c r="B13" s="523" t="s">
        <v>74</v>
      </c>
      <c r="C13" s="636"/>
      <c r="D13" s="636"/>
      <c r="E13" s="637"/>
      <c r="F13" s="637"/>
      <c r="G13" s="637"/>
      <c r="H13" s="636"/>
      <c r="I13" s="534">
        <f t="shared" si="0"/>
        <v>0</v>
      </c>
    </row>
    <row r="14" spans="1:9">
      <c r="A14" s="531">
        <v>8</v>
      </c>
      <c r="B14" s="525" t="s">
        <v>75</v>
      </c>
      <c r="C14" s="636">
        <v>29077063</v>
      </c>
      <c r="D14" s="636">
        <f>(1102721875+5014)+542869</f>
        <v>1103269758</v>
      </c>
      <c r="E14" s="637">
        <v>23201995.69019632</v>
      </c>
      <c r="F14" s="637">
        <v>19527964.865700893</v>
      </c>
      <c r="G14" s="637"/>
      <c r="H14" s="637">
        <v>5038075.6456640149</v>
      </c>
      <c r="I14" s="534">
        <f t="shared" si="0"/>
        <v>1089616860.4441028</v>
      </c>
    </row>
    <row r="15" spans="1:9">
      <c r="A15" s="531">
        <v>9</v>
      </c>
      <c r="B15" s="523" t="s">
        <v>76</v>
      </c>
      <c r="C15" s="636"/>
      <c r="D15" s="636"/>
      <c r="E15" s="637"/>
      <c r="F15" s="637"/>
      <c r="G15" s="637"/>
      <c r="H15" s="637"/>
      <c r="I15" s="534">
        <f t="shared" si="0"/>
        <v>0</v>
      </c>
    </row>
    <row r="16" spans="1:9">
      <c r="A16" s="531">
        <v>10</v>
      </c>
      <c r="B16" s="593" t="s">
        <v>559</v>
      </c>
      <c r="C16" s="637">
        <v>10258928</v>
      </c>
      <c r="D16" s="637">
        <v>564662</v>
      </c>
      <c r="E16" s="637">
        <v>5124255.2846000018</v>
      </c>
      <c r="F16" s="637">
        <v>4135.3025999999991</v>
      </c>
      <c r="G16" s="637"/>
      <c r="H16" s="637">
        <v>5038075.6456640149</v>
      </c>
      <c r="I16" s="534">
        <f t="shared" si="0"/>
        <v>5695199.4127999982</v>
      </c>
    </row>
    <row r="17" spans="1:9">
      <c r="A17" s="531">
        <v>11</v>
      </c>
      <c r="B17" s="523" t="s">
        <v>71</v>
      </c>
      <c r="C17" s="636">
        <v>144792</v>
      </c>
      <c r="D17" s="636">
        <f>(101430310-5014)+21793</f>
        <v>101447089</v>
      </c>
      <c r="E17" s="637">
        <v>43693</v>
      </c>
      <c r="F17" s="637">
        <v>2002649.6788999646</v>
      </c>
      <c r="G17" s="637"/>
      <c r="H17" s="637"/>
      <c r="I17" s="534">
        <f t="shared" si="0"/>
        <v>99545538.321100041</v>
      </c>
    </row>
    <row r="18" spans="1:9">
      <c r="A18" s="531">
        <v>12</v>
      </c>
      <c r="B18" s="523" t="s">
        <v>72</v>
      </c>
      <c r="C18" s="636"/>
      <c r="D18" s="636"/>
      <c r="E18" s="637"/>
      <c r="F18" s="637"/>
      <c r="G18" s="637"/>
      <c r="H18" s="636"/>
      <c r="I18" s="534">
        <f t="shared" si="0"/>
        <v>0</v>
      </c>
    </row>
    <row r="19" spans="1:9">
      <c r="A19" s="535">
        <v>13</v>
      </c>
      <c r="B19" s="525" t="s">
        <v>73</v>
      </c>
      <c r="C19" s="636"/>
      <c r="D19" s="636"/>
      <c r="E19" s="637"/>
      <c r="F19" s="637"/>
      <c r="G19" s="637"/>
      <c r="H19" s="636"/>
      <c r="I19" s="534">
        <f t="shared" si="0"/>
        <v>0</v>
      </c>
    </row>
    <row r="20" spans="1:9">
      <c r="A20" s="531">
        <v>14</v>
      </c>
      <c r="B20" s="523" t="s">
        <v>538</v>
      </c>
      <c r="C20" s="636">
        <v>4448790</v>
      </c>
      <c r="D20" s="636">
        <v>160330029.30000001</v>
      </c>
      <c r="E20" s="637">
        <v>2636034</v>
      </c>
      <c r="F20" s="637"/>
      <c r="G20" s="637"/>
      <c r="H20" s="636">
        <v>36000</v>
      </c>
      <c r="I20" s="534">
        <f t="shared" si="0"/>
        <v>162142785.30000001</v>
      </c>
    </row>
    <row r="21" spans="1:9" s="537" customFormat="1">
      <c r="A21" s="536">
        <v>15</v>
      </c>
      <c r="B21" s="524" t="s">
        <v>69</v>
      </c>
      <c r="C21" s="635">
        <f>SUM(C7:C15)+SUM(C17:C20)</f>
        <v>33670645</v>
      </c>
      <c r="D21" s="635">
        <f t="shared" ref="D21:H21" si="1">SUM(D7:D15)+SUM(D17:D20)</f>
        <v>1586316280.5</v>
      </c>
      <c r="E21" s="635">
        <f t="shared" si="1"/>
        <v>25881722.69019632</v>
      </c>
      <c r="F21" s="635">
        <f t="shared" si="1"/>
        <v>21530614.544600859</v>
      </c>
      <c r="G21" s="635">
        <f t="shared" si="1"/>
        <v>0</v>
      </c>
      <c r="H21" s="635">
        <f t="shared" si="1"/>
        <v>5074075.6456640149</v>
      </c>
      <c r="I21" s="534">
        <f t="shared" si="0"/>
        <v>1572574588.2652028</v>
      </c>
    </row>
    <row r="22" spans="1:9">
      <c r="A22" s="538">
        <v>16</v>
      </c>
      <c r="B22" s="539" t="s">
        <v>560</v>
      </c>
      <c r="C22" s="636">
        <v>29221855</v>
      </c>
      <c r="D22" s="636">
        <v>1204716847</v>
      </c>
      <c r="E22" s="637">
        <f>E14+E17</f>
        <v>23245688.69019632</v>
      </c>
      <c r="F22" s="637">
        <f>F14+F17</f>
        <v>21530614.544600859</v>
      </c>
      <c r="G22" s="637"/>
      <c r="H22" s="636">
        <v>5038075.6456640149</v>
      </c>
      <c r="I22" s="534">
        <f t="shared" si="0"/>
        <v>1189162398.7652028</v>
      </c>
    </row>
    <row r="23" spans="1:9">
      <c r="A23" s="538">
        <v>17</v>
      </c>
      <c r="B23" s="539" t="s">
        <v>561</v>
      </c>
      <c r="C23" s="636"/>
      <c r="D23" s="636">
        <v>43324553.799999997</v>
      </c>
      <c r="E23" s="637"/>
      <c r="F23" s="637"/>
      <c r="G23" s="637"/>
      <c r="H23" s="636"/>
      <c r="I23" s="534">
        <f t="shared" si="0"/>
        <v>43324553.799999997</v>
      </c>
    </row>
    <row r="25" spans="1:9">
      <c r="C25" s="638"/>
      <c r="D25" s="638"/>
      <c r="F25" s="639"/>
      <c r="G25" s="639"/>
    </row>
    <row r="26" spans="1:9" ht="42.6" customHeight="1">
      <c r="B26" s="592" t="s">
        <v>708</v>
      </c>
      <c r="E26" s="639"/>
      <c r="F26" s="639"/>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B6" zoomScale="70" zoomScaleNormal="70" workbookViewId="0">
      <selection activeCell="C7" sqref="C7:H33"/>
    </sheetView>
  </sheetViews>
  <sheetFormatPr defaultColWidth="9.140625" defaultRowHeight="12.75"/>
  <cols>
    <col min="1" max="1" width="11" style="517" bestFit="1" customWidth="1"/>
    <col min="2" max="2" width="93.42578125" style="517" customWidth="1"/>
    <col min="3" max="8" width="22" style="517" customWidth="1"/>
    <col min="9" max="9" width="42.28515625" style="517" bestFit="1" customWidth="1"/>
    <col min="10" max="16384" width="9.140625" style="517"/>
  </cols>
  <sheetData>
    <row r="1" spans="1:9" ht="13.5">
      <c r="A1" s="516" t="s">
        <v>189</v>
      </c>
      <c r="B1" s="434" t="str">
        <f>Info!C2</f>
        <v>სს "კრედო ბანკი"</v>
      </c>
    </row>
    <row r="2" spans="1:9">
      <c r="A2" s="518" t="s">
        <v>190</v>
      </c>
      <c r="B2" s="520">
        <f>'1. key ratios'!B2</f>
        <v>44469</v>
      </c>
    </row>
    <row r="3" spans="1:9">
      <c r="A3" s="519" t="s">
        <v>562</v>
      </c>
    </row>
    <row r="4" spans="1:9">
      <c r="C4" s="529" t="s">
        <v>540</v>
      </c>
      <c r="D4" s="529" t="s">
        <v>541</v>
      </c>
      <c r="E4" s="529" t="s">
        <v>542</v>
      </c>
      <c r="F4" s="529" t="s">
        <v>543</v>
      </c>
      <c r="G4" s="529" t="s">
        <v>544</v>
      </c>
      <c r="H4" s="529" t="s">
        <v>545</v>
      </c>
      <c r="I4" s="529" t="s">
        <v>546</v>
      </c>
    </row>
    <row r="5" spans="1:9" ht="41.45" customHeight="1">
      <c r="A5" s="733" t="s">
        <v>712</v>
      </c>
      <c r="B5" s="734"/>
      <c r="C5" s="747" t="s">
        <v>550</v>
      </c>
      <c r="D5" s="747"/>
      <c r="E5" s="747" t="s">
        <v>551</v>
      </c>
      <c r="F5" s="747" t="s">
        <v>552</v>
      </c>
      <c r="G5" s="745" t="s">
        <v>553</v>
      </c>
      <c r="H5" s="745" t="s">
        <v>554</v>
      </c>
      <c r="I5" s="530" t="s">
        <v>555</v>
      </c>
    </row>
    <row r="6" spans="1:9" ht="41.45" customHeight="1">
      <c r="A6" s="737"/>
      <c r="B6" s="738"/>
      <c r="C6" s="581" t="s">
        <v>556</v>
      </c>
      <c r="D6" s="581" t="s">
        <v>557</v>
      </c>
      <c r="E6" s="747"/>
      <c r="F6" s="747"/>
      <c r="G6" s="746"/>
      <c r="H6" s="746"/>
      <c r="I6" s="530" t="s">
        <v>558</v>
      </c>
    </row>
    <row r="7" spans="1:9">
      <c r="A7" s="532">
        <v>1</v>
      </c>
      <c r="B7" s="541" t="s">
        <v>563</v>
      </c>
      <c r="C7" s="636">
        <v>243894.42947648285</v>
      </c>
      <c r="D7" s="636">
        <v>116331785.58809453</v>
      </c>
      <c r="E7" s="636">
        <v>327520.39159999875</v>
      </c>
      <c r="F7" s="636">
        <v>261305.11700000131</v>
      </c>
      <c r="G7" s="636"/>
      <c r="H7" s="636">
        <v>32499.74</v>
      </c>
      <c r="I7" s="534">
        <f t="shared" ref="I7:I34" si="0">C7+D7-E7-F7-G7</f>
        <v>115986854.50897102</v>
      </c>
    </row>
    <row r="8" spans="1:9">
      <c r="A8" s="532">
        <v>2</v>
      </c>
      <c r="B8" s="541" t="s">
        <v>564</v>
      </c>
      <c r="C8" s="636">
        <v>6673.1467963982959</v>
      </c>
      <c r="D8" s="636">
        <v>124065552.41630626</v>
      </c>
      <c r="E8" s="636">
        <v>6825.6790000001638</v>
      </c>
      <c r="F8" s="636">
        <v>73118.173799999946</v>
      </c>
      <c r="G8" s="636"/>
      <c r="H8" s="636">
        <v>12761.59</v>
      </c>
      <c r="I8" s="534">
        <f t="shared" si="0"/>
        <v>123992281.71030265</v>
      </c>
    </row>
    <row r="9" spans="1:9">
      <c r="A9" s="532">
        <v>3</v>
      </c>
      <c r="B9" s="541" t="s">
        <v>565</v>
      </c>
      <c r="C9" s="636">
        <v>79601.961259432195</v>
      </c>
      <c r="D9" s="636">
        <v>4841715.3801293364</v>
      </c>
      <c r="E9" s="636">
        <v>50794.183999999994</v>
      </c>
      <c r="F9" s="636">
        <v>92349.272400000118</v>
      </c>
      <c r="G9" s="636"/>
      <c r="H9" s="636">
        <v>28653.690000000006</v>
      </c>
      <c r="I9" s="534">
        <f t="shared" si="0"/>
        <v>4778173.884988768</v>
      </c>
    </row>
    <row r="10" spans="1:9">
      <c r="A10" s="532">
        <v>4</v>
      </c>
      <c r="B10" s="541" t="s">
        <v>566</v>
      </c>
      <c r="C10" s="636">
        <v>13302.774625657144</v>
      </c>
      <c r="D10" s="636">
        <v>2206166.1366546331</v>
      </c>
      <c r="E10" s="636">
        <v>32485.764999999992</v>
      </c>
      <c r="F10" s="636">
        <v>38172.88289999999</v>
      </c>
      <c r="G10" s="636"/>
      <c r="H10" s="636">
        <v>2264.98</v>
      </c>
      <c r="I10" s="534">
        <f t="shared" si="0"/>
        <v>2148810.26338029</v>
      </c>
    </row>
    <row r="11" spans="1:9">
      <c r="A11" s="532">
        <v>5</v>
      </c>
      <c r="B11" s="541" t="s">
        <v>567</v>
      </c>
      <c r="C11" s="636">
        <v>701486.98688794579</v>
      </c>
      <c r="D11" s="636">
        <v>17051380.124610983</v>
      </c>
      <c r="E11" s="636">
        <v>1076799.3033999987</v>
      </c>
      <c r="F11" s="636">
        <v>252154.20260000011</v>
      </c>
      <c r="G11" s="636"/>
      <c r="H11" s="636">
        <v>7624.4599999999991</v>
      </c>
      <c r="I11" s="534">
        <f t="shared" si="0"/>
        <v>16423913.60549893</v>
      </c>
    </row>
    <row r="12" spans="1:9">
      <c r="A12" s="532">
        <v>6</v>
      </c>
      <c r="B12" s="541" t="s">
        <v>568</v>
      </c>
      <c r="C12" s="636">
        <v>136105.68262242514</v>
      </c>
      <c r="D12" s="636">
        <v>2458353.8886879752</v>
      </c>
      <c r="E12" s="636">
        <v>75905.480000000156</v>
      </c>
      <c r="F12" s="636">
        <v>43895.775800000025</v>
      </c>
      <c r="G12" s="636"/>
      <c r="H12" s="636">
        <v>10938.76</v>
      </c>
      <c r="I12" s="534">
        <f t="shared" si="0"/>
        <v>2474658.3155104006</v>
      </c>
    </row>
    <row r="13" spans="1:9">
      <c r="A13" s="532">
        <v>7</v>
      </c>
      <c r="B13" s="541" t="s">
        <v>569</v>
      </c>
      <c r="C13" s="636">
        <v>103303.78388554971</v>
      </c>
      <c r="D13" s="636">
        <v>3326743.1914984477</v>
      </c>
      <c r="E13" s="636">
        <v>51411.612399999962</v>
      </c>
      <c r="F13" s="636">
        <v>62437.949699999961</v>
      </c>
      <c r="G13" s="636"/>
      <c r="H13" s="636">
        <v>11487.460000000001</v>
      </c>
      <c r="I13" s="534">
        <f t="shared" si="0"/>
        <v>3316197.4132839977</v>
      </c>
    </row>
    <row r="14" spans="1:9">
      <c r="A14" s="532">
        <v>8</v>
      </c>
      <c r="B14" s="541" t="s">
        <v>570</v>
      </c>
      <c r="C14" s="636">
        <v>2648281.7055234425</v>
      </c>
      <c r="D14" s="636">
        <v>85511526.571969554</v>
      </c>
      <c r="E14" s="636">
        <v>1672035.8878000404</v>
      </c>
      <c r="F14" s="636">
        <v>1563793.4767999651</v>
      </c>
      <c r="G14" s="636"/>
      <c r="H14" s="636">
        <v>498746.54000000015</v>
      </c>
      <c r="I14" s="534">
        <f t="shared" si="0"/>
        <v>84923978.912892997</v>
      </c>
    </row>
    <row r="15" spans="1:9">
      <c r="A15" s="532">
        <v>9</v>
      </c>
      <c r="B15" s="541" t="s">
        <v>571</v>
      </c>
      <c r="C15" s="636">
        <v>583195.21202597057</v>
      </c>
      <c r="D15" s="636">
        <v>16337499.370899428</v>
      </c>
      <c r="E15" s="636">
        <v>575559.79949999845</v>
      </c>
      <c r="F15" s="636">
        <v>278338.59140000085</v>
      </c>
      <c r="G15" s="636"/>
      <c r="H15" s="636">
        <v>73676.98000000001</v>
      </c>
      <c r="I15" s="534">
        <f t="shared" si="0"/>
        <v>16066796.192025399</v>
      </c>
    </row>
    <row r="16" spans="1:9">
      <c r="A16" s="532">
        <v>10</v>
      </c>
      <c r="B16" s="541" t="s">
        <v>572</v>
      </c>
      <c r="C16" s="636">
        <v>204069.95393673435</v>
      </c>
      <c r="D16" s="636">
        <v>5907308.6950955996</v>
      </c>
      <c r="E16" s="636">
        <v>136155.34340000001</v>
      </c>
      <c r="F16" s="636">
        <v>105532.76710000022</v>
      </c>
      <c r="G16" s="636"/>
      <c r="H16" s="636">
        <v>26005.16</v>
      </c>
      <c r="I16" s="534">
        <f t="shared" si="0"/>
        <v>5869690.5385323344</v>
      </c>
    </row>
    <row r="17" spans="1:10">
      <c r="A17" s="532">
        <v>11</v>
      </c>
      <c r="B17" s="541" t="s">
        <v>573</v>
      </c>
      <c r="C17" s="636">
        <v>301230.14555345668</v>
      </c>
      <c r="D17" s="636">
        <v>4957711.5846758354</v>
      </c>
      <c r="E17" s="636">
        <v>164423.96720000068</v>
      </c>
      <c r="F17" s="636">
        <v>87864.282599999889</v>
      </c>
      <c r="G17" s="636"/>
      <c r="H17" s="636">
        <v>23891.989999999998</v>
      </c>
      <c r="I17" s="534">
        <f t="shared" si="0"/>
        <v>5006653.4804292917</v>
      </c>
    </row>
    <row r="18" spans="1:10">
      <c r="A18" s="532">
        <v>12</v>
      </c>
      <c r="B18" s="541" t="s">
        <v>574</v>
      </c>
      <c r="C18" s="636">
        <v>1581270.2833894882</v>
      </c>
      <c r="D18" s="636">
        <v>63202726.991181053</v>
      </c>
      <c r="E18" s="636">
        <v>1240853.3968999761</v>
      </c>
      <c r="F18" s="636">
        <v>1120166.1289000001</v>
      </c>
      <c r="G18" s="636"/>
      <c r="H18" s="636">
        <v>190903.03000000006</v>
      </c>
      <c r="I18" s="534">
        <f t="shared" si="0"/>
        <v>62422977.748770565</v>
      </c>
    </row>
    <row r="19" spans="1:10">
      <c r="A19" s="532">
        <v>13</v>
      </c>
      <c r="B19" s="541" t="s">
        <v>575</v>
      </c>
      <c r="C19" s="636">
        <v>296647.82884069841</v>
      </c>
      <c r="D19" s="636">
        <v>11788633.504830679</v>
      </c>
      <c r="E19" s="636">
        <v>185751.17110000039</v>
      </c>
      <c r="F19" s="636">
        <v>217591.99010000034</v>
      </c>
      <c r="G19" s="636"/>
      <c r="H19" s="636">
        <v>25323.259999999995</v>
      </c>
      <c r="I19" s="534">
        <f t="shared" si="0"/>
        <v>11681938.172471378</v>
      </c>
    </row>
    <row r="20" spans="1:10">
      <c r="A20" s="532">
        <v>14</v>
      </c>
      <c r="B20" s="541" t="s">
        <v>576</v>
      </c>
      <c r="C20" s="636">
        <v>558938.16036670282</v>
      </c>
      <c r="D20" s="636">
        <v>35609920.889975533</v>
      </c>
      <c r="E20" s="636">
        <v>2029453.5676999968</v>
      </c>
      <c r="F20" s="636">
        <v>350928.89550000068</v>
      </c>
      <c r="G20" s="636"/>
      <c r="H20" s="636">
        <v>33850.420000000006</v>
      </c>
      <c r="I20" s="534">
        <f t="shared" si="0"/>
        <v>33788476.587142229</v>
      </c>
    </row>
    <row r="21" spans="1:10">
      <c r="A21" s="532">
        <v>15</v>
      </c>
      <c r="B21" s="541" t="s">
        <v>577</v>
      </c>
      <c r="C21" s="636">
        <v>3300786.6376875811</v>
      </c>
      <c r="D21" s="636">
        <v>18210338.07695749</v>
      </c>
      <c r="E21" s="636">
        <v>1645123.694899979</v>
      </c>
      <c r="F21" s="636">
        <v>245766.46530000077</v>
      </c>
      <c r="G21" s="636"/>
      <c r="H21" s="636">
        <v>49872.17</v>
      </c>
      <c r="I21" s="534">
        <f t="shared" si="0"/>
        <v>19620234.554445092</v>
      </c>
    </row>
    <row r="22" spans="1:10">
      <c r="A22" s="532">
        <v>16</v>
      </c>
      <c r="B22" s="541" t="s">
        <v>578</v>
      </c>
      <c r="C22" s="636">
        <v>136626.96869106169</v>
      </c>
      <c r="D22" s="636">
        <v>4881296.3134555975</v>
      </c>
      <c r="E22" s="636">
        <v>90538.955200000259</v>
      </c>
      <c r="F22" s="636">
        <v>88776.304899999901</v>
      </c>
      <c r="G22" s="636"/>
      <c r="H22" s="636">
        <v>20376.620000000006</v>
      </c>
      <c r="I22" s="534">
        <f t="shared" si="0"/>
        <v>4838608.0220466582</v>
      </c>
    </row>
    <row r="23" spans="1:10">
      <c r="A23" s="532">
        <v>17</v>
      </c>
      <c r="B23" s="541" t="s">
        <v>579</v>
      </c>
      <c r="C23" s="636">
        <v>9491.8038272048634</v>
      </c>
      <c r="D23" s="636">
        <v>788922.2841818512</v>
      </c>
      <c r="E23" s="636">
        <v>6400.7129999999979</v>
      </c>
      <c r="F23" s="636">
        <v>15198.887399999998</v>
      </c>
      <c r="G23" s="636"/>
      <c r="H23" s="636">
        <v>1775.45</v>
      </c>
      <c r="I23" s="534">
        <f t="shared" si="0"/>
        <v>776814.48760905606</v>
      </c>
    </row>
    <row r="24" spans="1:10">
      <c r="A24" s="532">
        <v>18</v>
      </c>
      <c r="B24" s="541" t="s">
        <v>580</v>
      </c>
      <c r="C24" s="636">
        <v>39332.269850926947</v>
      </c>
      <c r="D24" s="636">
        <v>2154013.1046328936</v>
      </c>
      <c r="E24" s="636">
        <v>24154.688999999991</v>
      </c>
      <c r="F24" s="636">
        <v>40542.425000000032</v>
      </c>
      <c r="G24" s="636"/>
      <c r="H24" s="636">
        <v>6764.77</v>
      </c>
      <c r="I24" s="534">
        <f t="shared" si="0"/>
        <v>2128648.2604838209</v>
      </c>
    </row>
    <row r="25" spans="1:10">
      <c r="A25" s="532">
        <v>19</v>
      </c>
      <c r="B25" s="541" t="s">
        <v>581</v>
      </c>
      <c r="C25" s="636">
        <v>110600.38604904817</v>
      </c>
      <c r="D25" s="636">
        <v>2995716.851688501</v>
      </c>
      <c r="E25" s="636">
        <v>77623.318000000028</v>
      </c>
      <c r="F25" s="636">
        <v>57307.600799999935</v>
      </c>
      <c r="G25" s="636"/>
      <c r="H25" s="636">
        <v>8674.56</v>
      </c>
      <c r="I25" s="534">
        <f t="shared" si="0"/>
        <v>2971386.3189375489</v>
      </c>
    </row>
    <row r="26" spans="1:10">
      <c r="A26" s="532">
        <v>20</v>
      </c>
      <c r="B26" s="541" t="s">
        <v>582</v>
      </c>
      <c r="C26" s="636">
        <v>92727.874570419735</v>
      </c>
      <c r="D26" s="636">
        <v>8589251.0147738513</v>
      </c>
      <c r="E26" s="636">
        <v>109883.39989999938</v>
      </c>
      <c r="F26" s="636">
        <v>156090.06690000021</v>
      </c>
      <c r="G26" s="636"/>
      <c r="H26" s="636">
        <v>3093.94</v>
      </c>
      <c r="I26" s="534">
        <f t="shared" si="0"/>
        <v>8416005.4225442726</v>
      </c>
      <c r="J26" s="542"/>
    </row>
    <row r="27" spans="1:10">
      <c r="A27" s="532">
        <v>21</v>
      </c>
      <c r="B27" s="541" t="s">
        <v>583</v>
      </c>
      <c r="C27" s="636"/>
      <c r="D27" s="636">
        <v>1906912.5308417678</v>
      </c>
      <c r="E27" s="636">
        <v>2873.7379999999903</v>
      </c>
      <c r="F27" s="636">
        <v>37051.222399999962</v>
      </c>
      <c r="G27" s="636"/>
      <c r="H27" s="636"/>
      <c r="I27" s="534">
        <f t="shared" si="0"/>
        <v>1866987.570441768</v>
      </c>
      <c r="J27" s="542"/>
    </row>
    <row r="28" spans="1:10">
      <c r="A28" s="532">
        <v>22</v>
      </c>
      <c r="B28" s="541" t="s">
        <v>584</v>
      </c>
      <c r="C28" s="636">
        <v>5196.5636643791049</v>
      </c>
      <c r="D28" s="636">
        <v>516372.42945749708</v>
      </c>
      <c r="E28" s="636">
        <v>6068.6830000000009</v>
      </c>
      <c r="F28" s="636">
        <v>9471.8679999999949</v>
      </c>
      <c r="G28" s="636"/>
      <c r="H28" s="636">
        <v>4484.58</v>
      </c>
      <c r="I28" s="534">
        <f t="shared" si="0"/>
        <v>506028.44212187617</v>
      </c>
      <c r="J28" s="542"/>
    </row>
    <row r="29" spans="1:10">
      <c r="A29" s="532">
        <v>23</v>
      </c>
      <c r="B29" s="541" t="s">
        <v>585</v>
      </c>
      <c r="C29" s="636">
        <v>7443892.085682719</v>
      </c>
      <c r="D29" s="636">
        <v>223481009.08093837</v>
      </c>
      <c r="E29" s="636">
        <v>5531059.5606001783</v>
      </c>
      <c r="F29" s="636">
        <v>3943544.1460001119</v>
      </c>
      <c r="G29" s="636"/>
      <c r="H29" s="636">
        <v>1156244.3950039996</v>
      </c>
      <c r="I29" s="534">
        <f t="shared" si="0"/>
        <v>221450297.46002078</v>
      </c>
      <c r="J29" s="542"/>
    </row>
    <row r="30" spans="1:10">
      <c r="A30" s="532">
        <v>24</v>
      </c>
      <c r="B30" s="541" t="s">
        <v>586</v>
      </c>
      <c r="C30" s="636">
        <v>6495636.2079793215</v>
      </c>
      <c r="D30" s="636">
        <v>460587964.00273716</v>
      </c>
      <c r="E30" s="636">
        <v>5135402.6273006331</v>
      </c>
      <c r="F30" s="636">
        <v>8545443.9497004189</v>
      </c>
      <c r="G30" s="636"/>
      <c r="H30" s="636">
        <v>1691532.2242399976</v>
      </c>
      <c r="I30" s="534">
        <f t="shared" si="0"/>
        <v>453402753.63371545</v>
      </c>
      <c r="J30" s="542"/>
    </row>
    <row r="31" spans="1:10">
      <c r="A31" s="532">
        <v>25</v>
      </c>
      <c r="B31" s="541" t="s">
        <v>587</v>
      </c>
      <c r="C31" s="636">
        <v>2270581.5431004725</v>
      </c>
      <c r="D31" s="636">
        <v>88697779.75411886</v>
      </c>
      <c r="E31" s="636">
        <v>1705460.3491001232</v>
      </c>
      <c r="F31" s="636">
        <v>1602929.8634000225</v>
      </c>
      <c r="G31" s="636"/>
      <c r="H31" s="636">
        <v>505435.21999999753</v>
      </c>
      <c r="I31" s="534">
        <f t="shared" si="0"/>
        <v>87659971.084719181</v>
      </c>
      <c r="J31" s="542"/>
    </row>
    <row r="32" spans="1:10">
      <c r="A32" s="532">
        <v>26</v>
      </c>
      <c r="B32" s="541" t="s">
        <v>588</v>
      </c>
      <c r="C32" s="636">
        <v>1858980.5745731872</v>
      </c>
      <c r="D32" s="636">
        <v>119579651.58537203</v>
      </c>
      <c r="E32" s="636">
        <v>1285123.4132000674</v>
      </c>
      <c r="F32" s="636">
        <v>2240842.2381999716</v>
      </c>
      <c r="G32" s="636"/>
      <c r="H32" s="636">
        <v>611193.65642000048</v>
      </c>
      <c r="I32" s="534">
        <f t="shared" si="0"/>
        <v>117912666.50854519</v>
      </c>
      <c r="J32" s="542"/>
    </row>
    <row r="33" spans="1:10">
      <c r="A33" s="532">
        <v>27</v>
      </c>
      <c r="B33" s="533" t="s">
        <v>166</v>
      </c>
      <c r="C33" s="636">
        <v>4448790</v>
      </c>
      <c r="D33" s="636">
        <v>160330029.30000001</v>
      </c>
      <c r="E33" s="636">
        <v>2636034</v>
      </c>
      <c r="F33" s="636"/>
      <c r="G33" s="636"/>
      <c r="H33" s="636">
        <v>36000</v>
      </c>
      <c r="I33" s="534">
        <f t="shared" si="0"/>
        <v>162142785.30000001</v>
      </c>
      <c r="J33" s="542"/>
    </row>
    <row r="34" spans="1:10">
      <c r="A34" s="532">
        <v>28</v>
      </c>
      <c r="B34" s="543" t="s">
        <v>69</v>
      </c>
      <c r="C34" s="640">
        <f>SUM(C7:C33)</f>
        <v>33670644.97086671</v>
      </c>
      <c r="D34" s="640">
        <f t="shared" ref="D34:H34" si="1">SUM(D7:D33)</f>
        <v>1586316280.6637657</v>
      </c>
      <c r="E34" s="640">
        <f t="shared" si="1"/>
        <v>25881722.690200992</v>
      </c>
      <c r="F34" s="640">
        <f t="shared" si="1"/>
        <v>21530614.544600498</v>
      </c>
      <c r="G34" s="524">
        <f t="shared" si="1"/>
        <v>0</v>
      </c>
      <c r="H34" s="640">
        <f t="shared" si="1"/>
        <v>5074075.6456639962</v>
      </c>
      <c r="I34" s="534">
        <f t="shared" si="0"/>
        <v>1572574588.3998308</v>
      </c>
      <c r="J34" s="542"/>
    </row>
    <row r="35" spans="1:10">
      <c r="A35" s="542"/>
      <c r="B35" s="542"/>
      <c r="C35" s="542"/>
      <c r="D35" s="542"/>
      <c r="E35" s="542"/>
      <c r="F35" s="542"/>
      <c r="G35" s="542"/>
      <c r="H35" s="542"/>
      <c r="I35" s="542"/>
      <c r="J35" s="542"/>
    </row>
    <row r="36" spans="1:10">
      <c r="A36" s="542"/>
      <c r="B36" s="544"/>
      <c r="C36" s="542"/>
      <c r="D36" s="542"/>
      <c r="E36" s="542"/>
      <c r="F36" s="542"/>
      <c r="G36" s="542"/>
      <c r="H36" s="542"/>
      <c r="I36" s="542"/>
      <c r="J36" s="542"/>
    </row>
    <row r="37" spans="1:10">
      <c r="A37" s="542"/>
      <c r="B37" s="542"/>
      <c r="C37" s="542"/>
      <c r="D37" s="542"/>
      <c r="E37" s="542"/>
      <c r="F37" s="542"/>
      <c r="G37" s="542"/>
      <c r="H37" s="542"/>
      <c r="I37" s="542"/>
      <c r="J37" s="542"/>
    </row>
    <row r="38" spans="1:10">
      <c r="A38" s="542"/>
      <c r="B38" s="542"/>
      <c r="C38" s="542"/>
      <c r="D38" s="542"/>
      <c r="E38" s="542"/>
      <c r="F38" s="542"/>
      <c r="G38" s="542"/>
      <c r="H38" s="542"/>
      <c r="I38" s="542"/>
      <c r="J38" s="542"/>
    </row>
    <row r="39" spans="1:10">
      <c r="A39" s="542"/>
      <c r="B39" s="542"/>
      <c r="C39" s="542"/>
      <c r="D39" s="542"/>
      <c r="E39" s="542"/>
      <c r="F39" s="542"/>
      <c r="G39" s="542"/>
      <c r="H39" s="542"/>
      <c r="I39" s="542"/>
      <c r="J39" s="542"/>
    </row>
    <row r="40" spans="1:10">
      <c r="A40" s="542"/>
      <c r="B40" s="542"/>
      <c r="C40" s="542"/>
      <c r="D40" s="542"/>
      <c r="E40" s="542"/>
      <c r="F40" s="542"/>
      <c r="G40" s="542"/>
      <c r="H40" s="542"/>
      <c r="I40" s="542"/>
      <c r="J40" s="542"/>
    </row>
    <row r="41" spans="1:10">
      <c r="A41" s="542"/>
      <c r="B41" s="542"/>
      <c r="C41" s="542"/>
      <c r="D41" s="542"/>
      <c r="E41" s="542"/>
      <c r="F41" s="542"/>
      <c r="G41" s="542"/>
      <c r="H41" s="542"/>
      <c r="I41" s="542"/>
      <c r="J41" s="542"/>
    </row>
    <row r="42" spans="1:10">
      <c r="A42" s="545"/>
      <c r="B42" s="545"/>
      <c r="C42" s="542"/>
      <c r="D42" s="542"/>
      <c r="E42" s="542"/>
      <c r="F42" s="542"/>
      <c r="G42" s="542"/>
      <c r="H42" s="542"/>
      <c r="I42" s="542"/>
      <c r="J42" s="542"/>
    </row>
    <row r="43" spans="1:10">
      <c r="A43" s="545"/>
      <c r="B43" s="545"/>
      <c r="C43" s="542"/>
      <c r="D43" s="542"/>
      <c r="E43" s="542"/>
      <c r="F43" s="542"/>
      <c r="G43" s="542"/>
      <c r="H43" s="542"/>
      <c r="I43" s="542"/>
      <c r="J43" s="542"/>
    </row>
    <row r="44" spans="1:10">
      <c r="A44" s="542"/>
      <c r="B44" s="546"/>
      <c r="C44" s="542"/>
      <c r="D44" s="542"/>
      <c r="E44" s="542"/>
      <c r="F44" s="542"/>
      <c r="G44" s="542"/>
      <c r="H44" s="542"/>
      <c r="I44" s="542"/>
      <c r="J44" s="542"/>
    </row>
    <row r="45" spans="1:10">
      <c r="A45" s="542"/>
      <c r="B45" s="546"/>
      <c r="C45" s="542"/>
      <c r="D45" s="542"/>
      <c r="E45" s="542"/>
      <c r="F45" s="542"/>
      <c r="G45" s="542"/>
      <c r="H45" s="542"/>
      <c r="I45" s="542"/>
      <c r="J45" s="542"/>
    </row>
    <row r="46" spans="1:10">
      <c r="A46" s="542"/>
      <c r="B46" s="546"/>
      <c r="C46" s="542"/>
      <c r="D46" s="542"/>
      <c r="E46" s="542"/>
      <c r="F46" s="542"/>
      <c r="G46" s="542"/>
      <c r="H46" s="542"/>
      <c r="I46" s="542"/>
      <c r="J46" s="542"/>
    </row>
    <row r="47" spans="1:10">
      <c r="A47" s="542"/>
      <c r="B47" s="542"/>
      <c r="C47" s="542"/>
      <c r="D47" s="542"/>
      <c r="E47" s="542"/>
      <c r="F47" s="542"/>
      <c r="G47" s="542"/>
      <c r="H47" s="542"/>
      <c r="I47" s="542"/>
      <c r="J47" s="54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90" zoomScaleNormal="90" workbookViewId="0">
      <selection activeCell="C6" sqref="C6:C18"/>
    </sheetView>
  </sheetViews>
  <sheetFormatPr defaultColWidth="9.140625" defaultRowHeight="12.75"/>
  <cols>
    <col min="1" max="1" width="11.85546875" style="517" bestFit="1" customWidth="1"/>
    <col min="2" max="2" width="108" style="517" bestFit="1" customWidth="1"/>
    <col min="3" max="3" width="35.5703125" style="517" customWidth="1"/>
    <col min="4" max="4" width="38.42578125" style="540" customWidth="1"/>
    <col min="5" max="16384" width="9.140625" style="517"/>
  </cols>
  <sheetData>
    <row r="1" spans="1:4" ht="13.5">
      <c r="A1" s="516" t="s">
        <v>189</v>
      </c>
      <c r="B1" s="434" t="str">
        <f>Info!C2</f>
        <v>სს "კრედო ბანკი"</v>
      </c>
      <c r="D1" s="517"/>
    </row>
    <row r="2" spans="1:4">
      <c r="A2" s="518" t="s">
        <v>190</v>
      </c>
      <c r="B2" s="520">
        <f>'1. key ratios'!B2</f>
        <v>44469</v>
      </c>
      <c r="D2" s="517"/>
    </row>
    <row r="3" spans="1:4">
      <c r="A3" s="519" t="s">
        <v>589</v>
      </c>
      <c r="D3" s="517"/>
    </row>
    <row r="5" spans="1:4" ht="51">
      <c r="A5" s="748" t="s">
        <v>590</v>
      </c>
      <c r="B5" s="748"/>
      <c r="C5" s="547" t="s">
        <v>591</v>
      </c>
      <c r="D5" s="590" t="s">
        <v>592</v>
      </c>
    </row>
    <row r="6" spans="1:4">
      <c r="A6" s="548">
        <v>1</v>
      </c>
      <c r="B6" s="549" t="s">
        <v>593</v>
      </c>
      <c r="C6" s="636">
        <v>40755150.543497249</v>
      </c>
      <c r="D6" s="532"/>
    </row>
    <row r="7" spans="1:4">
      <c r="A7" s="550">
        <v>2</v>
      </c>
      <c r="B7" s="549" t="s">
        <v>594</v>
      </c>
      <c r="C7" s="635">
        <f>SUM(C8:C11)</f>
        <v>17569708.692054525</v>
      </c>
      <c r="D7" s="532">
        <f>SUM(D8:D11)</f>
        <v>0</v>
      </c>
    </row>
    <row r="8" spans="1:4">
      <c r="A8" s="551">
        <v>2.1</v>
      </c>
      <c r="B8" s="552" t="s">
        <v>595</v>
      </c>
      <c r="C8" s="636">
        <v>7987763.8792994805</v>
      </c>
      <c r="D8" s="532"/>
    </row>
    <row r="9" spans="1:4">
      <c r="A9" s="551">
        <v>2.2000000000000002</v>
      </c>
      <c r="B9" s="552" t="s">
        <v>596</v>
      </c>
      <c r="C9" s="636">
        <v>9581944.8127550427</v>
      </c>
      <c r="D9" s="532"/>
    </row>
    <row r="10" spans="1:4">
      <c r="A10" s="551">
        <v>2.2999999999999998</v>
      </c>
      <c r="B10" s="552" t="s">
        <v>597</v>
      </c>
      <c r="C10" s="637"/>
      <c r="D10" s="532"/>
    </row>
    <row r="11" spans="1:4">
      <c r="A11" s="551">
        <v>2.4</v>
      </c>
      <c r="B11" s="552" t="s">
        <v>598</v>
      </c>
      <c r="C11" s="636"/>
      <c r="D11" s="532"/>
    </row>
    <row r="12" spans="1:4">
      <c r="A12" s="548">
        <v>3</v>
      </c>
      <c r="B12" s="549" t="s">
        <v>599</v>
      </c>
      <c r="C12" s="640">
        <f>SUM(C13:C18)</f>
        <v>13548556.190504689</v>
      </c>
      <c r="D12" s="532">
        <f>SUM(D13:D18)</f>
        <v>0</v>
      </c>
    </row>
    <row r="13" spans="1:4">
      <c r="A13" s="551">
        <v>3.1</v>
      </c>
      <c r="B13" s="552" t="s">
        <v>600</v>
      </c>
      <c r="C13" s="636">
        <v>5038076</v>
      </c>
      <c r="D13" s="532"/>
    </row>
    <row r="14" spans="1:4">
      <c r="A14" s="551">
        <v>3.2</v>
      </c>
      <c r="B14" s="552" t="s">
        <v>601</v>
      </c>
      <c r="C14" s="636">
        <v>5592708.5065749045</v>
      </c>
      <c r="D14" s="532"/>
    </row>
    <row r="15" spans="1:4">
      <c r="A15" s="551">
        <v>3.3</v>
      </c>
      <c r="B15" s="552" t="s">
        <v>602</v>
      </c>
      <c r="C15" s="636">
        <v>2751207.0910429955</v>
      </c>
      <c r="D15" s="532"/>
    </row>
    <row r="16" spans="1:4">
      <c r="A16" s="551">
        <v>3.4</v>
      </c>
      <c r="B16" s="552" t="s">
        <v>603</v>
      </c>
      <c r="C16" s="636">
        <v>0</v>
      </c>
      <c r="D16" s="532"/>
    </row>
    <row r="17" spans="1:4">
      <c r="A17" s="550">
        <v>3.5</v>
      </c>
      <c r="B17" s="552" t="s">
        <v>604</v>
      </c>
      <c r="C17" s="637">
        <v>166564.59288678912</v>
      </c>
      <c r="D17" s="532"/>
    </row>
    <row r="18" spans="1:4">
      <c r="A18" s="551">
        <v>3.6</v>
      </c>
      <c r="B18" s="552" t="s">
        <v>605</v>
      </c>
      <c r="C18" s="636"/>
      <c r="D18" s="532"/>
    </row>
    <row r="19" spans="1:4">
      <c r="A19" s="553">
        <v>4</v>
      </c>
      <c r="B19" s="549" t="s">
        <v>606</v>
      </c>
      <c r="C19" s="635">
        <f>C6+C7-C12</f>
        <v>44776303.045047089</v>
      </c>
      <c r="D19" s="524">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90" zoomScaleNormal="90" workbookViewId="0">
      <selection activeCell="B21" sqref="B21"/>
    </sheetView>
  </sheetViews>
  <sheetFormatPr defaultColWidth="9.140625" defaultRowHeight="12.75"/>
  <cols>
    <col min="1" max="1" width="11.85546875" style="517" bestFit="1" customWidth="1"/>
    <col min="2" max="2" width="124.7109375" style="517" customWidth="1"/>
    <col min="3" max="3" width="21.5703125" style="517" customWidth="1"/>
    <col min="4" max="4" width="49.140625" style="540" customWidth="1"/>
    <col min="5" max="16384" width="9.140625" style="517"/>
  </cols>
  <sheetData>
    <row r="1" spans="1:4" ht="13.5">
      <c r="A1" s="516" t="s">
        <v>189</v>
      </c>
      <c r="B1" s="434" t="str">
        <f>Info!C2</f>
        <v>სს "კრედო ბანკი"</v>
      </c>
      <c r="D1" s="517"/>
    </row>
    <row r="2" spans="1:4">
      <c r="A2" s="518" t="s">
        <v>190</v>
      </c>
      <c r="B2" s="520">
        <f>'1. key ratios'!B2</f>
        <v>44469</v>
      </c>
      <c r="D2" s="517"/>
    </row>
    <row r="3" spans="1:4">
      <c r="A3" s="519" t="s">
        <v>607</v>
      </c>
      <c r="D3" s="517"/>
    </row>
    <row r="4" spans="1:4">
      <c r="A4" s="519"/>
      <c r="D4" s="517"/>
    </row>
    <row r="5" spans="1:4" ht="15" customHeight="1">
      <c r="A5" s="749" t="s">
        <v>608</v>
      </c>
      <c r="B5" s="750"/>
      <c r="C5" s="739" t="s">
        <v>609</v>
      </c>
      <c r="D5" s="753" t="s">
        <v>610</v>
      </c>
    </row>
    <row r="6" spans="1:4" ht="27" customHeight="1">
      <c r="A6" s="751"/>
      <c r="B6" s="752"/>
      <c r="C6" s="742"/>
      <c r="D6" s="753"/>
    </row>
    <row r="7" spans="1:4">
      <c r="A7" s="543">
        <v>1</v>
      </c>
      <c r="B7" s="524" t="s">
        <v>611</v>
      </c>
      <c r="C7" s="636">
        <v>21675315.942434795</v>
      </c>
      <c r="D7" s="554"/>
    </row>
    <row r="8" spans="1:4">
      <c r="A8" s="533">
        <v>2</v>
      </c>
      <c r="B8" s="533" t="s">
        <v>612</v>
      </c>
      <c r="C8" s="636">
        <v>13463450.939847562</v>
      </c>
      <c r="D8" s="554"/>
    </row>
    <row r="9" spans="1:4">
      <c r="A9" s="533">
        <v>3</v>
      </c>
      <c r="B9" s="555" t="s">
        <v>613</v>
      </c>
      <c r="C9" s="636"/>
      <c r="D9" s="554"/>
    </row>
    <row r="10" spans="1:4">
      <c r="A10" s="533">
        <v>4</v>
      </c>
      <c r="B10" s="533" t="s">
        <v>614</v>
      </c>
      <c r="C10" s="635">
        <f>SUM(C11:C18)</f>
        <v>6851261.408216917</v>
      </c>
      <c r="D10" s="554"/>
    </row>
    <row r="11" spans="1:4">
      <c r="A11" s="533">
        <v>5</v>
      </c>
      <c r="B11" s="556" t="s">
        <v>615</v>
      </c>
      <c r="C11" s="636"/>
      <c r="D11" s="554"/>
    </row>
    <row r="12" spans="1:4">
      <c r="A12" s="533">
        <v>6</v>
      </c>
      <c r="B12" s="556" t="s">
        <v>616</v>
      </c>
      <c r="C12" s="636"/>
      <c r="D12" s="554"/>
    </row>
    <row r="13" spans="1:4">
      <c r="A13" s="533">
        <v>7</v>
      </c>
      <c r="B13" s="556" t="s">
        <v>617</v>
      </c>
      <c r="C13" s="636">
        <v>1728342</v>
      </c>
      <c r="D13" s="554"/>
    </row>
    <row r="14" spans="1:4">
      <c r="A14" s="533">
        <v>8</v>
      </c>
      <c r="B14" s="556" t="s">
        <v>618</v>
      </c>
      <c r="C14" s="636"/>
      <c r="D14" s="533"/>
    </row>
    <row r="15" spans="1:4">
      <c r="A15" s="533">
        <v>9</v>
      </c>
      <c r="B15" s="556" t="s">
        <v>619</v>
      </c>
      <c r="C15" s="636"/>
      <c r="D15" s="533"/>
    </row>
    <row r="16" spans="1:4">
      <c r="A16" s="533">
        <v>10</v>
      </c>
      <c r="B16" s="556" t="s">
        <v>620</v>
      </c>
      <c r="C16" s="636">
        <v>5038075.6456640149</v>
      </c>
      <c r="D16" s="554"/>
    </row>
    <row r="17" spans="1:4">
      <c r="A17" s="533">
        <v>11</v>
      </c>
      <c r="B17" s="556" t="s">
        <v>621</v>
      </c>
      <c r="C17" s="636"/>
      <c r="D17" s="533"/>
    </row>
    <row r="18" spans="1:4" ht="25.5">
      <c r="A18" s="533">
        <v>12</v>
      </c>
      <c r="B18" s="556" t="s">
        <v>622</v>
      </c>
      <c r="C18" s="636">
        <v>84843.762552901695</v>
      </c>
      <c r="D18" s="554"/>
    </row>
    <row r="19" spans="1:4">
      <c r="A19" s="543">
        <v>13</v>
      </c>
      <c r="B19" s="557" t="s">
        <v>623</v>
      </c>
      <c r="C19" s="635">
        <f>C7+C8+C9-C10</f>
        <v>28287505.474065445</v>
      </c>
      <c r="D19" s="558"/>
    </row>
    <row r="22" spans="1:4">
      <c r="B22" s="516"/>
    </row>
    <row r="23" spans="1:4">
      <c r="B23" s="518"/>
    </row>
    <row r="24" spans="1:4">
      <c r="B24" s="51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5" zoomScaleNormal="75" workbookViewId="0">
      <selection activeCell="C22" sqref="C22:D28"/>
    </sheetView>
  </sheetViews>
  <sheetFormatPr defaultColWidth="9.140625" defaultRowHeight="12.75"/>
  <cols>
    <col min="1" max="1" width="11.85546875" style="517" bestFit="1" customWidth="1"/>
    <col min="2" max="2" width="80.7109375" style="517" customWidth="1"/>
    <col min="3" max="3" width="15.5703125" style="517" customWidth="1"/>
    <col min="4" max="5" width="22.28515625" style="517" customWidth="1"/>
    <col min="6" max="6" width="23.42578125" style="517" customWidth="1"/>
    <col min="7" max="14" width="22.28515625" style="517" customWidth="1"/>
    <col min="15" max="15" width="23.28515625" style="517" bestFit="1" customWidth="1"/>
    <col min="16" max="16" width="21.7109375" style="517" bestFit="1" customWidth="1"/>
    <col min="17" max="19" width="19" style="517" bestFit="1" customWidth="1"/>
    <col min="20" max="20" width="16.140625" style="517" customWidth="1"/>
    <col min="21" max="21" width="12.28515625" style="517" bestFit="1" customWidth="1"/>
    <col min="22" max="22" width="20" style="517" customWidth="1"/>
    <col min="23" max="16384" width="9.140625" style="517"/>
  </cols>
  <sheetData>
    <row r="1" spans="1:22" ht="13.5">
      <c r="A1" s="516" t="s">
        <v>189</v>
      </c>
      <c r="B1" s="434" t="str">
        <f>Info!C2</f>
        <v>სს "კრედო ბანკი"</v>
      </c>
    </row>
    <row r="2" spans="1:22">
      <c r="A2" s="518" t="s">
        <v>190</v>
      </c>
      <c r="B2" s="520">
        <f>'1. key ratios'!B2</f>
        <v>44469</v>
      </c>
      <c r="C2" s="528"/>
    </row>
    <row r="3" spans="1:22">
      <c r="A3" s="519" t="s">
        <v>624</v>
      </c>
    </row>
    <row r="5" spans="1:22" ht="15" customHeight="1">
      <c r="A5" s="739" t="s">
        <v>625</v>
      </c>
      <c r="B5" s="741"/>
      <c r="C5" s="756" t="s">
        <v>626</v>
      </c>
      <c r="D5" s="757"/>
      <c r="E5" s="757"/>
      <c r="F5" s="757"/>
      <c r="G5" s="757"/>
      <c r="H5" s="757"/>
      <c r="I5" s="757"/>
      <c r="J5" s="757"/>
      <c r="K5" s="757"/>
      <c r="L5" s="757"/>
      <c r="M5" s="757"/>
      <c r="N5" s="757"/>
      <c r="O5" s="757"/>
      <c r="P5" s="757"/>
      <c r="Q5" s="757"/>
      <c r="R5" s="757"/>
      <c r="S5" s="757"/>
      <c r="T5" s="757"/>
      <c r="U5" s="758"/>
      <c r="V5" s="559"/>
    </row>
    <row r="6" spans="1:22">
      <c r="A6" s="754"/>
      <c r="B6" s="755"/>
      <c r="C6" s="759" t="s">
        <v>69</v>
      </c>
      <c r="D6" s="761" t="s">
        <v>627</v>
      </c>
      <c r="E6" s="761"/>
      <c r="F6" s="762"/>
      <c r="G6" s="763" t="s">
        <v>628</v>
      </c>
      <c r="H6" s="764"/>
      <c r="I6" s="764"/>
      <c r="J6" s="764"/>
      <c r="K6" s="765"/>
      <c r="L6" s="560"/>
      <c r="M6" s="766" t="s">
        <v>629</v>
      </c>
      <c r="N6" s="766"/>
      <c r="O6" s="746"/>
      <c r="P6" s="746"/>
      <c r="Q6" s="746"/>
      <c r="R6" s="746"/>
      <c r="S6" s="746"/>
      <c r="T6" s="746"/>
      <c r="U6" s="746"/>
      <c r="V6" s="561"/>
    </row>
    <row r="7" spans="1:22" ht="25.5">
      <c r="A7" s="742"/>
      <c r="B7" s="744"/>
      <c r="C7" s="760"/>
      <c r="D7" s="562"/>
      <c r="E7" s="530" t="s">
        <v>630</v>
      </c>
      <c r="F7" s="594" t="s">
        <v>631</v>
      </c>
      <c r="G7" s="528"/>
      <c r="H7" s="594" t="s">
        <v>630</v>
      </c>
      <c r="I7" s="530" t="s">
        <v>657</v>
      </c>
      <c r="J7" s="530" t="s">
        <v>632</v>
      </c>
      <c r="K7" s="594" t="s">
        <v>633</v>
      </c>
      <c r="L7" s="563"/>
      <c r="M7" s="581" t="s">
        <v>634</v>
      </c>
      <c r="N7" s="530" t="s">
        <v>632</v>
      </c>
      <c r="O7" s="530" t="s">
        <v>635</v>
      </c>
      <c r="P7" s="530" t="s">
        <v>636</v>
      </c>
      <c r="Q7" s="530" t="s">
        <v>637</v>
      </c>
      <c r="R7" s="530" t="s">
        <v>638</v>
      </c>
      <c r="S7" s="530" t="s">
        <v>639</v>
      </c>
      <c r="T7" s="564" t="s">
        <v>640</v>
      </c>
      <c r="U7" s="530" t="s">
        <v>641</v>
      </c>
      <c r="V7" s="559"/>
    </row>
    <row r="8" spans="1:22">
      <c r="A8" s="565">
        <v>1</v>
      </c>
      <c r="B8" s="524" t="s">
        <v>642</v>
      </c>
      <c r="C8" s="635">
        <f>SUM(D8:T8)</f>
        <v>1209170217.6836607</v>
      </c>
      <c r="D8" s="635">
        <f>SUM(D9:D14)</f>
        <v>1073146468.6105605</v>
      </c>
      <c r="E8" s="635">
        <f t="shared" ref="E8:U8" si="0">SUM(E9:E14)</f>
        <v>3384258.7800000017</v>
      </c>
      <c r="F8" s="635">
        <f t="shared" si="0"/>
        <v>0</v>
      </c>
      <c r="G8" s="635">
        <f t="shared" si="0"/>
        <v>97945270.651599929</v>
      </c>
      <c r="H8" s="635">
        <f t="shared" si="0"/>
        <v>3853463.0088999984</v>
      </c>
      <c r="I8" s="635">
        <f t="shared" si="0"/>
        <v>2553099.2400000012</v>
      </c>
      <c r="J8" s="635">
        <f t="shared" si="0"/>
        <v>152.0804</v>
      </c>
      <c r="K8" s="635">
        <f t="shared" si="0"/>
        <v>0</v>
      </c>
      <c r="L8" s="635">
        <f t="shared" si="0"/>
        <v>13779131.993699998</v>
      </c>
      <c r="M8" s="635">
        <f t="shared" si="0"/>
        <v>2228698.585899998</v>
      </c>
      <c r="N8" s="635">
        <f t="shared" si="0"/>
        <v>3946076.4354000003</v>
      </c>
      <c r="O8" s="635">
        <f t="shared" si="0"/>
        <v>8305505.9072000189</v>
      </c>
      <c r="P8" s="635">
        <f t="shared" si="0"/>
        <v>28092.390000000003</v>
      </c>
      <c r="Q8" s="635">
        <f t="shared" si="0"/>
        <v>0</v>
      </c>
      <c r="R8" s="635">
        <f t="shared" si="0"/>
        <v>0</v>
      </c>
      <c r="S8" s="635">
        <f t="shared" si="0"/>
        <v>0</v>
      </c>
      <c r="T8" s="635">
        <f t="shared" si="0"/>
        <v>0</v>
      </c>
      <c r="U8" s="635">
        <f t="shared" si="0"/>
        <v>4332881.6420999998</v>
      </c>
      <c r="V8" s="542"/>
    </row>
    <row r="9" spans="1:22">
      <c r="A9" s="532">
        <v>1.1000000000000001</v>
      </c>
      <c r="B9" s="566" t="s">
        <v>643</v>
      </c>
      <c r="C9" s="646"/>
      <c r="D9" s="636"/>
      <c r="E9" s="636"/>
      <c r="F9" s="636"/>
      <c r="G9" s="636"/>
      <c r="H9" s="636"/>
      <c r="I9" s="636"/>
      <c r="J9" s="636"/>
      <c r="K9" s="636"/>
      <c r="L9" s="636"/>
      <c r="M9" s="636"/>
      <c r="N9" s="636"/>
      <c r="O9" s="636"/>
      <c r="P9" s="636"/>
      <c r="Q9" s="636"/>
      <c r="R9" s="636"/>
      <c r="S9" s="636"/>
      <c r="T9" s="636"/>
      <c r="U9" s="636"/>
      <c r="V9" s="542"/>
    </row>
    <row r="10" spans="1:22">
      <c r="A10" s="532">
        <v>1.2</v>
      </c>
      <c r="B10" s="566" t="s">
        <v>644</v>
      </c>
      <c r="C10" s="646"/>
      <c r="D10" s="636"/>
      <c r="E10" s="636"/>
      <c r="F10" s="636"/>
      <c r="G10" s="636"/>
      <c r="H10" s="636"/>
      <c r="I10" s="636"/>
      <c r="J10" s="636"/>
      <c r="K10" s="636"/>
      <c r="L10" s="636"/>
      <c r="M10" s="636"/>
      <c r="N10" s="636"/>
      <c r="O10" s="636"/>
      <c r="P10" s="636"/>
      <c r="Q10" s="636"/>
      <c r="R10" s="636"/>
      <c r="S10" s="636"/>
      <c r="T10" s="636"/>
      <c r="U10" s="636"/>
      <c r="V10" s="542"/>
    </row>
    <row r="11" spans="1:22">
      <c r="A11" s="532">
        <v>1.3</v>
      </c>
      <c r="B11" s="566" t="s">
        <v>645</v>
      </c>
      <c r="C11" s="646"/>
      <c r="D11" s="636"/>
      <c r="E11" s="636"/>
      <c r="F11" s="636"/>
      <c r="G11" s="636"/>
      <c r="H11" s="636"/>
      <c r="I11" s="636"/>
      <c r="J11" s="636"/>
      <c r="K11" s="636"/>
      <c r="L11" s="636"/>
      <c r="M11" s="636"/>
      <c r="N11" s="636"/>
      <c r="O11" s="636"/>
      <c r="P11" s="636"/>
      <c r="Q11" s="636"/>
      <c r="R11" s="636"/>
      <c r="S11" s="636"/>
      <c r="T11" s="636"/>
      <c r="U11" s="636"/>
      <c r="V11" s="542"/>
    </row>
    <row r="12" spans="1:22">
      <c r="A12" s="532">
        <v>1.4</v>
      </c>
      <c r="B12" s="566" t="s">
        <v>646</v>
      </c>
      <c r="C12" s="646"/>
      <c r="D12" s="636"/>
      <c r="E12" s="636"/>
      <c r="F12" s="636"/>
      <c r="G12" s="636"/>
      <c r="H12" s="636"/>
      <c r="I12" s="636"/>
      <c r="J12" s="636"/>
      <c r="K12" s="636"/>
      <c r="L12" s="636"/>
      <c r="M12" s="636"/>
      <c r="N12" s="636"/>
      <c r="O12" s="636"/>
      <c r="P12" s="636"/>
      <c r="Q12" s="636"/>
      <c r="R12" s="636"/>
      <c r="S12" s="636"/>
      <c r="T12" s="636"/>
      <c r="U12" s="636"/>
      <c r="V12" s="542"/>
    </row>
    <row r="13" spans="1:22">
      <c r="A13" s="532">
        <v>1.5</v>
      </c>
      <c r="B13" s="566" t="s">
        <v>647</v>
      </c>
      <c r="C13" s="635">
        <f t="shared" ref="C13:C14" si="1">SUM(D13:T13)</f>
        <v>38189235.14359998</v>
      </c>
      <c r="D13" s="636">
        <v>28218248.186299983</v>
      </c>
      <c r="E13" s="636">
        <v>287.70999999999998</v>
      </c>
      <c r="F13" s="636"/>
      <c r="G13" s="636">
        <v>9734466.4514999967</v>
      </c>
      <c r="H13" s="636">
        <v>16316.32</v>
      </c>
      <c r="I13" s="636">
        <v>2355.0100000000002</v>
      </c>
      <c r="J13" s="636"/>
      <c r="K13" s="636"/>
      <c r="L13" s="636">
        <v>168663.21579999998</v>
      </c>
      <c r="M13" s="636">
        <v>45.31</v>
      </c>
      <c r="N13" s="636">
        <v>48852.94</v>
      </c>
      <c r="O13" s="636"/>
      <c r="P13" s="636"/>
      <c r="Q13" s="636"/>
      <c r="R13" s="636"/>
      <c r="S13" s="636"/>
      <c r="T13" s="636"/>
      <c r="U13" s="636"/>
      <c r="V13" s="542"/>
    </row>
    <row r="14" spans="1:22">
      <c r="A14" s="532">
        <v>1.6</v>
      </c>
      <c r="B14" s="566" t="s">
        <v>648</v>
      </c>
      <c r="C14" s="635">
        <f t="shared" si="1"/>
        <v>1170980982.5400605</v>
      </c>
      <c r="D14" s="636">
        <v>1044928220.4242605</v>
      </c>
      <c r="E14" s="636">
        <v>3383971.0700000017</v>
      </c>
      <c r="F14" s="636"/>
      <c r="G14" s="636">
        <v>88210804.20009993</v>
      </c>
      <c r="H14" s="636">
        <v>3837146.6888999986</v>
      </c>
      <c r="I14" s="636">
        <v>2550744.2300000014</v>
      </c>
      <c r="J14" s="636">
        <v>152.0804</v>
      </c>
      <c r="K14" s="636"/>
      <c r="L14" s="636">
        <v>13610468.777899997</v>
      </c>
      <c r="M14" s="636">
        <v>2228653.2758999979</v>
      </c>
      <c r="N14" s="636">
        <v>3897223.4954000004</v>
      </c>
      <c r="O14" s="636">
        <v>8305505.9072000189</v>
      </c>
      <c r="P14" s="636">
        <v>28092.390000000003</v>
      </c>
      <c r="Q14" s="636"/>
      <c r="R14" s="636"/>
      <c r="S14" s="636"/>
      <c r="T14" s="636"/>
      <c r="U14" s="636">
        <v>4332881.6420999998</v>
      </c>
      <c r="V14" s="542"/>
    </row>
    <row r="15" spans="1:22">
      <c r="A15" s="565">
        <v>2</v>
      </c>
      <c r="B15" s="543" t="s">
        <v>649</v>
      </c>
      <c r="C15" s="635">
        <f>SUM(C16:C21)</f>
        <v>42858627.269999996</v>
      </c>
      <c r="D15" s="635">
        <f>SUM(D16:D21)</f>
        <v>42858627.269999996</v>
      </c>
      <c r="E15" s="636"/>
      <c r="F15" s="636"/>
      <c r="G15" s="636"/>
      <c r="H15" s="636"/>
      <c r="I15" s="636"/>
      <c r="J15" s="636"/>
      <c r="K15" s="636"/>
      <c r="L15" s="636"/>
      <c r="M15" s="636"/>
      <c r="N15" s="636"/>
      <c r="O15" s="636"/>
      <c r="P15" s="636"/>
      <c r="Q15" s="636"/>
      <c r="R15" s="636"/>
      <c r="S15" s="636"/>
      <c r="T15" s="636"/>
      <c r="U15" s="636"/>
      <c r="V15" s="542"/>
    </row>
    <row r="16" spans="1:22">
      <c r="A16" s="532">
        <v>2.1</v>
      </c>
      <c r="B16" s="566" t="s">
        <v>643</v>
      </c>
      <c r="C16" s="646"/>
      <c r="D16" s="636"/>
      <c r="E16" s="636"/>
      <c r="F16" s="636"/>
      <c r="G16" s="636"/>
      <c r="H16" s="636"/>
      <c r="I16" s="636"/>
      <c r="J16" s="636"/>
      <c r="K16" s="636"/>
      <c r="L16" s="636"/>
      <c r="M16" s="636"/>
      <c r="N16" s="636"/>
      <c r="O16" s="636"/>
      <c r="P16" s="636"/>
      <c r="Q16" s="636"/>
      <c r="R16" s="636"/>
      <c r="S16" s="636"/>
      <c r="T16" s="636"/>
      <c r="U16" s="636"/>
      <c r="V16" s="542"/>
    </row>
    <row r="17" spans="1:22">
      <c r="A17" s="532">
        <v>2.2000000000000002</v>
      </c>
      <c r="B17" s="566" t="s">
        <v>644</v>
      </c>
      <c r="C17" s="647">
        <v>16858627.27</v>
      </c>
      <c r="D17" s="636">
        <v>16858627.27</v>
      </c>
      <c r="E17" s="636"/>
      <c r="F17" s="636"/>
      <c r="G17" s="636"/>
      <c r="H17" s="636"/>
      <c r="I17" s="636"/>
      <c r="J17" s="636"/>
      <c r="K17" s="636"/>
      <c r="L17" s="636"/>
      <c r="M17" s="636"/>
      <c r="N17" s="636"/>
      <c r="O17" s="636"/>
      <c r="P17" s="636"/>
      <c r="Q17" s="636"/>
      <c r="R17" s="636"/>
      <c r="S17" s="636"/>
      <c r="T17" s="636"/>
      <c r="U17" s="636"/>
      <c r="V17" s="542"/>
    </row>
    <row r="18" spans="1:22">
      <c r="A18" s="532">
        <v>2.2999999999999998</v>
      </c>
      <c r="B18" s="566" t="s">
        <v>645</v>
      </c>
      <c r="C18" s="647">
        <v>26000000</v>
      </c>
      <c r="D18" s="636">
        <v>26000000</v>
      </c>
      <c r="E18" s="636"/>
      <c r="F18" s="636"/>
      <c r="G18" s="636"/>
      <c r="H18" s="636"/>
      <c r="I18" s="636"/>
      <c r="J18" s="636"/>
      <c r="K18" s="636"/>
      <c r="L18" s="636"/>
      <c r="M18" s="636"/>
      <c r="N18" s="636"/>
      <c r="O18" s="636"/>
      <c r="P18" s="636"/>
      <c r="Q18" s="636"/>
      <c r="R18" s="636"/>
      <c r="S18" s="636"/>
      <c r="T18" s="636"/>
      <c r="U18" s="636"/>
      <c r="V18" s="542"/>
    </row>
    <row r="19" spans="1:22">
      <c r="A19" s="532">
        <v>2.4</v>
      </c>
      <c r="B19" s="566" t="s">
        <v>646</v>
      </c>
      <c r="C19" s="646"/>
      <c r="D19" s="636"/>
      <c r="E19" s="636"/>
      <c r="F19" s="636"/>
      <c r="G19" s="636"/>
      <c r="H19" s="636"/>
      <c r="I19" s="636"/>
      <c r="J19" s="636"/>
      <c r="K19" s="636"/>
      <c r="L19" s="636"/>
      <c r="M19" s="636"/>
      <c r="N19" s="636"/>
      <c r="O19" s="636"/>
      <c r="P19" s="636"/>
      <c r="Q19" s="636"/>
      <c r="R19" s="636"/>
      <c r="S19" s="636"/>
      <c r="T19" s="636"/>
      <c r="U19" s="636"/>
      <c r="V19" s="542"/>
    </row>
    <row r="20" spans="1:22">
      <c r="A20" s="532">
        <v>2.5</v>
      </c>
      <c r="B20" s="566" t="s">
        <v>647</v>
      </c>
      <c r="C20" s="646"/>
      <c r="D20" s="636"/>
      <c r="E20" s="636"/>
      <c r="F20" s="636"/>
      <c r="G20" s="636"/>
      <c r="H20" s="636"/>
      <c r="I20" s="636"/>
      <c r="J20" s="636"/>
      <c r="K20" s="636"/>
      <c r="L20" s="636"/>
      <c r="M20" s="636"/>
      <c r="N20" s="636"/>
      <c r="O20" s="636"/>
      <c r="P20" s="636"/>
      <c r="Q20" s="636"/>
      <c r="R20" s="636"/>
      <c r="S20" s="636"/>
      <c r="T20" s="636"/>
      <c r="U20" s="636"/>
      <c r="V20" s="542"/>
    </row>
    <row r="21" spans="1:22">
      <c r="A21" s="532">
        <v>2.6</v>
      </c>
      <c r="B21" s="566" t="s">
        <v>648</v>
      </c>
      <c r="C21" s="646"/>
      <c r="D21" s="636"/>
      <c r="E21" s="636"/>
      <c r="F21" s="636"/>
      <c r="G21" s="636"/>
      <c r="H21" s="636"/>
      <c r="I21" s="636"/>
      <c r="J21" s="636"/>
      <c r="K21" s="636"/>
      <c r="L21" s="636"/>
      <c r="M21" s="636"/>
      <c r="N21" s="636"/>
      <c r="O21" s="636"/>
      <c r="P21" s="636"/>
      <c r="Q21" s="636"/>
      <c r="R21" s="636"/>
      <c r="S21" s="636"/>
      <c r="T21" s="636"/>
      <c r="U21" s="636"/>
      <c r="V21" s="542"/>
    </row>
    <row r="22" spans="1:22">
      <c r="A22" s="565">
        <v>3</v>
      </c>
      <c r="B22" s="524" t="s">
        <v>650</v>
      </c>
      <c r="C22" s="635">
        <f>SUM(C23:C28)</f>
        <v>29763625</v>
      </c>
      <c r="D22" s="636">
        <v>35000</v>
      </c>
      <c r="E22" s="567"/>
      <c r="F22" s="567"/>
      <c r="G22" s="636"/>
      <c r="H22" s="567"/>
      <c r="I22" s="567"/>
      <c r="J22" s="567"/>
      <c r="K22" s="567"/>
      <c r="L22" s="532"/>
      <c r="M22" s="567"/>
      <c r="N22" s="567"/>
      <c r="O22" s="567"/>
      <c r="P22" s="567"/>
      <c r="Q22" s="567"/>
      <c r="R22" s="567"/>
      <c r="S22" s="567"/>
      <c r="T22" s="567"/>
      <c r="U22" s="532"/>
      <c r="V22" s="542"/>
    </row>
    <row r="23" spans="1:22">
      <c r="A23" s="532">
        <v>3.1</v>
      </c>
      <c r="B23" s="566" t="s">
        <v>643</v>
      </c>
      <c r="C23" s="646"/>
      <c r="D23" s="636"/>
      <c r="E23" s="567"/>
      <c r="F23" s="567"/>
      <c r="G23" s="636"/>
      <c r="H23" s="567"/>
      <c r="I23" s="567"/>
      <c r="J23" s="567"/>
      <c r="K23" s="567"/>
      <c r="L23" s="532"/>
      <c r="M23" s="567"/>
      <c r="N23" s="567"/>
      <c r="O23" s="567"/>
      <c r="P23" s="567"/>
      <c r="Q23" s="567"/>
      <c r="R23" s="567"/>
      <c r="S23" s="567"/>
      <c r="T23" s="567"/>
      <c r="U23" s="532"/>
      <c r="V23" s="542"/>
    </row>
    <row r="24" spans="1:22">
      <c r="A24" s="532">
        <v>3.2</v>
      </c>
      <c r="B24" s="566" t="s">
        <v>644</v>
      </c>
      <c r="C24" s="646"/>
      <c r="D24" s="636"/>
      <c r="E24" s="567"/>
      <c r="F24" s="567"/>
      <c r="G24" s="636"/>
      <c r="H24" s="567"/>
      <c r="I24" s="567"/>
      <c r="J24" s="567"/>
      <c r="K24" s="567"/>
      <c r="L24" s="532"/>
      <c r="M24" s="567"/>
      <c r="N24" s="567"/>
      <c r="O24" s="567"/>
      <c r="P24" s="567"/>
      <c r="Q24" s="567"/>
      <c r="R24" s="567"/>
      <c r="S24" s="567"/>
      <c r="T24" s="567"/>
      <c r="U24" s="532"/>
      <c r="V24" s="542"/>
    </row>
    <row r="25" spans="1:22">
      <c r="A25" s="532">
        <v>3.3</v>
      </c>
      <c r="B25" s="566" t="s">
        <v>645</v>
      </c>
      <c r="C25" s="646"/>
      <c r="D25" s="636"/>
      <c r="E25" s="567"/>
      <c r="F25" s="567"/>
      <c r="G25" s="636"/>
      <c r="H25" s="567"/>
      <c r="I25" s="567"/>
      <c r="J25" s="567"/>
      <c r="K25" s="567"/>
      <c r="L25" s="532"/>
      <c r="M25" s="567"/>
      <c r="N25" s="567"/>
      <c r="O25" s="567"/>
      <c r="P25" s="567"/>
      <c r="Q25" s="567"/>
      <c r="R25" s="567"/>
      <c r="S25" s="567"/>
      <c r="T25" s="567"/>
      <c r="U25" s="532"/>
      <c r="V25" s="542"/>
    </row>
    <row r="26" spans="1:22">
      <c r="A26" s="532">
        <v>3.4</v>
      </c>
      <c r="B26" s="566" t="s">
        <v>646</v>
      </c>
      <c r="C26" s="646"/>
      <c r="D26" s="636"/>
      <c r="E26" s="567"/>
      <c r="F26" s="567"/>
      <c r="G26" s="636"/>
      <c r="H26" s="567"/>
      <c r="I26" s="567"/>
      <c r="J26" s="567"/>
      <c r="K26" s="567"/>
      <c r="L26" s="532"/>
      <c r="M26" s="567"/>
      <c r="N26" s="567"/>
      <c r="O26" s="567"/>
      <c r="P26" s="567"/>
      <c r="Q26" s="567"/>
      <c r="R26" s="567"/>
      <c r="S26" s="567"/>
      <c r="T26" s="567"/>
      <c r="U26" s="532"/>
      <c r="V26" s="542"/>
    </row>
    <row r="27" spans="1:22">
      <c r="A27" s="532">
        <v>3.5</v>
      </c>
      <c r="B27" s="566" t="s">
        <v>647</v>
      </c>
      <c r="C27" s="646">
        <v>35000</v>
      </c>
      <c r="D27" s="636">
        <v>35000</v>
      </c>
      <c r="E27" s="567"/>
      <c r="F27" s="567"/>
      <c r="G27" s="636"/>
      <c r="H27" s="567"/>
      <c r="I27" s="567"/>
      <c r="J27" s="567"/>
      <c r="K27" s="567"/>
      <c r="L27" s="532"/>
      <c r="M27" s="567"/>
      <c r="N27" s="567"/>
      <c r="O27" s="567"/>
      <c r="P27" s="567"/>
      <c r="Q27" s="567"/>
      <c r="R27" s="567"/>
      <c r="S27" s="567"/>
      <c r="T27" s="567"/>
      <c r="U27" s="532"/>
      <c r="V27" s="542"/>
    </row>
    <row r="28" spans="1:22">
      <c r="A28" s="532">
        <v>3.6</v>
      </c>
      <c r="B28" s="566" t="s">
        <v>648</v>
      </c>
      <c r="C28" s="646">
        <v>29728625</v>
      </c>
      <c r="D28" s="636"/>
      <c r="E28" s="567"/>
      <c r="F28" s="567"/>
      <c r="G28" s="636"/>
      <c r="H28" s="567"/>
      <c r="I28" s="567"/>
      <c r="J28" s="567"/>
      <c r="K28" s="567"/>
      <c r="L28" s="532"/>
      <c r="M28" s="567"/>
      <c r="N28" s="567"/>
      <c r="O28" s="567"/>
      <c r="P28" s="567"/>
      <c r="Q28" s="567"/>
      <c r="R28" s="567"/>
      <c r="S28" s="567"/>
      <c r="T28" s="567"/>
      <c r="U28" s="532"/>
      <c r="V28" s="542"/>
    </row>
  </sheetData>
  <mergeCells count="6">
    <mergeCell ref="A5:B7"/>
    <mergeCell ref="C5:U5"/>
    <mergeCell ref="C6:C7"/>
    <mergeCell ref="D6:F6"/>
    <mergeCell ref="G6:K6"/>
    <mergeCell ref="M6:U6"/>
  </mergeCells>
  <pageMargins left="0.7" right="0.7" top="0.75" bottom="0.75" header="0.3" footer="0.3"/>
  <pageSetup orientation="portrait" r:id="rId1"/>
  <ignoredErrors>
    <ignoredError sqref="D15 C14"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topLeftCell="H2" zoomScale="80" zoomScaleNormal="80" workbookViewId="0">
      <selection activeCell="O16" sqref="O16"/>
    </sheetView>
  </sheetViews>
  <sheetFormatPr defaultColWidth="9.140625" defaultRowHeight="12.75"/>
  <cols>
    <col min="1" max="1" width="11.85546875" style="517" bestFit="1" customWidth="1"/>
    <col min="2" max="2" width="90.28515625" style="517" bestFit="1" customWidth="1"/>
    <col min="3" max="3" width="20.140625" style="517" customWidth="1"/>
    <col min="4" max="4" width="22.28515625" style="517" customWidth="1"/>
    <col min="5" max="5" width="17.140625" style="517" customWidth="1"/>
    <col min="6" max="7" width="22.28515625" style="517" customWidth="1"/>
    <col min="8" max="8" width="17.140625" style="517" customWidth="1"/>
    <col min="9" max="14" width="22.28515625" style="517" customWidth="1"/>
    <col min="15" max="15" width="23.28515625" style="517" bestFit="1" customWidth="1"/>
    <col min="16" max="16" width="21.7109375" style="517" bestFit="1" customWidth="1"/>
    <col min="17" max="19" width="19" style="517" bestFit="1" customWidth="1"/>
    <col min="20" max="20" width="15.42578125" style="517" customWidth="1"/>
    <col min="21" max="21" width="20" style="517" customWidth="1"/>
    <col min="22" max="16384" width="9.140625" style="517"/>
  </cols>
  <sheetData>
    <row r="1" spans="1:21" ht="13.5">
      <c r="A1" s="516" t="s">
        <v>189</v>
      </c>
      <c r="B1" s="434" t="str">
        <f>Info!C2</f>
        <v>სს "კრედო ბანკი"</v>
      </c>
    </row>
    <row r="2" spans="1:21">
      <c r="A2" s="518" t="s">
        <v>190</v>
      </c>
      <c r="B2" s="520">
        <f>'1. key ratios'!B2</f>
        <v>44469</v>
      </c>
    </row>
    <row r="3" spans="1:21">
      <c r="A3" s="519" t="s">
        <v>651</v>
      </c>
      <c r="C3" s="520"/>
    </row>
    <row r="4" spans="1:21">
      <c r="A4" s="519"/>
      <c r="B4" s="520"/>
      <c r="C4" s="520"/>
    </row>
    <row r="5" spans="1:21" s="540" customFormat="1" ht="13.5" customHeight="1">
      <c r="A5" s="767" t="s">
        <v>652</v>
      </c>
      <c r="B5" s="768"/>
      <c r="C5" s="773" t="s">
        <v>653</v>
      </c>
      <c r="D5" s="774"/>
      <c r="E5" s="774"/>
      <c r="F5" s="774"/>
      <c r="G5" s="774"/>
      <c r="H5" s="774"/>
      <c r="I5" s="774"/>
      <c r="J5" s="774"/>
      <c r="K5" s="774"/>
      <c r="L5" s="774"/>
      <c r="M5" s="774"/>
      <c r="N5" s="774"/>
      <c r="O5" s="774"/>
      <c r="P5" s="774"/>
      <c r="Q5" s="774"/>
      <c r="R5" s="774"/>
      <c r="S5" s="774"/>
      <c r="T5" s="775"/>
      <c r="U5" s="595"/>
    </row>
    <row r="6" spans="1:21" s="540" customFormat="1">
      <c r="A6" s="769"/>
      <c r="B6" s="770"/>
      <c r="C6" s="753" t="s">
        <v>69</v>
      </c>
      <c r="D6" s="773" t="s">
        <v>654</v>
      </c>
      <c r="E6" s="774"/>
      <c r="F6" s="775"/>
      <c r="G6" s="773" t="s">
        <v>655</v>
      </c>
      <c r="H6" s="774"/>
      <c r="I6" s="774"/>
      <c r="J6" s="774"/>
      <c r="K6" s="775"/>
      <c r="L6" s="776" t="s">
        <v>656</v>
      </c>
      <c r="M6" s="777"/>
      <c r="N6" s="777"/>
      <c r="O6" s="777"/>
      <c r="P6" s="777"/>
      <c r="Q6" s="777"/>
      <c r="R6" s="777"/>
      <c r="S6" s="777"/>
      <c r="T6" s="778"/>
      <c r="U6" s="591"/>
    </row>
    <row r="7" spans="1:21" s="540" customFormat="1" ht="25.5">
      <c r="A7" s="771"/>
      <c r="B7" s="772"/>
      <c r="C7" s="753"/>
      <c r="E7" s="581" t="s">
        <v>630</v>
      </c>
      <c r="F7" s="594" t="s">
        <v>631</v>
      </c>
      <c r="H7" s="581" t="s">
        <v>630</v>
      </c>
      <c r="I7" s="594" t="s">
        <v>657</v>
      </c>
      <c r="J7" s="594" t="s">
        <v>632</v>
      </c>
      <c r="K7" s="594" t="s">
        <v>633</v>
      </c>
      <c r="L7" s="596"/>
      <c r="M7" s="581" t="s">
        <v>634</v>
      </c>
      <c r="N7" s="594" t="s">
        <v>632</v>
      </c>
      <c r="O7" s="594" t="s">
        <v>635</v>
      </c>
      <c r="P7" s="594" t="s">
        <v>636</v>
      </c>
      <c r="Q7" s="594" t="s">
        <v>637</v>
      </c>
      <c r="R7" s="594" t="s">
        <v>638</v>
      </c>
      <c r="S7" s="594" t="s">
        <v>639</v>
      </c>
      <c r="T7" s="597" t="s">
        <v>640</v>
      </c>
      <c r="U7" s="595"/>
    </row>
    <row r="8" spans="1:21">
      <c r="A8" s="568">
        <v>1</v>
      </c>
      <c r="B8" s="557" t="s">
        <v>642</v>
      </c>
      <c r="C8" s="648">
        <f>SUM(D8:T8)</f>
        <v>1209170217.6836607</v>
      </c>
      <c r="D8" s="636">
        <v>1073146468.6105605</v>
      </c>
      <c r="E8" s="636">
        <v>3384258.7800000017</v>
      </c>
      <c r="F8" s="636">
        <v>0</v>
      </c>
      <c r="G8" s="636">
        <v>97945270.651599929</v>
      </c>
      <c r="H8" s="636">
        <v>3853463.0088999984</v>
      </c>
      <c r="I8" s="636">
        <v>2553099.2400000012</v>
      </c>
      <c r="J8" s="636">
        <v>152.0804</v>
      </c>
      <c r="K8" s="636">
        <v>0</v>
      </c>
      <c r="L8" s="636">
        <v>13779131.993699998</v>
      </c>
      <c r="M8" s="636">
        <v>2228698.585899998</v>
      </c>
      <c r="N8" s="636">
        <v>3946076.4354000003</v>
      </c>
      <c r="O8" s="636">
        <v>8305505.9072000189</v>
      </c>
      <c r="P8" s="636">
        <v>28092.390000000003</v>
      </c>
      <c r="Q8" s="636"/>
      <c r="R8" s="636"/>
      <c r="S8" s="636"/>
      <c r="T8" s="636"/>
      <c r="U8" s="542"/>
    </row>
    <row r="9" spans="1:21">
      <c r="A9" s="566">
        <v>1.1000000000000001</v>
      </c>
      <c r="B9" s="566" t="s">
        <v>658</v>
      </c>
      <c r="C9" s="648">
        <f t="shared" ref="C9:C17" si="0">SUM(D9:T9)</f>
        <v>237661249.31660008</v>
      </c>
      <c r="D9" s="636">
        <v>180600834.10800004</v>
      </c>
      <c r="E9" s="636">
        <v>133170.37</v>
      </c>
      <c r="F9" s="636"/>
      <c r="G9" s="636">
        <v>49644857.065400042</v>
      </c>
      <c r="H9" s="636">
        <v>93850.23539999999</v>
      </c>
      <c r="I9" s="636">
        <v>36471.15</v>
      </c>
      <c r="J9" s="636">
        <v>152.0804</v>
      </c>
      <c r="K9" s="636"/>
      <c r="L9" s="636">
        <v>6840952.772499999</v>
      </c>
      <c r="M9" s="636">
        <v>171876.1171</v>
      </c>
      <c r="N9" s="636">
        <v>37048.99</v>
      </c>
      <c r="O9" s="636">
        <v>102036.4278</v>
      </c>
      <c r="P9" s="636"/>
      <c r="Q9" s="636"/>
      <c r="R9" s="636"/>
      <c r="S9" s="636"/>
      <c r="T9" s="636"/>
      <c r="U9" s="542"/>
    </row>
    <row r="10" spans="1:21">
      <c r="A10" s="569" t="s">
        <v>252</v>
      </c>
      <c r="B10" s="569" t="s">
        <v>659</v>
      </c>
      <c r="C10" s="648">
        <f t="shared" si="0"/>
        <v>231749145.77420023</v>
      </c>
      <c r="D10" s="635">
        <f>SUM(D11:D14)</f>
        <v>175225282.18140021</v>
      </c>
      <c r="E10" s="635">
        <f t="shared" ref="E10:P10" si="1">SUM(E11:E14)</f>
        <v>120821.59</v>
      </c>
      <c r="F10" s="635">
        <f t="shared" si="1"/>
        <v>0</v>
      </c>
      <c r="G10" s="635">
        <f t="shared" si="1"/>
        <v>49271537.259000033</v>
      </c>
      <c r="H10" s="635">
        <f t="shared" si="1"/>
        <v>83905.505399999995</v>
      </c>
      <c r="I10" s="635">
        <f t="shared" si="1"/>
        <v>10771.49</v>
      </c>
      <c r="J10" s="635">
        <f t="shared" si="1"/>
        <v>152.0804</v>
      </c>
      <c r="K10" s="635">
        <f t="shared" si="1"/>
        <v>0</v>
      </c>
      <c r="L10" s="635">
        <f t="shared" si="1"/>
        <v>6769019.5230999999</v>
      </c>
      <c r="M10" s="635">
        <f t="shared" si="1"/>
        <v>167523.7371</v>
      </c>
      <c r="N10" s="635">
        <f t="shared" si="1"/>
        <v>22580.09</v>
      </c>
      <c r="O10" s="635">
        <f t="shared" si="1"/>
        <v>77552.31779999999</v>
      </c>
      <c r="P10" s="635">
        <f t="shared" si="1"/>
        <v>0</v>
      </c>
      <c r="Q10" s="635"/>
      <c r="R10" s="635"/>
      <c r="S10" s="635"/>
      <c r="T10" s="635"/>
      <c r="U10" s="542"/>
    </row>
    <row r="11" spans="1:21">
      <c r="A11" s="570" t="s">
        <v>660</v>
      </c>
      <c r="B11" s="571" t="s">
        <v>661</v>
      </c>
      <c r="C11" s="648">
        <f t="shared" si="0"/>
        <v>178020455.5118002</v>
      </c>
      <c r="D11" s="636">
        <v>135742690.36900017</v>
      </c>
      <c r="E11" s="636">
        <v>70821.59</v>
      </c>
      <c r="F11" s="636"/>
      <c r="G11" s="636">
        <v>38457722.951700032</v>
      </c>
      <c r="H11" s="636">
        <v>83905.505399999995</v>
      </c>
      <c r="I11" s="636">
        <v>10771.49</v>
      </c>
      <c r="J11" s="636">
        <v>152.0804</v>
      </c>
      <c r="K11" s="636"/>
      <c r="L11" s="636">
        <v>3386735.3804000001</v>
      </c>
      <c r="M11" s="636">
        <v>167523.7371</v>
      </c>
      <c r="N11" s="636">
        <v>22580.09</v>
      </c>
      <c r="O11" s="636">
        <v>77552.31779999999</v>
      </c>
      <c r="P11" s="636"/>
      <c r="Q11" s="636"/>
      <c r="R11" s="636"/>
      <c r="S11" s="636"/>
      <c r="T11" s="636"/>
      <c r="U11" s="542"/>
    </row>
    <row r="12" spans="1:21">
      <c r="A12" s="570" t="s">
        <v>662</v>
      </c>
      <c r="B12" s="571" t="s">
        <v>663</v>
      </c>
      <c r="C12" s="648">
        <f t="shared" si="0"/>
        <v>33876009.471200027</v>
      </c>
      <c r="D12" s="636">
        <v>23498953.185300026</v>
      </c>
      <c r="E12" s="636"/>
      <c r="F12" s="636"/>
      <c r="G12" s="636">
        <v>8319640.0702999998</v>
      </c>
      <c r="H12" s="636"/>
      <c r="I12" s="636"/>
      <c r="J12" s="636"/>
      <c r="K12" s="636"/>
      <c r="L12" s="636">
        <v>2057416.2155999998</v>
      </c>
      <c r="M12" s="636"/>
      <c r="N12" s="636"/>
      <c r="O12" s="636"/>
      <c r="P12" s="636"/>
      <c r="Q12" s="636"/>
      <c r="R12" s="636"/>
      <c r="S12" s="636"/>
      <c r="T12" s="636"/>
      <c r="U12" s="542"/>
    </row>
    <row r="13" spans="1:21">
      <c r="A13" s="570" t="s">
        <v>664</v>
      </c>
      <c r="B13" s="571" t="s">
        <v>665</v>
      </c>
      <c r="C13" s="648">
        <f t="shared" si="0"/>
        <v>10555560.4177</v>
      </c>
      <c r="D13" s="636">
        <v>7474793.0170999998</v>
      </c>
      <c r="E13" s="636">
        <v>50000</v>
      </c>
      <c r="F13" s="636"/>
      <c r="G13" s="636">
        <v>1718746.4935000001</v>
      </c>
      <c r="H13" s="636"/>
      <c r="I13" s="636"/>
      <c r="J13" s="636"/>
      <c r="K13" s="636"/>
      <c r="L13" s="636">
        <v>1312020.9071</v>
      </c>
      <c r="M13" s="636"/>
      <c r="N13" s="636"/>
      <c r="O13" s="636"/>
      <c r="P13" s="636"/>
      <c r="Q13" s="636"/>
      <c r="R13" s="636"/>
      <c r="S13" s="636"/>
      <c r="T13" s="636"/>
      <c r="U13" s="542"/>
    </row>
    <row r="14" spans="1:21">
      <c r="A14" s="570" t="s">
        <v>666</v>
      </c>
      <c r="B14" s="571" t="s">
        <v>667</v>
      </c>
      <c r="C14" s="648">
        <f t="shared" si="0"/>
        <v>9297120.3735000007</v>
      </c>
      <c r="D14" s="636">
        <v>8508845.6100000013</v>
      </c>
      <c r="E14" s="636"/>
      <c r="F14" s="636"/>
      <c r="G14" s="636">
        <v>775427.7435000001</v>
      </c>
      <c r="H14" s="636"/>
      <c r="I14" s="636"/>
      <c r="J14" s="636"/>
      <c r="K14" s="636"/>
      <c r="L14" s="636">
        <v>12847.02</v>
      </c>
      <c r="M14" s="636"/>
      <c r="N14" s="636"/>
      <c r="O14" s="636"/>
      <c r="P14" s="636"/>
      <c r="Q14" s="636"/>
      <c r="R14" s="636"/>
      <c r="S14" s="636"/>
      <c r="T14" s="636"/>
      <c r="U14" s="542"/>
    </row>
    <row r="15" spans="1:21">
      <c r="A15" s="572">
        <v>1.2</v>
      </c>
      <c r="B15" s="573" t="s">
        <v>668</v>
      </c>
      <c r="C15" s="648">
        <f t="shared" si="0"/>
        <v>11721509.031200005</v>
      </c>
      <c r="D15" s="636">
        <v>3612016.6814000001</v>
      </c>
      <c r="E15" s="636">
        <v>2663.4074000000001</v>
      </c>
      <c r="F15" s="636"/>
      <c r="G15" s="636">
        <v>4964485.7081000032</v>
      </c>
      <c r="H15" s="636">
        <v>9385.0234999999993</v>
      </c>
      <c r="I15" s="636">
        <v>3647.1150000000002</v>
      </c>
      <c r="J15" s="636">
        <v>15.208</v>
      </c>
      <c r="K15" s="636"/>
      <c r="L15" s="636">
        <v>2942441.1547000003</v>
      </c>
      <c r="M15" s="636">
        <v>110363.81020000002</v>
      </c>
      <c r="N15" s="636">
        <v>11114.697</v>
      </c>
      <c r="O15" s="636">
        <v>65376.225900000005</v>
      </c>
      <c r="P15" s="636"/>
      <c r="Q15" s="636"/>
      <c r="R15" s="636"/>
      <c r="S15" s="636"/>
      <c r="T15" s="636"/>
      <c r="U15" s="542"/>
    </row>
    <row r="16" spans="1:21">
      <c r="A16" s="574">
        <v>1.3</v>
      </c>
      <c r="B16" s="573" t="s">
        <v>669</v>
      </c>
      <c r="C16" s="649"/>
      <c r="D16" s="649"/>
      <c r="E16" s="649"/>
      <c r="F16" s="649"/>
      <c r="G16" s="649"/>
      <c r="H16" s="649"/>
      <c r="I16" s="649"/>
      <c r="J16" s="649"/>
      <c r="K16" s="649"/>
      <c r="L16" s="649"/>
      <c r="M16" s="649"/>
      <c r="N16" s="649"/>
      <c r="O16" s="649"/>
      <c r="P16" s="649"/>
      <c r="Q16" s="649"/>
      <c r="R16" s="649"/>
      <c r="S16" s="649"/>
      <c r="T16" s="649"/>
      <c r="U16" s="542"/>
    </row>
    <row r="17" spans="1:21" s="540" customFormat="1" ht="25.5">
      <c r="A17" s="575" t="s">
        <v>670</v>
      </c>
      <c r="B17" s="576" t="s">
        <v>671</v>
      </c>
      <c r="C17" s="648">
        <f t="shared" si="0"/>
        <v>235720460.20256791</v>
      </c>
      <c r="D17" s="637">
        <v>178970904.65746787</v>
      </c>
      <c r="E17" s="637">
        <v>133170.37</v>
      </c>
      <c r="F17" s="637"/>
      <c r="G17" s="637">
        <v>49344772.761900038</v>
      </c>
      <c r="H17" s="637">
        <v>93850.23539999999</v>
      </c>
      <c r="I17" s="637">
        <v>36471.15</v>
      </c>
      <c r="J17" s="637">
        <v>152.0804</v>
      </c>
      <c r="K17" s="637"/>
      <c r="L17" s="637">
        <v>6830609.9824999999</v>
      </c>
      <c r="M17" s="637">
        <v>171876.1171</v>
      </c>
      <c r="N17" s="637">
        <v>37048.99</v>
      </c>
      <c r="O17" s="637">
        <v>101603.8578</v>
      </c>
      <c r="P17" s="637"/>
      <c r="Q17" s="637"/>
      <c r="R17" s="637"/>
      <c r="S17" s="637"/>
      <c r="T17" s="637"/>
      <c r="U17" s="546"/>
    </row>
    <row r="18" spans="1:21" s="540" customFormat="1" ht="25.5">
      <c r="A18" s="577" t="s">
        <v>672</v>
      </c>
      <c r="B18" s="577" t="s">
        <v>673</v>
      </c>
      <c r="C18" s="648">
        <f>SUM(D18:T18)</f>
        <v>229043124.57396823</v>
      </c>
      <c r="D18" s="637">
        <v>172862888.74466819</v>
      </c>
      <c r="E18" s="637">
        <v>120821.59</v>
      </c>
      <c r="F18" s="637"/>
      <c r="G18" s="637">
        <v>48934860.515500031</v>
      </c>
      <c r="H18" s="637">
        <v>83905.505399999995</v>
      </c>
      <c r="I18" s="637">
        <v>10771.49</v>
      </c>
      <c r="J18" s="637">
        <v>152.0804</v>
      </c>
      <c r="K18" s="637"/>
      <c r="L18" s="637">
        <v>6762068.5031000003</v>
      </c>
      <c r="M18" s="637">
        <v>167523.7371</v>
      </c>
      <c r="N18" s="637">
        <v>22580.09</v>
      </c>
      <c r="O18" s="637">
        <v>77552.31779999999</v>
      </c>
      <c r="P18" s="637"/>
      <c r="Q18" s="637"/>
      <c r="R18" s="637"/>
      <c r="S18" s="637"/>
      <c r="T18" s="637"/>
      <c r="U18" s="546"/>
    </row>
    <row r="19" spans="1:21" s="540" customFormat="1">
      <c r="A19" s="575" t="s">
        <v>674</v>
      </c>
      <c r="B19" s="578" t="s">
        <v>675</v>
      </c>
      <c r="C19" s="648">
        <f>SUM(D19:T19)</f>
        <v>635802389.42195272</v>
      </c>
      <c r="D19" s="637">
        <v>462593128.66615254</v>
      </c>
      <c r="E19" s="637">
        <v>219344.43</v>
      </c>
      <c r="F19" s="637"/>
      <c r="G19" s="637">
        <v>125251871.95340009</v>
      </c>
      <c r="H19" s="637">
        <v>795588.16460000002</v>
      </c>
      <c r="I19" s="637">
        <v>2575838.85</v>
      </c>
      <c r="J19" s="637">
        <v>62303.919600000001</v>
      </c>
      <c r="K19" s="637"/>
      <c r="L19" s="637">
        <v>42993653.37310002</v>
      </c>
      <c r="M19" s="637">
        <v>744920.08290000004</v>
      </c>
      <c r="N19" s="637">
        <v>131045.41</v>
      </c>
      <c r="O19" s="637">
        <v>434694.5722</v>
      </c>
      <c r="P19" s="637"/>
      <c r="Q19" s="637"/>
      <c r="R19" s="637"/>
      <c r="S19" s="637"/>
      <c r="T19" s="637"/>
      <c r="U19" s="546"/>
    </row>
    <row r="20" spans="1:21" s="540" customFormat="1">
      <c r="A20" s="577" t="s">
        <v>676</v>
      </c>
      <c r="B20" s="577" t="s">
        <v>677</v>
      </c>
      <c r="C20" s="648">
        <f>SUM(D20:T20)</f>
        <v>615859257.60186887</v>
      </c>
      <c r="D20" s="637">
        <v>446729242.09426868</v>
      </c>
      <c r="E20" s="637">
        <v>213165.21</v>
      </c>
      <c r="F20" s="637"/>
      <c r="G20" s="637">
        <v>121731937.49580005</v>
      </c>
      <c r="H20" s="637">
        <v>784232.8946</v>
      </c>
      <c r="I20" s="637">
        <v>2565538.5100000002</v>
      </c>
      <c r="J20" s="637">
        <v>62303.919600000001</v>
      </c>
      <c r="K20" s="637"/>
      <c r="L20" s="637">
        <v>42477532.222500026</v>
      </c>
      <c r="M20" s="637">
        <v>742772.46289999993</v>
      </c>
      <c r="N20" s="637">
        <v>127314.31</v>
      </c>
      <c r="O20" s="637">
        <v>425218.48219999997</v>
      </c>
      <c r="P20" s="637"/>
      <c r="Q20" s="637"/>
      <c r="R20" s="637"/>
      <c r="S20" s="637"/>
      <c r="T20" s="637"/>
      <c r="U20" s="546"/>
    </row>
    <row r="21" spans="1:21" s="540" customFormat="1">
      <c r="A21" s="579">
        <v>1.4</v>
      </c>
      <c r="B21" s="589" t="s">
        <v>710</v>
      </c>
      <c r="C21" s="648">
        <f>SUM(D21:T21)</f>
        <v>4452612.0000000009</v>
      </c>
      <c r="D21" s="637">
        <v>4376342.6000000006</v>
      </c>
      <c r="E21" s="637">
        <v>6057.4000000000005</v>
      </c>
      <c r="F21" s="637"/>
      <c r="G21" s="637">
        <v>65307</v>
      </c>
      <c r="H21" s="637"/>
      <c r="I21" s="637">
        <v>2000</v>
      </c>
      <c r="J21" s="637"/>
      <c r="K21" s="637"/>
      <c r="L21" s="637"/>
      <c r="M21" s="637"/>
      <c r="N21" s="637">
        <v>905</v>
      </c>
      <c r="O21" s="637">
        <v>2000</v>
      </c>
      <c r="P21" s="637"/>
      <c r="Q21" s="637"/>
      <c r="R21" s="637"/>
      <c r="S21" s="637"/>
      <c r="T21" s="637"/>
      <c r="U21" s="546"/>
    </row>
    <row r="22" spans="1:21" s="540" customFormat="1">
      <c r="A22" s="579">
        <v>1.5</v>
      </c>
      <c r="B22" s="589" t="s">
        <v>711</v>
      </c>
      <c r="C22" s="650"/>
      <c r="D22" s="637"/>
      <c r="E22" s="637"/>
      <c r="F22" s="637"/>
      <c r="G22" s="637"/>
      <c r="H22" s="637"/>
      <c r="I22" s="637"/>
      <c r="J22" s="637"/>
      <c r="K22" s="637"/>
      <c r="L22" s="637"/>
      <c r="M22" s="637"/>
      <c r="N22" s="637"/>
      <c r="O22" s="637"/>
      <c r="P22" s="637"/>
      <c r="Q22" s="637"/>
      <c r="R22" s="637"/>
      <c r="S22" s="637"/>
      <c r="T22" s="637"/>
      <c r="U22" s="546"/>
    </row>
    <row r="23" spans="1:21">
      <c r="C23" s="638"/>
    </row>
    <row r="24" spans="1:21">
      <c r="C24" s="651"/>
      <c r="D24" s="651"/>
      <c r="E24" s="651"/>
      <c r="F24" s="651"/>
      <c r="G24" s="651"/>
      <c r="H24" s="651"/>
      <c r="I24" s="651"/>
      <c r="J24" s="651"/>
      <c r="K24" s="651"/>
      <c r="L24" s="651"/>
      <c r="M24" s="651"/>
      <c r="N24" s="651"/>
      <c r="O24" s="651"/>
    </row>
    <row r="25" spans="1:21">
      <c r="C25" s="63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zoomScale="75" zoomScaleNormal="75" workbookViewId="0">
      <selection activeCell="F22" sqref="F22"/>
    </sheetView>
  </sheetViews>
  <sheetFormatPr defaultColWidth="9.140625" defaultRowHeight="12.75"/>
  <cols>
    <col min="1" max="1" width="11.85546875" style="517" bestFit="1" customWidth="1"/>
    <col min="2" max="2" width="67.42578125" style="517" customWidth="1"/>
    <col min="3" max="3" width="14.5703125" style="517" customWidth="1"/>
    <col min="4" max="4" width="16.140625" style="517" bestFit="1" customWidth="1"/>
    <col min="5" max="5" width="13.7109375" style="517" bestFit="1" customWidth="1"/>
    <col min="6" max="6" width="17.85546875" style="584" bestFit="1" customWidth="1"/>
    <col min="7" max="7" width="12.5703125" style="584" customWidth="1"/>
    <col min="8" max="8" width="12.28515625" style="517" customWidth="1"/>
    <col min="9" max="9" width="14.140625" style="517" customWidth="1"/>
    <col min="10" max="10" width="14.7109375" style="584" bestFit="1" customWidth="1"/>
    <col min="11" max="11" width="13.7109375" style="584" bestFit="1" customWidth="1"/>
    <col min="12" max="12" width="17.85546875" style="584" bestFit="1" customWidth="1"/>
    <col min="13" max="13" width="13.42578125" style="584" customWidth="1"/>
    <col min="14" max="14" width="13.85546875" style="584" customWidth="1"/>
    <col min="15" max="15" width="18.85546875" style="517" bestFit="1" customWidth="1"/>
    <col min="16" max="16384" width="9.140625" style="517"/>
  </cols>
  <sheetData>
    <row r="1" spans="1:15" ht="13.5">
      <c r="A1" s="516" t="s">
        <v>189</v>
      </c>
      <c r="B1" s="434" t="str">
        <f>Info!C2</f>
        <v>სს "კრედო ბანკი"</v>
      </c>
      <c r="F1" s="517"/>
      <c r="G1" s="517"/>
      <c r="J1" s="517"/>
      <c r="K1" s="517"/>
      <c r="L1" s="517"/>
      <c r="M1" s="517"/>
      <c r="N1" s="517"/>
    </row>
    <row r="2" spans="1:15">
      <c r="A2" s="518" t="s">
        <v>190</v>
      </c>
      <c r="B2" s="520">
        <f>'1. key ratios'!B2</f>
        <v>44469</v>
      </c>
      <c r="F2" s="517"/>
      <c r="G2" s="517"/>
      <c r="J2" s="517"/>
      <c r="K2" s="517"/>
      <c r="L2" s="517"/>
      <c r="M2" s="517"/>
      <c r="N2" s="517"/>
    </row>
    <row r="3" spans="1:15">
      <c r="A3" s="519" t="s">
        <v>680</v>
      </c>
      <c r="F3" s="517"/>
      <c r="G3" s="517"/>
      <c r="J3" s="517"/>
      <c r="K3" s="517"/>
      <c r="L3" s="517"/>
      <c r="M3" s="517"/>
      <c r="N3" s="517"/>
    </row>
    <row r="4" spans="1:15">
      <c r="F4" s="517"/>
      <c r="G4" s="517"/>
      <c r="J4" s="517"/>
      <c r="K4" s="517"/>
      <c r="L4" s="517"/>
      <c r="M4" s="517"/>
      <c r="N4" s="517"/>
    </row>
    <row r="5" spans="1:15" ht="37.5" customHeight="1">
      <c r="A5" s="733" t="s">
        <v>681</v>
      </c>
      <c r="B5" s="734"/>
      <c r="C5" s="779" t="s">
        <v>682</v>
      </c>
      <c r="D5" s="780"/>
      <c r="E5" s="780"/>
      <c r="F5" s="780"/>
      <c r="G5" s="780"/>
      <c r="H5" s="781"/>
      <c r="I5" s="782" t="s">
        <v>683</v>
      </c>
      <c r="J5" s="783"/>
      <c r="K5" s="783"/>
      <c r="L5" s="783"/>
      <c r="M5" s="783"/>
      <c r="N5" s="784"/>
      <c r="O5" s="785" t="s">
        <v>553</v>
      </c>
    </row>
    <row r="6" spans="1:15" ht="39.6" customHeight="1">
      <c r="A6" s="737"/>
      <c r="B6" s="738"/>
      <c r="C6" s="580"/>
      <c r="D6" s="581" t="s">
        <v>684</v>
      </c>
      <c r="E6" s="581" t="s">
        <v>685</v>
      </c>
      <c r="F6" s="581" t="s">
        <v>686</v>
      </c>
      <c r="G6" s="581" t="s">
        <v>687</v>
      </c>
      <c r="H6" s="581" t="s">
        <v>688</v>
      </c>
      <c r="I6" s="582"/>
      <c r="J6" s="581" t="s">
        <v>684</v>
      </c>
      <c r="K6" s="581" t="s">
        <v>685</v>
      </c>
      <c r="L6" s="581" t="s">
        <v>686</v>
      </c>
      <c r="M6" s="581" t="s">
        <v>687</v>
      </c>
      <c r="N6" s="581" t="s">
        <v>688</v>
      </c>
      <c r="O6" s="786"/>
    </row>
    <row r="7" spans="1:15">
      <c r="A7" s="532">
        <v>1</v>
      </c>
      <c r="B7" s="541" t="s">
        <v>563</v>
      </c>
      <c r="C7" s="643">
        <f>SUM(D7:H7)</f>
        <v>15443617.934900017</v>
      </c>
      <c r="D7" s="636">
        <v>13065255.860000018</v>
      </c>
      <c r="E7" s="636">
        <v>2141333.4249</v>
      </c>
      <c r="F7" s="636">
        <v>134531.37999999998</v>
      </c>
      <c r="G7" s="636">
        <v>58939.270000000004</v>
      </c>
      <c r="H7" s="636">
        <v>43557.999999999993</v>
      </c>
      <c r="I7" s="644">
        <f>SUM(J7:N7)</f>
        <v>588825.50860000122</v>
      </c>
      <c r="J7" s="636">
        <v>261305.11700000131</v>
      </c>
      <c r="K7" s="636">
        <v>214133.34259999995</v>
      </c>
      <c r="L7" s="636">
        <v>40359.41399999999</v>
      </c>
      <c r="M7" s="636">
        <v>29469.635000000002</v>
      </c>
      <c r="N7" s="636">
        <v>43557.999999999993</v>
      </c>
      <c r="O7" s="532"/>
    </row>
    <row r="8" spans="1:15">
      <c r="A8" s="532">
        <v>2</v>
      </c>
      <c r="B8" s="541" t="s">
        <v>564</v>
      </c>
      <c r="C8" s="643">
        <f t="shared" ref="C8:C32" si="0">SUM(D8:H8)</f>
        <v>3678643.3426999948</v>
      </c>
      <c r="D8" s="636">
        <v>3655908.6926999949</v>
      </c>
      <c r="E8" s="636">
        <v>16123.619999999999</v>
      </c>
      <c r="F8" s="641">
        <v>1514.69</v>
      </c>
      <c r="G8" s="641">
        <v>674.86</v>
      </c>
      <c r="H8" s="636">
        <v>4421.4799999999996</v>
      </c>
      <c r="I8" s="644">
        <f t="shared" ref="I8:I32" si="1">SUM(J8:N8)</f>
        <v>79943.852799999935</v>
      </c>
      <c r="J8" s="641">
        <v>73118.173799999946</v>
      </c>
      <c r="K8" s="641">
        <v>1612.3619999999999</v>
      </c>
      <c r="L8" s="641">
        <v>454.40699999999998</v>
      </c>
      <c r="M8" s="641">
        <v>337.43</v>
      </c>
      <c r="N8" s="641">
        <v>4421.4799999999996</v>
      </c>
      <c r="O8" s="532"/>
    </row>
    <row r="9" spans="1:15">
      <c r="A9" s="532">
        <v>3</v>
      </c>
      <c r="B9" s="541" t="s">
        <v>565</v>
      </c>
      <c r="C9" s="643">
        <f t="shared" si="0"/>
        <v>4850964.4400000004</v>
      </c>
      <c r="D9" s="636">
        <v>4617463.62</v>
      </c>
      <c r="E9" s="636">
        <v>155244.57</v>
      </c>
      <c r="F9" s="642">
        <v>47541.99</v>
      </c>
      <c r="G9" s="642">
        <v>19414.260000000002</v>
      </c>
      <c r="H9" s="636">
        <v>11300</v>
      </c>
      <c r="I9" s="644">
        <f t="shared" si="1"/>
        <v>143143.45640000014</v>
      </c>
      <c r="J9" s="642">
        <v>92349.272400000118</v>
      </c>
      <c r="K9" s="642">
        <v>15524.457000000002</v>
      </c>
      <c r="L9" s="642">
        <v>14262.597000000003</v>
      </c>
      <c r="M9" s="642">
        <v>9707.130000000001</v>
      </c>
      <c r="N9" s="642">
        <v>11300</v>
      </c>
      <c r="O9" s="532"/>
    </row>
    <row r="10" spans="1:15">
      <c r="A10" s="532">
        <v>4</v>
      </c>
      <c r="B10" s="541" t="s">
        <v>566</v>
      </c>
      <c r="C10" s="643">
        <f t="shared" si="0"/>
        <v>2205612.2968000001</v>
      </c>
      <c r="D10" s="636">
        <v>1908644.1468</v>
      </c>
      <c r="E10" s="636">
        <v>283941.58</v>
      </c>
      <c r="F10" s="642">
        <v>12108.39</v>
      </c>
      <c r="G10" s="642">
        <v>918.18</v>
      </c>
      <c r="H10" s="636"/>
      <c r="I10" s="644">
        <f t="shared" si="1"/>
        <v>70658.647899999982</v>
      </c>
      <c r="J10" s="642">
        <v>38172.88289999999</v>
      </c>
      <c r="K10" s="642">
        <v>28394.157999999999</v>
      </c>
      <c r="L10" s="642">
        <v>3632.5169999999998</v>
      </c>
      <c r="M10" s="642">
        <v>459.09</v>
      </c>
      <c r="N10" s="642"/>
      <c r="O10" s="532"/>
    </row>
    <row r="11" spans="1:15">
      <c r="A11" s="532">
        <v>5</v>
      </c>
      <c r="B11" s="541" t="s">
        <v>567</v>
      </c>
      <c r="C11" s="643">
        <f t="shared" si="0"/>
        <v>17559807.448600013</v>
      </c>
      <c r="D11" s="636">
        <v>12607710.138200011</v>
      </c>
      <c r="E11" s="636">
        <v>4257172.3699999992</v>
      </c>
      <c r="F11" s="642">
        <v>45234.82</v>
      </c>
      <c r="G11" s="642">
        <v>24356.999999999996</v>
      </c>
      <c r="H11" s="636">
        <v>625333.1203999999</v>
      </c>
      <c r="I11" s="644">
        <f t="shared" si="1"/>
        <v>1328953.5060000001</v>
      </c>
      <c r="J11" s="642">
        <v>252154.20260000011</v>
      </c>
      <c r="K11" s="642">
        <v>425717.23699999991</v>
      </c>
      <c r="L11" s="642">
        <v>13570.446000000002</v>
      </c>
      <c r="M11" s="642">
        <v>12178.499999999998</v>
      </c>
      <c r="N11" s="642">
        <v>625333.1203999999</v>
      </c>
      <c r="O11" s="532"/>
    </row>
    <row r="12" spans="1:15">
      <c r="A12" s="532">
        <v>6</v>
      </c>
      <c r="B12" s="541" t="s">
        <v>568</v>
      </c>
      <c r="C12" s="643">
        <f t="shared" si="0"/>
        <v>2558778.36</v>
      </c>
      <c r="D12" s="636">
        <v>2194788.79</v>
      </c>
      <c r="E12" s="636">
        <v>229826.21000000002</v>
      </c>
      <c r="F12" s="642">
        <v>74597.029999999984</v>
      </c>
      <c r="G12" s="642">
        <v>58045.160000000011</v>
      </c>
      <c r="H12" s="636">
        <v>1521.1699999999998</v>
      </c>
      <c r="I12" s="644">
        <f t="shared" si="1"/>
        <v>119801.25580000001</v>
      </c>
      <c r="J12" s="642">
        <v>43895.775800000025</v>
      </c>
      <c r="K12" s="642">
        <v>22982.620999999996</v>
      </c>
      <c r="L12" s="642">
        <v>22379.109</v>
      </c>
      <c r="M12" s="642">
        <v>29022.580000000005</v>
      </c>
      <c r="N12" s="642">
        <v>1521.1699999999998</v>
      </c>
      <c r="O12" s="532"/>
    </row>
    <row r="13" spans="1:15">
      <c r="A13" s="532">
        <v>7</v>
      </c>
      <c r="B13" s="541" t="s">
        <v>569</v>
      </c>
      <c r="C13" s="643">
        <f t="shared" si="0"/>
        <v>3389687.4192000013</v>
      </c>
      <c r="D13" s="636">
        <v>3121897.4845000012</v>
      </c>
      <c r="E13" s="636">
        <v>166097.34520000001</v>
      </c>
      <c r="F13" s="642">
        <v>88728.7595</v>
      </c>
      <c r="G13" s="642">
        <v>9561.16</v>
      </c>
      <c r="H13" s="636">
        <v>3402.67</v>
      </c>
      <c r="I13" s="644">
        <f t="shared" si="1"/>
        <v>113849.56209999997</v>
      </c>
      <c r="J13" s="642">
        <v>62437.949699999961</v>
      </c>
      <c r="K13" s="642">
        <v>16609.734499999995</v>
      </c>
      <c r="L13" s="642">
        <v>26618.627900000003</v>
      </c>
      <c r="M13" s="642">
        <v>4780.58</v>
      </c>
      <c r="N13" s="642">
        <v>3402.67</v>
      </c>
      <c r="O13" s="532"/>
    </row>
    <row r="14" spans="1:15">
      <c r="A14" s="532">
        <v>8</v>
      </c>
      <c r="B14" s="541" t="s">
        <v>570</v>
      </c>
      <c r="C14" s="643">
        <f t="shared" si="0"/>
        <v>86952665.246700048</v>
      </c>
      <c r="D14" s="636">
        <v>78189673.887800038</v>
      </c>
      <c r="E14" s="636">
        <v>6187462.1534000002</v>
      </c>
      <c r="F14" s="642">
        <v>1824783.8094000006</v>
      </c>
      <c r="G14" s="642">
        <v>489781.73310000019</v>
      </c>
      <c r="H14" s="636">
        <v>260963.66300000003</v>
      </c>
      <c r="I14" s="644">
        <f t="shared" si="1"/>
        <v>3235829.364599965</v>
      </c>
      <c r="J14" s="642">
        <v>1563793.4767999651</v>
      </c>
      <c r="K14" s="642">
        <v>618746.21539999964</v>
      </c>
      <c r="L14" s="642">
        <v>547435.1427999998</v>
      </c>
      <c r="M14" s="642">
        <v>244890.86660000012</v>
      </c>
      <c r="N14" s="642">
        <v>260963.66300000003</v>
      </c>
      <c r="O14" s="532"/>
    </row>
    <row r="15" spans="1:15">
      <c r="A15" s="532">
        <v>9</v>
      </c>
      <c r="B15" s="541" t="s">
        <v>571</v>
      </c>
      <c r="C15" s="643">
        <f t="shared" si="0"/>
        <v>16682966.794299969</v>
      </c>
      <c r="D15" s="636">
        <v>13916929.58219997</v>
      </c>
      <c r="E15" s="636">
        <v>2197544.9842999997</v>
      </c>
      <c r="F15" s="642">
        <v>184632.84540000008</v>
      </c>
      <c r="G15" s="642">
        <v>166887.87000000002</v>
      </c>
      <c r="H15" s="636">
        <v>216971.51240000001</v>
      </c>
      <c r="I15" s="644">
        <f t="shared" si="1"/>
        <v>853898.3909000007</v>
      </c>
      <c r="J15" s="642">
        <v>278338.59140000085</v>
      </c>
      <c r="K15" s="642">
        <v>219754.49849999981</v>
      </c>
      <c r="L15" s="642">
        <v>55389.853599999995</v>
      </c>
      <c r="M15" s="642">
        <v>83443.935000000012</v>
      </c>
      <c r="N15" s="642">
        <v>216971.51240000001</v>
      </c>
      <c r="O15" s="532"/>
    </row>
    <row r="16" spans="1:15">
      <c r="A16" s="532">
        <v>10</v>
      </c>
      <c r="B16" s="541" t="s">
        <v>572</v>
      </c>
      <c r="C16" s="643">
        <f t="shared" si="0"/>
        <v>6022981.8317000102</v>
      </c>
      <c r="D16" s="636">
        <v>5276638.3542000102</v>
      </c>
      <c r="E16" s="636">
        <v>546453.9645</v>
      </c>
      <c r="F16" s="642">
        <v>125414.523</v>
      </c>
      <c r="G16" s="642">
        <v>61178.8</v>
      </c>
      <c r="H16" s="636">
        <v>13296.19</v>
      </c>
      <c r="I16" s="644">
        <f t="shared" si="1"/>
        <v>241688.11050000021</v>
      </c>
      <c r="J16" s="642">
        <v>105532.76710000022</v>
      </c>
      <c r="K16" s="642">
        <v>54645.396500000003</v>
      </c>
      <c r="L16" s="642">
        <v>37624.356899999999</v>
      </c>
      <c r="M16" s="642">
        <v>30589.4</v>
      </c>
      <c r="N16" s="642">
        <v>13296.19</v>
      </c>
      <c r="O16" s="532"/>
    </row>
    <row r="17" spans="1:15">
      <c r="A17" s="532">
        <v>11</v>
      </c>
      <c r="B17" s="541" t="s">
        <v>573</v>
      </c>
      <c r="C17" s="643">
        <f t="shared" si="0"/>
        <v>5170473.2686999934</v>
      </c>
      <c r="D17" s="636">
        <v>4393214.1303999936</v>
      </c>
      <c r="E17" s="636">
        <v>488199.7699999999</v>
      </c>
      <c r="F17" s="642">
        <v>223181.92</v>
      </c>
      <c r="G17" s="642">
        <v>34456.068299999999</v>
      </c>
      <c r="H17" s="636">
        <v>31421.38</v>
      </c>
      <c r="I17" s="644">
        <f t="shared" si="1"/>
        <v>252288.24979999987</v>
      </c>
      <c r="J17" s="642">
        <v>87864.282599999889</v>
      </c>
      <c r="K17" s="642">
        <v>48819.976999999977</v>
      </c>
      <c r="L17" s="642">
        <v>66954.575999999986</v>
      </c>
      <c r="M17" s="642">
        <v>17228.034200000002</v>
      </c>
      <c r="N17" s="642">
        <v>31421.38</v>
      </c>
      <c r="O17" s="532"/>
    </row>
    <row r="18" spans="1:15">
      <c r="A18" s="532">
        <v>12</v>
      </c>
      <c r="B18" s="541" t="s">
        <v>574</v>
      </c>
      <c r="C18" s="643">
        <f t="shared" si="0"/>
        <v>63741291.860400468</v>
      </c>
      <c r="D18" s="636">
        <v>56008306.451300457</v>
      </c>
      <c r="E18" s="636">
        <v>6214975.2448000042</v>
      </c>
      <c r="F18" s="642">
        <v>1103728.7919999999</v>
      </c>
      <c r="G18" s="642">
        <v>252088.27569999997</v>
      </c>
      <c r="H18" s="636">
        <v>162193.09660000002</v>
      </c>
      <c r="I18" s="644">
        <f t="shared" si="1"/>
        <v>2361019.5257999999</v>
      </c>
      <c r="J18" s="642">
        <v>1120166.1289000001</v>
      </c>
      <c r="K18" s="642">
        <v>621497.52469999983</v>
      </c>
      <c r="L18" s="642">
        <v>331118.63770000008</v>
      </c>
      <c r="M18" s="642">
        <v>126044.13789999999</v>
      </c>
      <c r="N18" s="642">
        <v>162193.09660000002</v>
      </c>
      <c r="O18" s="532"/>
    </row>
    <row r="19" spans="1:15">
      <c r="A19" s="532">
        <v>13</v>
      </c>
      <c r="B19" s="541" t="s">
        <v>575</v>
      </c>
      <c r="C19" s="643">
        <f t="shared" si="0"/>
        <v>11935988.790299982</v>
      </c>
      <c r="D19" s="636">
        <v>10879599.493899982</v>
      </c>
      <c r="E19" s="636">
        <v>772808.13929999981</v>
      </c>
      <c r="F19" s="642">
        <v>233794.65709999998</v>
      </c>
      <c r="G19" s="642">
        <v>22909.079999999998</v>
      </c>
      <c r="H19" s="636">
        <v>26877.42</v>
      </c>
      <c r="I19" s="644">
        <f t="shared" si="1"/>
        <v>403343.16120000032</v>
      </c>
      <c r="J19" s="642">
        <v>217591.99010000034</v>
      </c>
      <c r="K19" s="642">
        <v>77280.814000000013</v>
      </c>
      <c r="L19" s="642">
        <v>70138.397100000002</v>
      </c>
      <c r="M19" s="642">
        <v>11454.539999999999</v>
      </c>
      <c r="N19" s="642">
        <v>26877.42</v>
      </c>
      <c r="O19" s="532"/>
    </row>
    <row r="20" spans="1:15">
      <c r="A20" s="532">
        <v>14</v>
      </c>
      <c r="B20" s="541" t="s">
        <v>576</v>
      </c>
      <c r="C20" s="643">
        <f t="shared" si="0"/>
        <v>35666267.761599973</v>
      </c>
      <c r="D20" s="636">
        <v>17546444.767199971</v>
      </c>
      <c r="E20" s="636">
        <v>17575283.354399998</v>
      </c>
      <c r="F20" s="642">
        <v>330708.33999999997</v>
      </c>
      <c r="G20" s="642">
        <v>82237.139999999985</v>
      </c>
      <c r="H20" s="636">
        <v>131594.16000000003</v>
      </c>
      <c r="I20" s="644">
        <f t="shared" si="1"/>
        <v>2380382.4632000029</v>
      </c>
      <c r="J20" s="642">
        <v>350928.89550000068</v>
      </c>
      <c r="K20" s="642">
        <v>1757528.3357000023</v>
      </c>
      <c r="L20" s="642">
        <v>99212.501999999993</v>
      </c>
      <c r="M20" s="642">
        <v>41118.569999999992</v>
      </c>
      <c r="N20" s="642">
        <v>131594.16000000003</v>
      </c>
      <c r="O20" s="532"/>
    </row>
    <row r="21" spans="1:15">
      <c r="A21" s="532">
        <v>15</v>
      </c>
      <c r="B21" s="541" t="s">
        <v>577</v>
      </c>
      <c r="C21" s="643">
        <f t="shared" si="0"/>
        <v>21170108.095800005</v>
      </c>
      <c r="D21" s="636">
        <v>12288323.26620001</v>
      </c>
      <c r="E21" s="636">
        <v>5656272.9500999963</v>
      </c>
      <c r="F21" s="642">
        <v>2920432.1994999996</v>
      </c>
      <c r="G21" s="642">
        <v>203425.88</v>
      </c>
      <c r="H21" s="636">
        <v>101653.8</v>
      </c>
      <c r="I21" s="644">
        <f t="shared" si="1"/>
        <v>1890890.1602000007</v>
      </c>
      <c r="J21" s="642">
        <v>245766.46530000077</v>
      </c>
      <c r="K21" s="642">
        <v>565627.2951000001</v>
      </c>
      <c r="L21" s="642">
        <v>876129.65979999991</v>
      </c>
      <c r="M21" s="642">
        <v>101712.94</v>
      </c>
      <c r="N21" s="642">
        <v>101653.8</v>
      </c>
      <c r="O21" s="532"/>
    </row>
    <row r="22" spans="1:15">
      <c r="A22" s="532">
        <v>16</v>
      </c>
      <c r="B22" s="541" t="s">
        <v>578</v>
      </c>
      <c r="C22" s="643">
        <f t="shared" si="0"/>
        <v>4951400.7251000032</v>
      </c>
      <c r="D22" s="636">
        <v>4438815.2433000021</v>
      </c>
      <c r="E22" s="636">
        <v>379557.76180000004</v>
      </c>
      <c r="F22" s="642">
        <v>92534.83</v>
      </c>
      <c r="G22" s="642">
        <v>31340.319999999996</v>
      </c>
      <c r="H22" s="636">
        <v>9152.57</v>
      </c>
      <c r="I22" s="644">
        <f t="shared" si="1"/>
        <v>179315.26009999993</v>
      </c>
      <c r="J22" s="642">
        <v>88776.304899999901</v>
      </c>
      <c r="K22" s="642">
        <v>37955.776200000008</v>
      </c>
      <c r="L22" s="642">
        <v>27760.448999999997</v>
      </c>
      <c r="M22" s="642">
        <v>15670.159999999998</v>
      </c>
      <c r="N22" s="642">
        <v>9152.57</v>
      </c>
      <c r="O22" s="532"/>
    </row>
    <row r="23" spans="1:15">
      <c r="A23" s="532">
        <v>17</v>
      </c>
      <c r="B23" s="541" t="s">
        <v>579</v>
      </c>
      <c r="C23" s="643">
        <f t="shared" si="0"/>
        <v>790159.05980000016</v>
      </c>
      <c r="D23" s="636">
        <v>759944.3698000001</v>
      </c>
      <c r="E23" s="636">
        <v>20818.63</v>
      </c>
      <c r="F23" s="642">
        <v>7235.3</v>
      </c>
      <c r="G23" s="642">
        <v>25</v>
      </c>
      <c r="H23" s="636">
        <v>2135.7600000000002</v>
      </c>
      <c r="I23" s="644">
        <f t="shared" si="1"/>
        <v>21599.600399999996</v>
      </c>
      <c r="J23" s="642">
        <v>15198.887399999998</v>
      </c>
      <c r="K23" s="642">
        <v>2081.8630000000003</v>
      </c>
      <c r="L23" s="642">
        <v>2170.5899999999997</v>
      </c>
      <c r="M23" s="642">
        <v>12.5</v>
      </c>
      <c r="N23" s="642">
        <v>2135.7600000000002</v>
      </c>
      <c r="O23" s="532"/>
    </row>
    <row r="24" spans="1:15">
      <c r="A24" s="532">
        <v>18</v>
      </c>
      <c r="B24" s="541" t="s">
        <v>580</v>
      </c>
      <c r="C24" s="643">
        <f t="shared" si="0"/>
        <v>2165176.5599999991</v>
      </c>
      <c r="D24" s="636">
        <v>2027121.2499999993</v>
      </c>
      <c r="E24" s="636">
        <v>100335.84999999996</v>
      </c>
      <c r="F24" s="642">
        <v>32766.829999999994</v>
      </c>
      <c r="G24" s="642">
        <v>1323.15</v>
      </c>
      <c r="H24" s="636">
        <v>3629.48</v>
      </c>
      <c r="I24" s="644">
        <f t="shared" si="1"/>
        <v>64697.114000000031</v>
      </c>
      <c r="J24" s="642">
        <v>40542.425000000032</v>
      </c>
      <c r="K24" s="642">
        <v>10033.584999999999</v>
      </c>
      <c r="L24" s="642">
        <v>9830.0489999999991</v>
      </c>
      <c r="M24" s="642">
        <v>661.57500000000005</v>
      </c>
      <c r="N24" s="642">
        <v>3629.48</v>
      </c>
      <c r="O24" s="532"/>
    </row>
    <row r="25" spans="1:15">
      <c r="A25" s="532">
        <v>19</v>
      </c>
      <c r="B25" s="541" t="s">
        <v>581</v>
      </c>
      <c r="C25" s="643">
        <f t="shared" si="0"/>
        <v>3061023.5971000013</v>
      </c>
      <c r="D25" s="636">
        <v>2865380.0371000012</v>
      </c>
      <c r="E25" s="636">
        <v>88354.08</v>
      </c>
      <c r="F25" s="642">
        <v>44905.75</v>
      </c>
      <c r="G25" s="642">
        <v>14135.09</v>
      </c>
      <c r="H25" s="636">
        <v>48248.639999999999</v>
      </c>
      <c r="I25" s="644">
        <f t="shared" si="1"/>
        <v>134930.91879999993</v>
      </c>
      <c r="J25" s="642">
        <v>57307.600799999935</v>
      </c>
      <c r="K25" s="642">
        <v>8835.4080000000013</v>
      </c>
      <c r="L25" s="642">
        <v>13471.725</v>
      </c>
      <c r="M25" s="642">
        <v>7067.5450000000001</v>
      </c>
      <c r="N25" s="642">
        <v>48248.639999999999</v>
      </c>
      <c r="O25" s="532"/>
    </row>
    <row r="26" spans="1:15">
      <c r="A26" s="532">
        <v>20</v>
      </c>
      <c r="B26" s="541" t="s">
        <v>582</v>
      </c>
      <c r="C26" s="643">
        <f t="shared" si="0"/>
        <v>8584713.9635999948</v>
      </c>
      <c r="D26" s="636">
        <v>7804503.3443999942</v>
      </c>
      <c r="E26" s="636">
        <v>688947.73919999984</v>
      </c>
      <c r="F26" s="642">
        <v>60263.47</v>
      </c>
      <c r="G26" s="642">
        <v>16179.65</v>
      </c>
      <c r="H26" s="636">
        <v>14819.76</v>
      </c>
      <c r="I26" s="644">
        <f t="shared" si="1"/>
        <v>265973.46680000017</v>
      </c>
      <c r="J26" s="642">
        <v>156090.06690000021</v>
      </c>
      <c r="K26" s="642">
        <v>68894.773899999986</v>
      </c>
      <c r="L26" s="642">
        <v>18079.040999999997</v>
      </c>
      <c r="M26" s="642">
        <v>8089.8249999999998</v>
      </c>
      <c r="N26" s="642">
        <v>14819.76</v>
      </c>
      <c r="O26" s="532"/>
    </row>
    <row r="27" spans="1:15">
      <c r="A27" s="532">
        <v>21</v>
      </c>
      <c r="B27" s="541" t="s">
        <v>583</v>
      </c>
      <c r="C27" s="643">
        <f t="shared" si="0"/>
        <v>1881298.4993</v>
      </c>
      <c r="D27" s="636">
        <v>1852561.1193000001</v>
      </c>
      <c r="E27" s="636">
        <v>28737.38</v>
      </c>
      <c r="F27" s="642"/>
      <c r="G27" s="642"/>
      <c r="H27" s="636"/>
      <c r="I27" s="644">
        <f t="shared" si="1"/>
        <v>39924.96039999996</v>
      </c>
      <c r="J27" s="642">
        <v>37051.222399999962</v>
      </c>
      <c r="K27" s="642">
        <v>2873.7380000000003</v>
      </c>
      <c r="L27" s="642"/>
      <c r="M27" s="642"/>
      <c r="N27" s="642"/>
      <c r="O27" s="532"/>
    </row>
    <row r="28" spans="1:15">
      <c r="A28" s="532">
        <v>22</v>
      </c>
      <c r="B28" s="541" t="s">
        <v>584</v>
      </c>
      <c r="C28" s="643">
        <f t="shared" si="0"/>
        <v>514222.46999999986</v>
      </c>
      <c r="D28" s="636">
        <v>473593.39999999985</v>
      </c>
      <c r="E28" s="636">
        <v>35592.620000000003</v>
      </c>
      <c r="F28" s="642">
        <v>44.02</v>
      </c>
      <c r="G28" s="642">
        <v>4992.43</v>
      </c>
      <c r="H28" s="636"/>
      <c r="I28" s="644">
        <f t="shared" si="1"/>
        <v>15540.550999999996</v>
      </c>
      <c r="J28" s="642">
        <v>9471.8679999999949</v>
      </c>
      <c r="K28" s="642">
        <v>3559.2620000000002</v>
      </c>
      <c r="L28" s="642">
        <v>13.206</v>
      </c>
      <c r="M28" s="642">
        <v>2496.2150000000001</v>
      </c>
      <c r="N28" s="642"/>
      <c r="O28" s="532"/>
    </row>
    <row r="29" spans="1:15">
      <c r="A29" s="532">
        <v>23</v>
      </c>
      <c r="B29" s="541" t="s">
        <v>585</v>
      </c>
      <c r="C29" s="643">
        <f t="shared" si="0"/>
        <v>227157776.67059949</v>
      </c>
      <c r="D29" s="636">
        <v>197177207.31029955</v>
      </c>
      <c r="E29" s="636">
        <v>22769129.678499959</v>
      </c>
      <c r="F29" s="642">
        <v>4280006.2730999961</v>
      </c>
      <c r="G29" s="642">
        <v>1922577.3967000006</v>
      </c>
      <c r="H29" s="636">
        <v>1008856.0119999999</v>
      </c>
      <c r="I29" s="644">
        <f t="shared" si="1"/>
        <v>9474603.7066001128</v>
      </c>
      <c r="J29" s="642">
        <v>3943544.1460001119</v>
      </c>
      <c r="K29" s="642">
        <v>2276912.9682</v>
      </c>
      <c r="L29" s="642">
        <v>1284001.8820000007</v>
      </c>
      <c r="M29" s="642">
        <v>961288.69840000034</v>
      </c>
      <c r="N29" s="642">
        <v>1008856.0119999999</v>
      </c>
      <c r="O29" s="532"/>
    </row>
    <row r="30" spans="1:15">
      <c r="A30" s="532">
        <v>24</v>
      </c>
      <c r="B30" s="541" t="s">
        <v>586</v>
      </c>
      <c r="C30" s="643">
        <f t="shared" si="0"/>
        <v>454686263.80189896</v>
      </c>
      <c r="D30" s="636">
        <v>427272197.53809899</v>
      </c>
      <c r="E30" s="636">
        <v>21170216.509200003</v>
      </c>
      <c r="F30" s="642">
        <v>3360486.7254000027</v>
      </c>
      <c r="G30" s="642">
        <v>1746256.1421000012</v>
      </c>
      <c r="H30" s="636">
        <v>1137106.8871000006</v>
      </c>
      <c r="I30" s="644">
        <f t="shared" si="1"/>
        <v>13680846.577000421</v>
      </c>
      <c r="J30" s="642">
        <v>8545443.9497004189</v>
      </c>
      <c r="K30" s="642">
        <v>2117021.6509999996</v>
      </c>
      <c r="L30" s="642">
        <v>1008146.018000001</v>
      </c>
      <c r="M30" s="642">
        <v>873128.07120000036</v>
      </c>
      <c r="N30" s="642">
        <v>1137106.8871000006</v>
      </c>
      <c r="O30" s="532"/>
    </row>
    <row r="31" spans="1:15">
      <c r="A31" s="532">
        <v>25</v>
      </c>
      <c r="B31" s="541" t="s">
        <v>587</v>
      </c>
      <c r="C31" s="643">
        <f t="shared" si="0"/>
        <v>89318279.583692908</v>
      </c>
      <c r="D31" s="636">
        <v>80146493.164492935</v>
      </c>
      <c r="E31" s="636">
        <v>6991120.4510999788</v>
      </c>
      <c r="F31" s="642">
        <v>1243924.9014000006</v>
      </c>
      <c r="G31" s="642">
        <v>607140.46669999976</v>
      </c>
      <c r="H31" s="636">
        <v>329600.5999999998</v>
      </c>
      <c r="I31" s="644">
        <f t="shared" si="1"/>
        <v>3308390.2125000199</v>
      </c>
      <c r="J31" s="642">
        <v>1602929.8634000225</v>
      </c>
      <c r="K31" s="642">
        <v>699112.04529999744</v>
      </c>
      <c r="L31" s="642">
        <v>373177.47040000051</v>
      </c>
      <c r="M31" s="642">
        <v>303570.23339999991</v>
      </c>
      <c r="N31" s="642">
        <v>329600.5999999998</v>
      </c>
      <c r="O31" s="532"/>
    </row>
    <row r="32" spans="1:15">
      <c r="A32" s="532">
        <v>26</v>
      </c>
      <c r="B32" s="541" t="s">
        <v>689</v>
      </c>
      <c r="C32" s="643">
        <f t="shared" si="0"/>
        <v>119030047.86080326</v>
      </c>
      <c r="D32" s="636">
        <v>112042111.94830325</v>
      </c>
      <c r="E32" s="636">
        <v>5190434.6002000086</v>
      </c>
      <c r="F32" s="642">
        <v>1025414.1916999996</v>
      </c>
      <c r="G32" s="642">
        <v>627262.85000000033</v>
      </c>
      <c r="H32" s="636">
        <v>144824.27060000005</v>
      </c>
      <c r="I32" s="644">
        <f t="shared" si="1"/>
        <v>3525965.6513999719</v>
      </c>
      <c r="J32" s="642">
        <v>2240842.2381999716</v>
      </c>
      <c r="K32" s="642">
        <v>519043.46010000037</v>
      </c>
      <c r="L32" s="642">
        <v>307624.25749999966</v>
      </c>
      <c r="M32" s="642">
        <v>313631.42500000016</v>
      </c>
      <c r="N32" s="642">
        <v>144824.27060000005</v>
      </c>
      <c r="O32" s="532"/>
    </row>
    <row r="33" spans="1:15">
      <c r="A33" s="532">
        <v>27</v>
      </c>
      <c r="B33" s="583" t="s">
        <v>69</v>
      </c>
      <c r="C33" s="643">
        <f>SUM(C7:C32)</f>
        <v>1209170217.6835952</v>
      </c>
      <c r="D33" s="644">
        <f>SUM(D7:D32)</f>
        <v>1076530727.3904953</v>
      </c>
      <c r="E33" s="644">
        <f t="shared" ref="E33:H33" si="2">SUM(E7:E32)</f>
        <v>104351984.98089996</v>
      </c>
      <c r="F33" s="644">
        <f t="shared" si="2"/>
        <v>17498516.437499996</v>
      </c>
      <c r="G33" s="644">
        <f t="shared" si="2"/>
        <v>6456107.2326000016</v>
      </c>
      <c r="H33" s="644">
        <f t="shared" si="2"/>
        <v>4332881.6421000008</v>
      </c>
      <c r="I33" s="645">
        <f>SUM(I7:I32)</f>
        <v>44776303.234800503</v>
      </c>
      <c r="J33" s="645">
        <f t="shared" ref="J33:N33" si="3">SUM(J7:J32)</f>
        <v>21530614.544600498</v>
      </c>
      <c r="K33" s="645">
        <f t="shared" si="3"/>
        <v>10435198.499699999</v>
      </c>
      <c r="L33" s="645">
        <f t="shared" si="3"/>
        <v>5249554.9317000015</v>
      </c>
      <c r="M33" s="645">
        <f t="shared" si="3"/>
        <v>3228053.6167000011</v>
      </c>
      <c r="N33" s="645">
        <f t="shared" si="3"/>
        <v>4332881.6421000008</v>
      </c>
      <c r="O33" s="532"/>
    </row>
    <row r="34" spans="1:15">
      <c r="A34" s="542"/>
      <c r="B34" s="542"/>
      <c r="C34" s="542"/>
      <c r="D34" s="542"/>
      <c r="E34" s="542"/>
      <c r="H34" s="542"/>
      <c r="I34" s="542"/>
      <c r="O34" s="542"/>
    </row>
    <row r="35" spans="1:15">
      <c r="A35" s="542"/>
      <c r="B35" s="544"/>
      <c r="C35" s="544"/>
      <c r="D35" s="542"/>
      <c r="E35" s="542"/>
      <c r="H35" s="542"/>
      <c r="I35" s="542"/>
      <c r="O35" s="542"/>
    </row>
    <row r="36" spans="1:15">
      <c r="A36" s="542"/>
      <c r="B36" s="542"/>
      <c r="C36" s="542"/>
      <c r="D36" s="542"/>
      <c r="E36" s="542"/>
      <c r="H36" s="542"/>
      <c r="I36" s="542"/>
      <c r="O36" s="542"/>
    </row>
    <row r="37" spans="1:15">
      <c r="A37" s="542"/>
      <c r="B37" s="542"/>
      <c r="C37" s="542"/>
      <c r="D37" s="542"/>
      <c r="E37" s="542"/>
      <c r="H37" s="542"/>
      <c r="I37" s="542"/>
      <c r="O37" s="542"/>
    </row>
    <row r="38" spans="1:15">
      <c r="A38" s="542"/>
      <c r="B38" s="542"/>
      <c r="C38" s="542"/>
      <c r="D38" s="542"/>
      <c r="E38" s="542"/>
      <c r="H38" s="542"/>
      <c r="I38" s="542"/>
      <c r="O38" s="542"/>
    </row>
    <row r="39" spans="1:15">
      <c r="A39" s="542"/>
      <c r="B39" s="542"/>
      <c r="C39" s="542"/>
      <c r="D39" s="542"/>
      <c r="E39" s="542"/>
      <c r="H39" s="542"/>
      <c r="I39" s="542"/>
      <c r="O39" s="542"/>
    </row>
    <row r="40" spans="1:15">
      <c r="A40" s="542"/>
      <c r="B40" s="542"/>
      <c r="C40" s="542"/>
      <c r="D40" s="542"/>
      <c r="E40" s="542"/>
      <c r="H40" s="542"/>
      <c r="I40" s="542"/>
      <c r="O40" s="542"/>
    </row>
    <row r="41" spans="1:15">
      <c r="A41" s="545"/>
      <c r="B41" s="545"/>
      <c r="C41" s="545"/>
      <c r="D41" s="542"/>
      <c r="E41" s="542"/>
      <c r="H41" s="542"/>
      <c r="I41" s="542"/>
      <c r="O41" s="542"/>
    </row>
    <row r="42" spans="1:15">
      <c r="A42" s="545"/>
      <c r="B42" s="545"/>
      <c r="C42" s="545"/>
      <c r="D42" s="542"/>
      <c r="E42" s="542"/>
      <c r="H42" s="542"/>
      <c r="I42" s="542"/>
      <c r="O42" s="542"/>
    </row>
    <row r="43" spans="1:15">
      <c r="A43" s="542"/>
      <c r="B43" s="546"/>
      <c r="C43" s="546"/>
      <c r="D43" s="542"/>
      <c r="E43" s="542"/>
      <c r="H43" s="542"/>
      <c r="I43" s="542"/>
      <c r="O43" s="542"/>
    </row>
    <row r="44" spans="1:15">
      <c r="A44" s="542"/>
      <c r="B44" s="546"/>
      <c r="C44" s="546"/>
      <c r="D44" s="542"/>
      <c r="E44" s="542"/>
      <c r="H44" s="542"/>
      <c r="I44" s="542"/>
      <c r="O44" s="542"/>
    </row>
    <row r="45" spans="1:15">
      <c r="A45" s="542"/>
      <c r="B45" s="546"/>
      <c r="C45" s="546"/>
      <c r="D45" s="542"/>
      <c r="E45" s="542"/>
      <c r="H45" s="542"/>
      <c r="I45" s="542"/>
      <c r="O45" s="542"/>
    </row>
    <row r="46" spans="1:15">
      <c r="A46" s="542"/>
      <c r="B46" s="542"/>
      <c r="C46" s="542"/>
      <c r="D46" s="542"/>
      <c r="E46" s="542"/>
      <c r="H46" s="542"/>
      <c r="I46" s="542"/>
      <c r="O46" s="54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E1" zoomScale="85" zoomScaleNormal="85" workbookViewId="0">
      <selection activeCell="K9" sqref="K9"/>
    </sheetView>
  </sheetViews>
  <sheetFormatPr defaultColWidth="8.7109375" defaultRowHeight="12"/>
  <cols>
    <col min="1" max="1" width="11.85546875" style="585" bestFit="1" customWidth="1"/>
    <col min="2" max="2" width="80.140625" style="585" customWidth="1"/>
    <col min="3" max="11" width="28.28515625" style="585" customWidth="1"/>
    <col min="12" max="16384" width="8.7109375" style="585"/>
  </cols>
  <sheetData>
    <row r="1" spans="1:11" s="517" customFormat="1" ht="13.5">
      <c r="A1" s="516" t="s">
        <v>189</v>
      </c>
      <c r="B1" s="434" t="str">
        <f>Info!C2</f>
        <v>სს "კრედო ბანკი"</v>
      </c>
    </row>
    <row r="2" spans="1:11" s="517" customFormat="1" ht="12.75">
      <c r="A2" s="518" t="s">
        <v>190</v>
      </c>
      <c r="B2" s="520">
        <f>'1. key ratios'!B2</f>
        <v>44469</v>
      </c>
    </row>
    <row r="3" spans="1:11" s="517" customFormat="1" ht="12.75">
      <c r="A3" s="519" t="s">
        <v>690</v>
      </c>
    </row>
    <row r="4" spans="1:11">
      <c r="C4" s="586" t="s">
        <v>540</v>
      </c>
      <c r="D4" s="586" t="s">
        <v>541</v>
      </c>
      <c r="E4" s="586" t="s">
        <v>542</v>
      </c>
      <c r="F4" s="586" t="s">
        <v>543</v>
      </c>
      <c r="G4" s="586" t="s">
        <v>544</v>
      </c>
      <c r="H4" s="586" t="s">
        <v>545</v>
      </c>
      <c r="I4" s="586" t="s">
        <v>546</v>
      </c>
      <c r="J4" s="586" t="s">
        <v>547</v>
      </c>
      <c r="K4" s="586" t="s">
        <v>548</v>
      </c>
    </row>
    <row r="5" spans="1:11" ht="104.1" customHeight="1">
      <c r="A5" s="787" t="s">
        <v>691</v>
      </c>
      <c r="B5" s="788"/>
      <c r="C5" s="521" t="s">
        <v>692</v>
      </c>
      <c r="D5" s="521" t="s">
        <v>678</v>
      </c>
      <c r="E5" s="521" t="s">
        <v>679</v>
      </c>
      <c r="F5" s="521" t="s">
        <v>693</v>
      </c>
      <c r="G5" s="521" t="s">
        <v>694</v>
      </c>
      <c r="H5" s="521" t="s">
        <v>695</v>
      </c>
      <c r="I5" s="521" t="s">
        <v>696</v>
      </c>
      <c r="J5" s="521" t="s">
        <v>697</v>
      </c>
      <c r="K5" s="521" t="s">
        <v>698</v>
      </c>
    </row>
    <row r="6" spans="1:11" ht="12.75">
      <c r="A6" s="532">
        <v>1</v>
      </c>
      <c r="B6" s="532" t="s">
        <v>699</v>
      </c>
      <c r="C6" s="636">
        <v>668849.99000000011</v>
      </c>
      <c r="D6" s="636">
        <v>4452611.8</v>
      </c>
      <c r="E6" s="636"/>
      <c r="F6" s="636">
        <v>86944.95</v>
      </c>
      <c r="G6" s="636">
        <v>222110964.95346794</v>
      </c>
      <c r="H6" s="636"/>
      <c r="I6" s="636">
        <v>12800681</v>
      </c>
      <c r="J6" s="636">
        <v>53019.006999999998</v>
      </c>
      <c r="K6" s="636">
        <v>968997145.86313212</v>
      </c>
    </row>
    <row r="7" spans="1:11" ht="12.75">
      <c r="A7" s="532">
        <v>2</v>
      </c>
      <c r="B7" s="533" t="s">
        <v>700</v>
      </c>
      <c r="C7" s="636"/>
      <c r="D7" s="636"/>
      <c r="E7" s="636"/>
      <c r="F7" s="636"/>
      <c r="G7" s="636"/>
      <c r="H7" s="636"/>
      <c r="I7" s="636"/>
      <c r="J7" s="636"/>
      <c r="K7" s="636"/>
    </row>
    <row r="8" spans="1:11" ht="12.75">
      <c r="A8" s="532">
        <v>3</v>
      </c>
      <c r="B8" s="533" t="s">
        <v>650</v>
      </c>
      <c r="C8" s="636"/>
      <c r="D8" s="636"/>
      <c r="E8" s="636"/>
      <c r="F8" s="636"/>
      <c r="G8" s="636">
        <v>35000</v>
      </c>
      <c r="H8" s="636"/>
      <c r="I8" s="636"/>
      <c r="J8" s="636"/>
      <c r="K8" s="636">
        <v>29728625</v>
      </c>
    </row>
    <row r="9" spans="1:11" ht="12.75">
      <c r="A9" s="532">
        <v>4</v>
      </c>
      <c r="B9" s="566" t="s">
        <v>701</v>
      </c>
      <c r="C9" s="636"/>
      <c r="D9" s="636"/>
      <c r="E9" s="636"/>
      <c r="F9" s="636"/>
      <c r="G9" s="636">
        <v>6769019.5230999999</v>
      </c>
      <c r="H9" s="636"/>
      <c r="I9" s="636">
        <v>264052.08559999999</v>
      </c>
      <c r="J9" s="636">
        <v>5555.2737999999999</v>
      </c>
      <c r="K9" s="636">
        <v>21248878.1175</v>
      </c>
    </row>
    <row r="10" spans="1:11" ht="12.75">
      <c r="A10" s="532">
        <v>5</v>
      </c>
      <c r="B10" s="587" t="s">
        <v>702</v>
      </c>
      <c r="C10" s="636"/>
      <c r="D10" s="636"/>
      <c r="E10" s="636"/>
      <c r="F10" s="636"/>
      <c r="G10" s="636"/>
      <c r="H10" s="636"/>
      <c r="I10" s="636"/>
      <c r="J10" s="636"/>
      <c r="K10" s="636"/>
    </row>
    <row r="11" spans="1:11" ht="12.75">
      <c r="A11" s="532">
        <v>6</v>
      </c>
      <c r="B11" s="587" t="s">
        <v>703</v>
      </c>
      <c r="C11" s="636"/>
      <c r="D11" s="636"/>
      <c r="E11" s="636"/>
      <c r="F11" s="636"/>
      <c r="G11" s="636"/>
      <c r="H11" s="636"/>
      <c r="I11" s="636"/>
      <c r="J11" s="636"/>
      <c r="K11" s="636"/>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D032C-D92E-4BE7-BFBE-144C8CD7F223}">
  <dimension ref="A1:S20"/>
  <sheetViews>
    <sheetView showGridLines="0" zoomScale="80" zoomScaleNormal="80" workbookViewId="0">
      <pane xSplit="1" topLeftCell="I1" activePane="topRight" state="frozen"/>
      <selection pane="topRight" activeCell="J6" sqref="J6"/>
    </sheetView>
  </sheetViews>
  <sheetFormatPr defaultRowHeight="15"/>
  <cols>
    <col min="1" max="1" width="10" bestFit="1" customWidth="1"/>
    <col min="2" max="2" width="48.85546875" customWidth="1"/>
    <col min="3" max="3" width="14.85546875" bestFit="1" customWidth="1"/>
    <col min="4" max="4" width="15.28515625" bestFit="1" customWidth="1"/>
    <col min="5" max="5" width="14.28515625" bestFit="1" customWidth="1"/>
    <col min="6" max="6" width="16.140625" bestFit="1" customWidth="1"/>
    <col min="7" max="7" width="12.140625" bestFit="1" customWidth="1"/>
    <col min="8" max="8" width="12.42578125" bestFit="1" customWidth="1"/>
    <col min="9" max="9" width="14.28515625" bestFit="1" customWidth="1"/>
    <col min="10" max="10" width="13.140625" bestFit="1" customWidth="1"/>
    <col min="11" max="11" width="12.28515625" bestFit="1" customWidth="1"/>
    <col min="12" max="12" width="16.140625" bestFit="1" customWidth="1"/>
    <col min="13" max="13" width="12.42578125" bestFit="1" customWidth="1"/>
    <col min="14" max="14" width="12" bestFit="1" customWidth="1"/>
    <col min="15" max="15" width="18" bestFit="1" customWidth="1"/>
    <col min="16" max="17" width="26.5703125" customWidth="1"/>
    <col min="18" max="19" width="26.42578125" customWidth="1"/>
  </cols>
  <sheetData>
    <row r="1" spans="1:19">
      <c r="A1" s="668" t="s">
        <v>189</v>
      </c>
      <c r="B1" s="434" t="str">
        <f>'25. Collateral'!B1</f>
        <v>სს "კრედო ბანკი"</v>
      </c>
    </row>
    <row r="2" spans="1:19">
      <c r="A2" s="668" t="s">
        <v>190</v>
      </c>
      <c r="B2" s="520">
        <f>'[4]1. key ratios'!B2</f>
        <v>44469</v>
      </c>
    </row>
    <row r="3" spans="1:19">
      <c r="A3" s="669" t="s">
        <v>717</v>
      </c>
      <c r="B3" s="517"/>
    </row>
    <row r="4" spans="1:19">
      <c r="A4" s="669"/>
      <c r="B4" s="517"/>
    </row>
    <row r="5" spans="1:19" ht="24" customHeight="1">
      <c r="A5" s="790" t="s">
        <v>733</v>
      </c>
      <c r="B5" s="790"/>
      <c r="C5" s="791" t="s">
        <v>653</v>
      </c>
      <c r="D5" s="791"/>
      <c r="E5" s="791"/>
      <c r="F5" s="791"/>
      <c r="G5" s="791"/>
      <c r="H5" s="791"/>
      <c r="I5" s="791" t="s">
        <v>739</v>
      </c>
      <c r="J5" s="791"/>
      <c r="K5" s="791"/>
      <c r="L5" s="791"/>
      <c r="M5" s="791"/>
      <c r="N5" s="791"/>
      <c r="O5" s="789" t="s">
        <v>730</v>
      </c>
      <c r="P5" s="789" t="s">
        <v>736</v>
      </c>
      <c r="Q5" s="789" t="s">
        <v>735</v>
      </c>
      <c r="R5" s="789" t="s">
        <v>738</v>
      </c>
      <c r="S5" s="789" t="s">
        <v>731</v>
      </c>
    </row>
    <row r="6" spans="1:19" ht="36" customHeight="1">
      <c r="A6" s="790"/>
      <c r="B6" s="790"/>
      <c r="C6" s="601"/>
      <c r="D6" s="655" t="s">
        <v>684</v>
      </c>
      <c r="E6" s="655" t="s">
        <v>685</v>
      </c>
      <c r="F6" s="655" t="s">
        <v>686</v>
      </c>
      <c r="G6" s="655" t="s">
        <v>687</v>
      </c>
      <c r="H6" s="655" t="s">
        <v>688</v>
      </c>
      <c r="I6" s="601"/>
      <c r="J6" s="655" t="s">
        <v>684</v>
      </c>
      <c r="K6" s="655" t="s">
        <v>685</v>
      </c>
      <c r="L6" s="655" t="s">
        <v>686</v>
      </c>
      <c r="M6" s="655" t="s">
        <v>687</v>
      </c>
      <c r="N6" s="655" t="s">
        <v>688</v>
      </c>
      <c r="O6" s="789"/>
      <c r="P6" s="789"/>
      <c r="Q6" s="789"/>
      <c r="R6" s="789"/>
      <c r="S6" s="789"/>
    </row>
    <row r="7" spans="1:19">
      <c r="A7" s="599">
        <v>1</v>
      </c>
      <c r="B7" s="670" t="s">
        <v>718</v>
      </c>
      <c r="C7" s="654">
        <f>SUM(D7:H7)</f>
        <v>8933183.7599999979</v>
      </c>
      <c r="D7" s="652">
        <v>8579723.8699999992</v>
      </c>
      <c r="E7" s="652">
        <v>224649.75</v>
      </c>
      <c r="F7" s="652">
        <v>75244.03</v>
      </c>
      <c r="G7" s="652">
        <v>18424.009999999998</v>
      </c>
      <c r="H7" s="652">
        <v>35142.1</v>
      </c>
      <c r="I7" s="654">
        <f>SUM(J7:N7)</f>
        <v>260986.77</v>
      </c>
      <c r="J7" s="652">
        <v>171594.46999999997</v>
      </c>
      <c r="K7" s="652">
        <v>22464.98</v>
      </c>
      <c r="L7" s="652">
        <v>22573.21</v>
      </c>
      <c r="M7" s="652">
        <v>9212.01</v>
      </c>
      <c r="N7" s="652">
        <v>35142.1</v>
      </c>
      <c r="O7" s="652">
        <v>18531</v>
      </c>
      <c r="P7" s="682">
        <v>0.16346551563485034</v>
      </c>
      <c r="Q7" s="682">
        <v>0.297143886555088</v>
      </c>
      <c r="R7" s="682">
        <v>0.21</v>
      </c>
      <c r="S7" s="679">
        <v>25.490967000000001</v>
      </c>
    </row>
    <row r="8" spans="1:19">
      <c r="A8" s="599">
        <v>2</v>
      </c>
      <c r="B8" s="671" t="s">
        <v>719</v>
      </c>
      <c r="C8" s="654">
        <f t="shared" ref="C8:C18" si="0">SUM(D8:H8)</f>
        <v>579950154</v>
      </c>
      <c r="D8" s="652">
        <v>518367716.98000002</v>
      </c>
      <c r="E8" s="652">
        <v>46175464.289999992</v>
      </c>
      <c r="F8" s="652">
        <v>9061687.7599999998</v>
      </c>
      <c r="G8" s="652">
        <v>3884170.52</v>
      </c>
      <c r="H8" s="652">
        <v>2461114.4500000002</v>
      </c>
      <c r="I8" s="654">
        <f t="shared" ref="I8:I18" si="1">SUM(J8:N8)</f>
        <v>22106606.810000002</v>
      </c>
      <c r="J8" s="652">
        <v>10367354.35</v>
      </c>
      <c r="K8" s="652">
        <v>4617546.42</v>
      </c>
      <c r="L8" s="652">
        <v>2718506.33</v>
      </c>
      <c r="M8" s="652">
        <v>1942085.26</v>
      </c>
      <c r="N8" s="652">
        <v>2461114.4500000002</v>
      </c>
      <c r="O8" s="652">
        <v>183563</v>
      </c>
      <c r="P8" s="682">
        <v>0.24330873183258703</v>
      </c>
      <c r="Q8" s="682">
        <v>0.34</v>
      </c>
      <c r="R8" s="682">
        <v>0.24</v>
      </c>
      <c r="S8" s="679">
        <v>33.584938999999999</v>
      </c>
    </row>
    <row r="9" spans="1:19">
      <c r="A9" s="599">
        <v>3</v>
      </c>
      <c r="B9" s="671" t="s">
        <v>720</v>
      </c>
      <c r="C9" s="654">
        <f t="shared" si="0"/>
        <v>0</v>
      </c>
      <c r="D9" s="652"/>
      <c r="E9" s="652"/>
      <c r="F9" s="652"/>
      <c r="G9" s="652"/>
      <c r="H9" s="652"/>
      <c r="I9" s="654">
        <f t="shared" si="1"/>
        <v>0</v>
      </c>
      <c r="J9" s="652"/>
      <c r="K9" s="652"/>
      <c r="L9" s="652"/>
      <c r="M9" s="652"/>
      <c r="N9" s="652"/>
      <c r="O9" s="652"/>
      <c r="P9" s="683"/>
      <c r="Q9" s="682"/>
      <c r="R9" s="683"/>
      <c r="S9" s="679"/>
    </row>
    <row r="10" spans="1:19">
      <c r="A10" s="599">
        <v>4</v>
      </c>
      <c r="B10" s="671" t="s">
        <v>721</v>
      </c>
      <c r="C10" s="654">
        <f t="shared" si="0"/>
        <v>145479585.84000003</v>
      </c>
      <c r="D10" s="652">
        <v>141335631.11000001</v>
      </c>
      <c r="E10" s="652">
        <v>2377902.71</v>
      </c>
      <c r="F10" s="652">
        <v>1021328.22</v>
      </c>
      <c r="G10" s="652">
        <v>731409.94</v>
      </c>
      <c r="H10" s="652">
        <v>13313.86</v>
      </c>
      <c r="I10" s="654">
        <f t="shared" si="1"/>
        <v>3749920.19</v>
      </c>
      <c r="J10" s="652">
        <v>2826712.62</v>
      </c>
      <c r="K10" s="652">
        <v>237790.27</v>
      </c>
      <c r="L10" s="652">
        <v>306398.46999999997</v>
      </c>
      <c r="M10" s="652">
        <v>365704.97</v>
      </c>
      <c r="N10" s="652">
        <v>13313.86</v>
      </c>
      <c r="O10" s="652">
        <v>237519</v>
      </c>
      <c r="P10" s="682">
        <v>2.3096871136464227E-2</v>
      </c>
      <c r="Q10" s="682">
        <v>0.22000000000000003</v>
      </c>
      <c r="R10" s="682">
        <v>0.02</v>
      </c>
      <c r="S10" s="679">
        <v>10.682369</v>
      </c>
    </row>
    <row r="11" spans="1:19">
      <c r="A11" s="599">
        <v>5</v>
      </c>
      <c r="B11" s="671" t="s">
        <v>722</v>
      </c>
      <c r="C11" s="654">
        <f t="shared" si="0"/>
        <v>45302.41</v>
      </c>
      <c r="D11" s="652">
        <v>36934.39</v>
      </c>
      <c r="E11" s="652">
        <v>8368.02</v>
      </c>
      <c r="F11" s="652">
        <v>0</v>
      </c>
      <c r="G11" s="652">
        <v>0</v>
      </c>
      <c r="H11" s="652">
        <v>0</v>
      </c>
      <c r="I11" s="654">
        <f t="shared" si="1"/>
        <v>1575.48</v>
      </c>
      <c r="J11" s="652">
        <v>738.68000000000006</v>
      </c>
      <c r="K11" s="652">
        <v>836.8</v>
      </c>
      <c r="L11" s="652">
        <v>0</v>
      </c>
      <c r="M11" s="652">
        <v>0</v>
      </c>
      <c r="N11" s="652">
        <v>0</v>
      </c>
      <c r="O11" s="652">
        <v>346</v>
      </c>
      <c r="P11" s="682">
        <v>0.17822530861469132</v>
      </c>
      <c r="Q11" s="682">
        <v>0.2655452321395817</v>
      </c>
      <c r="R11" s="682">
        <v>0.02</v>
      </c>
      <c r="S11" s="679">
        <v>0.18518499999999999</v>
      </c>
    </row>
    <row r="12" spans="1:19">
      <c r="A12" s="599">
        <v>6</v>
      </c>
      <c r="B12" s="671" t="s">
        <v>723</v>
      </c>
      <c r="C12" s="654">
        <f t="shared" si="0"/>
        <v>1040298.9299999999</v>
      </c>
      <c r="D12" s="652">
        <v>975848.92</v>
      </c>
      <c r="E12" s="652">
        <v>26410.46</v>
      </c>
      <c r="F12" s="652">
        <v>20722.97</v>
      </c>
      <c r="G12" s="652">
        <v>11618.12</v>
      </c>
      <c r="H12" s="652">
        <v>5698.46</v>
      </c>
      <c r="I12" s="654">
        <f t="shared" si="1"/>
        <v>39882.439999999995</v>
      </c>
      <c r="J12" s="652">
        <v>19516.98</v>
      </c>
      <c r="K12" s="652">
        <v>2641.05</v>
      </c>
      <c r="L12" s="652">
        <v>6216.89</v>
      </c>
      <c r="M12" s="652">
        <v>5809.06</v>
      </c>
      <c r="N12" s="652">
        <v>5698.46</v>
      </c>
      <c r="O12" s="652">
        <v>3393</v>
      </c>
      <c r="P12" s="682">
        <v>0.23561730507989048</v>
      </c>
      <c r="Q12" s="682">
        <v>0.37000000000000005</v>
      </c>
      <c r="R12" s="682">
        <v>0.16</v>
      </c>
      <c r="S12" s="679">
        <v>142.00114600000001</v>
      </c>
    </row>
    <row r="13" spans="1:19">
      <c r="A13" s="599">
        <v>7</v>
      </c>
      <c r="B13" s="671" t="s">
        <v>724</v>
      </c>
      <c r="C13" s="654">
        <f t="shared" si="0"/>
        <v>107403976.47000003</v>
      </c>
      <c r="D13" s="652">
        <v>104684868.01000002</v>
      </c>
      <c r="E13" s="652">
        <v>1711094.87</v>
      </c>
      <c r="F13" s="652">
        <v>695579.26</v>
      </c>
      <c r="G13" s="652">
        <v>243992.06</v>
      </c>
      <c r="H13" s="652">
        <v>68442.27</v>
      </c>
      <c r="I13" s="654">
        <f t="shared" si="1"/>
        <v>2663918.9500000002</v>
      </c>
      <c r="J13" s="652">
        <v>2093697.37</v>
      </c>
      <c r="K13" s="652">
        <v>171109.5</v>
      </c>
      <c r="L13" s="652">
        <v>208673.77000000002</v>
      </c>
      <c r="M13" s="652">
        <v>121996.04</v>
      </c>
      <c r="N13" s="652">
        <v>68442.27</v>
      </c>
      <c r="O13" s="652">
        <v>19122</v>
      </c>
      <c r="P13" s="682">
        <v>0.22308827682030366</v>
      </c>
      <c r="Q13" s="682">
        <v>0.31308827682030366</v>
      </c>
      <c r="R13" s="682">
        <v>0.22</v>
      </c>
      <c r="S13" s="679">
        <v>42.08023</v>
      </c>
    </row>
    <row r="14" spans="1:19" ht="25.5">
      <c r="A14" s="672">
        <v>7.1</v>
      </c>
      <c r="B14" s="673" t="s">
        <v>725</v>
      </c>
      <c r="C14" s="654">
        <f t="shared" si="0"/>
        <v>16728922.940000001</v>
      </c>
      <c r="D14" s="652">
        <v>16043651.040000001</v>
      </c>
      <c r="E14" s="652">
        <v>514224.09</v>
      </c>
      <c r="F14" s="652">
        <v>168006.89</v>
      </c>
      <c r="G14" s="652">
        <v>3040.92</v>
      </c>
      <c r="H14" s="652">
        <v>0</v>
      </c>
      <c r="I14" s="654">
        <f t="shared" si="1"/>
        <v>424217.96000000008</v>
      </c>
      <c r="J14" s="652">
        <v>320873.02</v>
      </c>
      <c r="K14" s="652">
        <v>51422.41</v>
      </c>
      <c r="L14" s="652">
        <v>50402.069999999992</v>
      </c>
      <c r="M14" s="652">
        <v>1520.46</v>
      </c>
      <c r="N14" s="652">
        <v>0</v>
      </c>
      <c r="O14" s="652">
        <v>378</v>
      </c>
      <c r="P14" s="682">
        <v>0.12828142382412069</v>
      </c>
      <c r="Q14" s="682">
        <v>0.15401535360565563</v>
      </c>
      <c r="R14" s="682">
        <v>0.13</v>
      </c>
      <c r="S14" s="679">
        <v>100.40115400000001</v>
      </c>
    </row>
    <row r="15" spans="1:19" ht="25.5">
      <c r="A15" s="672">
        <v>7.2</v>
      </c>
      <c r="B15" s="673" t="s">
        <v>726</v>
      </c>
      <c r="C15" s="654">
        <f t="shared" si="0"/>
        <v>1587950.0799999998</v>
      </c>
      <c r="D15" s="652">
        <v>1511745.44</v>
      </c>
      <c r="E15" s="652">
        <v>52616.63</v>
      </c>
      <c r="F15" s="652">
        <v>21399.58</v>
      </c>
      <c r="G15" s="652">
        <v>2188.4299999999998</v>
      </c>
      <c r="H15" s="652">
        <v>0</v>
      </c>
      <c r="I15" s="654">
        <f t="shared" si="1"/>
        <v>43010.670000000006</v>
      </c>
      <c r="J15" s="652">
        <v>30234.91</v>
      </c>
      <c r="K15" s="652">
        <v>5261.67</v>
      </c>
      <c r="L15" s="652">
        <v>6419.87</v>
      </c>
      <c r="M15" s="652">
        <v>1094.22</v>
      </c>
      <c r="N15" s="652">
        <v>0</v>
      </c>
      <c r="O15" s="652">
        <v>61</v>
      </c>
      <c r="P15" s="682">
        <v>0.14000000000000001</v>
      </c>
      <c r="Q15" s="682">
        <v>0.16</v>
      </c>
      <c r="R15" s="682">
        <v>0.16</v>
      </c>
      <c r="S15" s="679">
        <v>89.146365000000003</v>
      </c>
    </row>
    <row r="16" spans="1:19">
      <c r="A16" s="672">
        <v>7.3</v>
      </c>
      <c r="B16" s="673" t="s">
        <v>727</v>
      </c>
      <c r="C16" s="654">
        <f t="shared" si="0"/>
        <v>89087103.450000003</v>
      </c>
      <c r="D16" s="652">
        <v>87129471.530000001</v>
      </c>
      <c r="E16" s="652">
        <v>1144254.1499999999</v>
      </c>
      <c r="F16" s="652">
        <v>506172.79</v>
      </c>
      <c r="G16" s="652">
        <v>238762.71</v>
      </c>
      <c r="H16" s="652">
        <v>68442.27</v>
      </c>
      <c r="I16" s="654">
        <f t="shared" si="1"/>
        <v>2196690.3199999998</v>
      </c>
      <c r="J16" s="652">
        <v>1742589.44</v>
      </c>
      <c r="K16" s="652">
        <v>114425.42</v>
      </c>
      <c r="L16" s="652">
        <v>151851.82999999999</v>
      </c>
      <c r="M16" s="652">
        <v>119381.36</v>
      </c>
      <c r="N16" s="652">
        <v>68442.27</v>
      </c>
      <c r="O16" s="652">
        <v>18683</v>
      </c>
      <c r="P16" s="682">
        <v>0.23649092799462618</v>
      </c>
      <c r="Q16" s="682">
        <v>0.33327120934537163</v>
      </c>
      <c r="R16" s="682">
        <v>0.24</v>
      </c>
      <c r="S16" s="679">
        <v>30.286646999999999</v>
      </c>
    </row>
    <row r="17" spans="1:19">
      <c r="A17" s="599">
        <v>8</v>
      </c>
      <c r="B17" s="671" t="s">
        <v>728</v>
      </c>
      <c r="C17" s="654">
        <f t="shared" si="0"/>
        <v>0</v>
      </c>
      <c r="D17" s="652">
        <v>0</v>
      </c>
      <c r="E17" s="652">
        <v>0</v>
      </c>
      <c r="F17" s="652">
        <v>0</v>
      </c>
      <c r="G17" s="652">
        <v>0</v>
      </c>
      <c r="H17" s="652">
        <v>0</v>
      </c>
      <c r="I17" s="654">
        <f t="shared" si="1"/>
        <v>0</v>
      </c>
      <c r="J17" s="652">
        <v>0</v>
      </c>
      <c r="K17" s="652">
        <v>0</v>
      </c>
      <c r="L17" s="652">
        <v>0</v>
      </c>
      <c r="M17" s="652">
        <v>0</v>
      </c>
      <c r="N17" s="652">
        <v>0</v>
      </c>
      <c r="O17" s="652">
        <v>0</v>
      </c>
      <c r="P17" s="683"/>
      <c r="Q17" s="682"/>
      <c r="R17" s="683"/>
      <c r="S17" s="679"/>
    </row>
    <row r="18" spans="1:19">
      <c r="A18" s="600">
        <v>9</v>
      </c>
      <c r="B18" s="674" t="s">
        <v>729</v>
      </c>
      <c r="C18" s="654">
        <f t="shared" si="0"/>
        <v>2269260.39</v>
      </c>
      <c r="D18" s="653">
        <v>2109091.48</v>
      </c>
      <c r="E18" s="653">
        <v>127398.33</v>
      </c>
      <c r="F18" s="653">
        <v>20953.86</v>
      </c>
      <c r="G18" s="653">
        <v>11816.72</v>
      </c>
      <c r="H18" s="653">
        <v>0</v>
      </c>
      <c r="I18" s="654">
        <f t="shared" si="1"/>
        <v>67116.180000000008</v>
      </c>
      <c r="J18" s="653">
        <v>42181.83</v>
      </c>
      <c r="K18" s="653">
        <v>12739.83</v>
      </c>
      <c r="L18" s="653">
        <v>6286.16</v>
      </c>
      <c r="M18" s="653">
        <v>5908.36</v>
      </c>
      <c r="N18" s="653">
        <v>0</v>
      </c>
      <c r="O18" s="653">
        <v>1078</v>
      </c>
      <c r="P18" s="684">
        <v>0.14390627190237379</v>
      </c>
      <c r="Q18" s="684">
        <v>0.17846245670863292</v>
      </c>
      <c r="R18" s="684">
        <v>0.15</v>
      </c>
      <c r="S18" s="680">
        <v>32.161904</v>
      </c>
    </row>
    <row r="19" spans="1:19">
      <c r="A19" s="599">
        <v>10</v>
      </c>
      <c r="B19" s="675" t="s">
        <v>734</v>
      </c>
      <c r="C19" s="654">
        <f>SUM(C7:C13)+SUM(C17:C18)</f>
        <v>845121761.79999995</v>
      </c>
      <c r="D19" s="654">
        <f>SUM(D7:D13)+SUM(D17:D18)</f>
        <v>776089814.75999999</v>
      </c>
      <c r="E19" s="654">
        <f t="shared" ref="E19:H19" si="2">SUM(E7:E13)+SUM(E17:E18)</f>
        <v>50651288.429999992</v>
      </c>
      <c r="F19" s="654">
        <f t="shared" si="2"/>
        <v>10895516.1</v>
      </c>
      <c r="G19" s="654">
        <f t="shared" si="2"/>
        <v>4901431.3699999992</v>
      </c>
      <c r="H19" s="654">
        <f t="shared" si="2"/>
        <v>2583711.14</v>
      </c>
      <c r="I19" s="654">
        <f>SUM(I7:I13)+SUM(I17:I18)</f>
        <v>28890006.820000004</v>
      </c>
      <c r="J19" s="654">
        <f>SUM(J7:J13)+SUM(J17:J18)</f>
        <v>15521796.300000003</v>
      </c>
      <c r="K19" s="654">
        <f t="shared" ref="K19:O19" si="3">SUM(K7:K13)+SUM(K17:K18)</f>
        <v>5065128.8499999996</v>
      </c>
      <c r="L19" s="654">
        <f t="shared" si="3"/>
        <v>3268654.83</v>
      </c>
      <c r="M19" s="654">
        <f t="shared" si="3"/>
        <v>2450715.7000000002</v>
      </c>
      <c r="N19" s="654">
        <f t="shared" si="3"/>
        <v>2583711.14</v>
      </c>
      <c r="O19" s="654">
        <f t="shared" si="3"/>
        <v>463552</v>
      </c>
      <c r="P19" s="678">
        <v>0.18615217911157689</v>
      </c>
      <c r="Q19" s="678">
        <v>0.30579329584322684</v>
      </c>
      <c r="R19" s="678">
        <v>0.20148531859818258</v>
      </c>
      <c r="S19" s="681">
        <v>32.040063618948466</v>
      </c>
    </row>
    <row r="20" spans="1:19" ht="25.5">
      <c r="A20" s="672">
        <v>10.1</v>
      </c>
      <c r="B20" s="673" t="s">
        <v>737</v>
      </c>
      <c r="C20" s="652"/>
      <c r="D20" s="652"/>
      <c r="E20" s="652"/>
      <c r="F20" s="652"/>
      <c r="G20" s="652"/>
      <c r="H20" s="652"/>
      <c r="I20" s="652"/>
      <c r="J20" s="652"/>
      <c r="K20" s="652"/>
      <c r="L20" s="652"/>
      <c r="M20" s="652"/>
      <c r="N20" s="652"/>
      <c r="O20" s="652"/>
      <c r="P20" s="676"/>
      <c r="Q20" s="676"/>
      <c r="R20" s="676"/>
      <c r="S20" s="67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ignoredErrors>
    <ignoredError sqref="I7 I8:I1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I43"/>
  <sheetViews>
    <sheetView workbookViewId="0">
      <pane xSplit="1" ySplit="5" topLeftCell="B31" activePane="bottomRight" state="frozen"/>
      <selection pane="topRight" activeCell="B1" sqref="B1"/>
      <selection pane="bottomLeft" activeCell="A5" sqref="A5"/>
      <selection pane="bottomRight" activeCell="F33" sqref="F33:F39"/>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9" ht="15.75">
      <c r="A1" s="17" t="s">
        <v>189</v>
      </c>
      <c r="B1" s="338" t="str">
        <f>Info!C2</f>
        <v>სს "კრედო ბანკი"</v>
      </c>
    </row>
    <row r="2" spans="1:9" ht="15.75">
      <c r="A2" s="17" t="s">
        <v>190</v>
      </c>
      <c r="B2" s="472">
        <f>'1. key ratios'!B2</f>
        <v>44469</v>
      </c>
    </row>
    <row r="3" spans="1:9" ht="15.75">
      <c r="A3" s="17"/>
    </row>
    <row r="4" spans="1:9" ht="16.5" thickBot="1">
      <c r="A4" s="30" t="s">
        <v>329</v>
      </c>
      <c r="B4" s="69" t="s">
        <v>244</v>
      </c>
      <c r="C4" s="30"/>
      <c r="D4" s="31"/>
      <c r="E4" s="31"/>
      <c r="F4" s="32"/>
      <c r="G4" s="32"/>
      <c r="H4" s="33" t="s">
        <v>94</v>
      </c>
    </row>
    <row r="5" spans="1:9" ht="15.75">
      <c r="A5" s="34"/>
      <c r="B5" s="35"/>
      <c r="C5" s="687" t="s">
        <v>195</v>
      </c>
      <c r="D5" s="688"/>
      <c r="E5" s="689"/>
      <c r="F5" s="687" t="s">
        <v>196</v>
      </c>
      <c r="G5" s="688"/>
      <c r="H5" s="690"/>
    </row>
    <row r="6" spans="1:9" ht="15.75">
      <c r="A6" s="36" t="s">
        <v>27</v>
      </c>
      <c r="B6" s="37" t="s">
        <v>154</v>
      </c>
      <c r="C6" s="38" t="s">
        <v>28</v>
      </c>
      <c r="D6" s="38" t="s">
        <v>95</v>
      </c>
      <c r="E6" s="38" t="s">
        <v>69</v>
      </c>
      <c r="F6" s="38" t="s">
        <v>28</v>
      </c>
      <c r="G6" s="38" t="s">
        <v>95</v>
      </c>
      <c r="H6" s="39" t="s">
        <v>69</v>
      </c>
    </row>
    <row r="7" spans="1:9" ht="15.75">
      <c r="A7" s="36">
        <v>1</v>
      </c>
      <c r="B7" s="40" t="s">
        <v>155</v>
      </c>
      <c r="C7" s="230">
        <v>31142998.140000001</v>
      </c>
      <c r="D7" s="230">
        <v>17416883.93</v>
      </c>
      <c r="E7" s="231">
        <f>C7+D7</f>
        <v>48559882.07</v>
      </c>
      <c r="F7" s="232">
        <v>24448418.650000002</v>
      </c>
      <c r="G7" s="233">
        <v>19165427.670000006</v>
      </c>
      <c r="H7" s="234">
        <f>F7+G7</f>
        <v>43613846.320000008</v>
      </c>
    </row>
    <row r="8" spans="1:9" ht="15.75">
      <c r="A8" s="36">
        <v>2</v>
      </c>
      <c r="B8" s="40" t="s">
        <v>156</v>
      </c>
      <c r="C8" s="230">
        <v>65572473.640000001</v>
      </c>
      <c r="D8" s="230">
        <v>18150212.059999999</v>
      </c>
      <c r="E8" s="231">
        <f t="shared" ref="E8:E20" si="0">C8+D8</f>
        <v>83722685.700000003</v>
      </c>
      <c r="F8" s="232">
        <v>40360073.75</v>
      </c>
      <c r="G8" s="233">
        <v>54550660.439999998</v>
      </c>
      <c r="H8" s="234">
        <f t="shared" ref="H8:H40" si="1">F8+G8</f>
        <v>94910734.189999998</v>
      </c>
    </row>
    <row r="9" spans="1:9" ht="15.75">
      <c r="A9" s="36">
        <v>3</v>
      </c>
      <c r="B9" s="40" t="s">
        <v>157</v>
      </c>
      <c r="C9" s="230">
        <v>25274805.59</v>
      </c>
      <c r="D9" s="230">
        <v>68949488.800000012</v>
      </c>
      <c r="E9" s="231">
        <f t="shared" si="0"/>
        <v>94224294.390000015</v>
      </c>
      <c r="F9" s="232">
        <v>339502.38</v>
      </c>
      <c r="G9" s="233">
        <v>29066595.110000003</v>
      </c>
      <c r="H9" s="234">
        <f t="shared" si="1"/>
        <v>29406097.490000002</v>
      </c>
    </row>
    <row r="10" spans="1:9" ht="15.75">
      <c r="A10" s="36">
        <v>4</v>
      </c>
      <c r="B10" s="40" t="s">
        <v>186</v>
      </c>
      <c r="C10" s="230">
        <v>0</v>
      </c>
      <c r="D10" s="230">
        <v>0</v>
      </c>
      <c r="E10" s="231">
        <f t="shared" si="0"/>
        <v>0</v>
      </c>
      <c r="F10" s="232">
        <v>0</v>
      </c>
      <c r="G10" s="233">
        <v>0</v>
      </c>
      <c r="H10" s="234">
        <f t="shared" si="1"/>
        <v>0</v>
      </c>
    </row>
    <row r="11" spans="1:9" ht="15.75">
      <c r="A11" s="36">
        <v>5</v>
      </c>
      <c r="B11" s="40" t="s">
        <v>158</v>
      </c>
      <c r="C11" s="230">
        <v>42858627.269999996</v>
      </c>
      <c r="D11" s="230">
        <v>0</v>
      </c>
      <c r="E11" s="231">
        <f t="shared" si="0"/>
        <v>42858627.269999996</v>
      </c>
      <c r="F11" s="232">
        <v>42102670.850000001</v>
      </c>
      <c r="G11" s="233">
        <v>0</v>
      </c>
      <c r="H11" s="234">
        <f t="shared" si="1"/>
        <v>42102670.850000001</v>
      </c>
    </row>
    <row r="12" spans="1:9" ht="15.75">
      <c r="A12" s="36">
        <v>6.1</v>
      </c>
      <c r="B12" s="41" t="s">
        <v>159</v>
      </c>
      <c r="C12" s="230">
        <v>1098469127.6699998</v>
      </c>
      <c r="D12" s="230">
        <v>110701089.89359999</v>
      </c>
      <c r="E12" s="231">
        <f t="shared" si="0"/>
        <v>1209170217.5635998</v>
      </c>
      <c r="F12" s="232">
        <v>928732584.63</v>
      </c>
      <c r="G12" s="233">
        <v>96607876.477099985</v>
      </c>
      <c r="H12" s="234">
        <f t="shared" si="1"/>
        <v>1025340461.1071</v>
      </c>
    </row>
    <row r="13" spans="1:9" ht="15.75">
      <c r="A13" s="36">
        <v>6.2</v>
      </c>
      <c r="B13" s="41" t="s">
        <v>160</v>
      </c>
      <c r="C13" s="230">
        <v>-37751622.882799998</v>
      </c>
      <c r="D13" s="230">
        <v>-7024680.352</v>
      </c>
      <c r="E13" s="231">
        <f t="shared" si="0"/>
        <v>-44776303.234799996</v>
      </c>
      <c r="F13" s="232">
        <v>-31335215.789999999</v>
      </c>
      <c r="G13" s="233">
        <v>-4288008.47</v>
      </c>
      <c r="H13" s="234">
        <f t="shared" si="1"/>
        <v>-35623224.259999998</v>
      </c>
    </row>
    <row r="14" spans="1:9" ht="15.75">
      <c r="A14" s="36">
        <v>6</v>
      </c>
      <c r="B14" s="40" t="s">
        <v>161</v>
      </c>
      <c r="C14" s="231">
        <f>C12+C13</f>
        <v>1060717504.7871999</v>
      </c>
      <c r="D14" s="231">
        <f>D12+D13</f>
        <v>103676409.54159999</v>
      </c>
      <c r="E14" s="231">
        <f t="shared" si="0"/>
        <v>1164393914.3287997</v>
      </c>
      <c r="F14" s="231">
        <f>F12+F13</f>
        <v>897397368.84000003</v>
      </c>
      <c r="G14" s="231">
        <f>G12+G13</f>
        <v>92319868.007099986</v>
      </c>
      <c r="H14" s="234">
        <f t="shared" si="1"/>
        <v>989717236.84710002</v>
      </c>
      <c r="I14" s="610"/>
    </row>
    <row r="15" spans="1:9" ht="15.75">
      <c r="A15" s="36">
        <v>7</v>
      </c>
      <c r="B15" s="40" t="s">
        <v>162</v>
      </c>
      <c r="C15" s="230">
        <v>24074490.629999995</v>
      </c>
      <c r="D15" s="230">
        <v>1157790.6400000001</v>
      </c>
      <c r="E15" s="231">
        <f t="shared" si="0"/>
        <v>25232281.269999996</v>
      </c>
      <c r="F15" s="232">
        <v>29579451.719999999</v>
      </c>
      <c r="G15" s="233">
        <v>1487084.7400000002</v>
      </c>
      <c r="H15" s="234">
        <f t="shared" si="1"/>
        <v>31066536.460000001</v>
      </c>
    </row>
    <row r="16" spans="1:9" ht="15.75">
      <c r="A16" s="36">
        <v>8</v>
      </c>
      <c r="B16" s="40" t="s">
        <v>163</v>
      </c>
      <c r="C16" s="230">
        <v>1097656.5</v>
      </c>
      <c r="D16" s="230">
        <v>0</v>
      </c>
      <c r="E16" s="231">
        <f t="shared" si="0"/>
        <v>1097656.5</v>
      </c>
      <c r="F16" s="232">
        <v>1344601.5</v>
      </c>
      <c r="G16" s="233">
        <v>0</v>
      </c>
      <c r="H16" s="234">
        <f t="shared" si="1"/>
        <v>1344601.5</v>
      </c>
    </row>
    <row r="17" spans="1:8" ht="15.75">
      <c r="A17" s="36">
        <v>9</v>
      </c>
      <c r="B17" s="40" t="s">
        <v>164</v>
      </c>
      <c r="C17" s="230">
        <v>44000000</v>
      </c>
      <c r="D17" s="230">
        <v>0</v>
      </c>
      <c r="E17" s="231">
        <f t="shared" si="0"/>
        <v>44000000</v>
      </c>
      <c r="F17" s="232">
        <v>0</v>
      </c>
      <c r="G17" s="233">
        <v>0</v>
      </c>
      <c r="H17" s="234">
        <f t="shared" si="1"/>
        <v>0</v>
      </c>
    </row>
    <row r="18" spans="1:8" ht="15.75">
      <c r="A18" s="36">
        <v>10</v>
      </c>
      <c r="B18" s="40" t="s">
        <v>165</v>
      </c>
      <c r="C18" s="230">
        <v>32999230.360000007</v>
      </c>
      <c r="D18" s="230">
        <v>0</v>
      </c>
      <c r="E18" s="231">
        <f t="shared" si="0"/>
        <v>32999230.360000007</v>
      </c>
      <c r="F18" s="232">
        <v>29482599.320000004</v>
      </c>
      <c r="G18" s="233">
        <v>0</v>
      </c>
      <c r="H18" s="234">
        <f t="shared" si="1"/>
        <v>29482599.320000004</v>
      </c>
    </row>
    <row r="19" spans="1:8" ht="15.75">
      <c r="A19" s="36">
        <v>11</v>
      </c>
      <c r="B19" s="40" t="s">
        <v>166</v>
      </c>
      <c r="C19" s="230">
        <v>32661134.930000003</v>
      </c>
      <c r="D19" s="230">
        <v>2824881.4400000004</v>
      </c>
      <c r="E19" s="231">
        <f t="shared" si="0"/>
        <v>35486016.370000005</v>
      </c>
      <c r="F19" s="232">
        <v>38026273.32</v>
      </c>
      <c r="G19" s="233">
        <v>7281171.6399999987</v>
      </c>
      <c r="H19" s="234">
        <f t="shared" si="1"/>
        <v>45307444.960000001</v>
      </c>
    </row>
    <row r="20" spans="1:8" ht="15.75">
      <c r="A20" s="36">
        <v>12</v>
      </c>
      <c r="B20" s="42" t="s">
        <v>167</v>
      </c>
      <c r="C20" s="231">
        <f>SUM(C7:C11)+SUM(C14:C19)</f>
        <v>1360398921.8471999</v>
      </c>
      <c r="D20" s="231">
        <f>SUM(D7:D11)+SUM(D14:D19)</f>
        <v>212175666.41159999</v>
      </c>
      <c r="E20" s="231">
        <f t="shared" si="0"/>
        <v>1572574588.2588</v>
      </c>
      <c r="F20" s="231">
        <f>SUM(F7:F11)+SUM(F14:F19)</f>
        <v>1103080960.3300002</v>
      </c>
      <c r="G20" s="231">
        <f>SUM(G7:G11)+SUM(G14:G19)</f>
        <v>203870807.60709998</v>
      </c>
      <c r="H20" s="234">
        <f t="shared" si="1"/>
        <v>1306951767.9371002</v>
      </c>
    </row>
    <row r="21" spans="1:8" ht="15.75">
      <c r="A21" s="36"/>
      <c r="B21" s="37" t="s">
        <v>184</v>
      </c>
      <c r="C21" s="235"/>
      <c r="D21" s="235"/>
      <c r="E21" s="235"/>
      <c r="F21" s="236"/>
      <c r="G21" s="237"/>
      <c r="H21" s="238"/>
    </row>
    <row r="22" spans="1:8" ht="15.75">
      <c r="A22" s="36">
        <v>13</v>
      </c>
      <c r="B22" s="40" t="s">
        <v>168</v>
      </c>
      <c r="C22" s="230">
        <v>0</v>
      </c>
      <c r="D22" s="230">
        <v>0</v>
      </c>
      <c r="E22" s="231">
        <f>C22+D22</f>
        <v>0</v>
      </c>
      <c r="F22" s="232">
        <v>0</v>
      </c>
      <c r="G22" s="233">
        <v>5762250</v>
      </c>
      <c r="H22" s="234">
        <f t="shared" si="1"/>
        <v>5762250</v>
      </c>
    </row>
    <row r="23" spans="1:8" ht="15.75">
      <c r="A23" s="36">
        <v>14</v>
      </c>
      <c r="B23" s="40" t="s">
        <v>169</v>
      </c>
      <c r="C23" s="230">
        <v>48712435.869999997</v>
      </c>
      <c r="D23" s="230">
        <v>9355860.1500000004</v>
      </c>
      <c r="E23" s="231">
        <f t="shared" ref="E23:E40" si="2">C23+D23</f>
        <v>58068296.019999996</v>
      </c>
      <c r="F23" s="232">
        <v>32485136.670000002</v>
      </c>
      <c r="G23" s="233">
        <v>4542232.7899999991</v>
      </c>
      <c r="H23" s="234">
        <f t="shared" si="1"/>
        <v>37027369.460000001</v>
      </c>
    </row>
    <row r="24" spans="1:8" ht="15.75">
      <c r="A24" s="36">
        <v>15</v>
      </c>
      <c r="B24" s="40" t="s">
        <v>170</v>
      </c>
      <c r="C24" s="230">
        <v>4776325.3820000002</v>
      </c>
      <c r="D24" s="230">
        <v>11364686.502900001</v>
      </c>
      <c r="E24" s="231">
        <f t="shared" si="2"/>
        <v>16141011.8849</v>
      </c>
      <c r="F24" s="232">
        <v>7662288</v>
      </c>
      <c r="G24" s="233">
        <v>8365921.0600000005</v>
      </c>
      <c r="H24" s="234">
        <f t="shared" si="1"/>
        <v>16028209.060000001</v>
      </c>
    </row>
    <row r="25" spans="1:8" ht="15.75">
      <c r="A25" s="36">
        <v>16</v>
      </c>
      <c r="B25" s="40" t="s">
        <v>171</v>
      </c>
      <c r="C25" s="230">
        <v>98602584.200000003</v>
      </c>
      <c r="D25" s="230">
        <v>29022727.9712</v>
      </c>
      <c r="E25" s="231">
        <f t="shared" si="2"/>
        <v>127625312.17120001</v>
      </c>
      <c r="F25" s="232">
        <v>54242835.5</v>
      </c>
      <c r="G25" s="233">
        <v>13337256.43</v>
      </c>
      <c r="H25" s="234">
        <f t="shared" si="1"/>
        <v>67580091.930000007</v>
      </c>
    </row>
    <row r="26" spans="1:8" ht="15.75">
      <c r="A26" s="36">
        <v>17</v>
      </c>
      <c r="B26" s="40" t="s">
        <v>172</v>
      </c>
      <c r="C26" s="235"/>
      <c r="D26" s="235"/>
      <c r="E26" s="231">
        <f t="shared" si="2"/>
        <v>0</v>
      </c>
      <c r="F26" s="236"/>
      <c r="G26" s="237"/>
      <c r="H26" s="234">
        <f t="shared" si="1"/>
        <v>0</v>
      </c>
    </row>
    <row r="27" spans="1:8" ht="15.75">
      <c r="A27" s="36">
        <v>18</v>
      </c>
      <c r="B27" s="40" t="s">
        <v>173</v>
      </c>
      <c r="C27" s="230">
        <v>819908551.93063486</v>
      </c>
      <c r="D27" s="230">
        <v>172819221.88829944</v>
      </c>
      <c r="E27" s="231">
        <f t="shared" si="2"/>
        <v>992727773.81893432</v>
      </c>
      <c r="F27" s="232">
        <v>661463757.71095228</v>
      </c>
      <c r="G27" s="233">
        <v>244902986.74578971</v>
      </c>
      <c r="H27" s="234">
        <f t="shared" si="1"/>
        <v>906366744.45674205</v>
      </c>
    </row>
    <row r="28" spans="1:8" ht="15.75">
      <c r="A28" s="36">
        <v>19</v>
      </c>
      <c r="B28" s="40" t="s">
        <v>174</v>
      </c>
      <c r="C28" s="230">
        <v>24247079.460000001</v>
      </c>
      <c r="D28" s="230">
        <v>1831997.34</v>
      </c>
      <c r="E28" s="231">
        <f t="shared" si="2"/>
        <v>26079076.800000001</v>
      </c>
      <c r="F28" s="232">
        <v>20105589.359999999</v>
      </c>
      <c r="G28" s="233">
        <v>2544797.25</v>
      </c>
      <c r="H28" s="234">
        <f t="shared" si="1"/>
        <v>22650386.609999999</v>
      </c>
    </row>
    <row r="29" spans="1:8" ht="15.75">
      <c r="A29" s="36">
        <v>20</v>
      </c>
      <c r="B29" s="40" t="s">
        <v>96</v>
      </c>
      <c r="C29" s="230">
        <v>71404441.189999998</v>
      </c>
      <c r="D29" s="230">
        <v>7014265.8300000001</v>
      </c>
      <c r="E29" s="231">
        <f t="shared" si="2"/>
        <v>78418707.019999996</v>
      </c>
      <c r="F29" s="232">
        <v>63194084.79999999</v>
      </c>
      <c r="G29" s="233">
        <v>8679636.790000001</v>
      </c>
      <c r="H29" s="234">
        <f t="shared" si="1"/>
        <v>71873721.589999989</v>
      </c>
    </row>
    <row r="30" spans="1:8" ht="15.75">
      <c r="A30" s="36">
        <v>21</v>
      </c>
      <c r="B30" s="40" t="s">
        <v>175</v>
      </c>
      <c r="C30" s="230">
        <v>61847730</v>
      </c>
      <c r="D30" s="230">
        <v>0</v>
      </c>
      <c r="E30" s="231">
        <f t="shared" si="2"/>
        <v>61847730</v>
      </c>
      <c r="F30" s="232">
        <v>35336780</v>
      </c>
      <c r="G30" s="233">
        <v>0</v>
      </c>
      <c r="H30" s="234">
        <f t="shared" si="1"/>
        <v>35336780</v>
      </c>
    </row>
    <row r="31" spans="1:8" ht="15.75">
      <c r="A31" s="36">
        <v>22</v>
      </c>
      <c r="B31" s="42" t="s">
        <v>176</v>
      </c>
      <c r="C31" s="231">
        <f>SUM(C22:C30)</f>
        <v>1129499148.032635</v>
      </c>
      <c r="D31" s="231">
        <f>SUM(D22:D30)</f>
        <v>231408759.68239945</v>
      </c>
      <c r="E31" s="231">
        <f>C31+D31</f>
        <v>1360907907.7150345</v>
      </c>
      <c r="F31" s="231">
        <f>SUM(F22:F30)</f>
        <v>874490472.04095221</v>
      </c>
      <c r="G31" s="231">
        <f>SUM(G22:G30)</f>
        <v>288135081.06578976</v>
      </c>
      <c r="H31" s="234">
        <f t="shared" si="1"/>
        <v>1162625553.1067419</v>
      </c>
    </row>
    <row r="32" spans="1:8" ht="15.75">
      <c r="A32" s="36"/>
      <c r="B32" s="37" t="s">
        <v>185</v>
      </c>
      <c r="C32" s="235"/>
      <c r="D32" s="235"/>
      <c r="E32" s="230"/>
      <c r="F32" s="236"/>
      <c r="G32" s="237"/>
      <c r="H32" s="238"/>
    </row>
    <row r="33" spans="1:9" ht="15.75">
      <c r="A33" s="36">
        <v>23</v>
      </c>
      <c r="B33" s="40" t="s">
        <v>177</v>
      </c>
      <c r="C33" s="230">
        <v>5174400</v>
      </c>
      <c r="D33" s="235"/>
      <c r="E33" s="231">
        <f t="shared" si="2"/>
        <v>5174400</v>
      </c>
      <c r="F33" s="232">
        <v>4400000</v>
      </c>
      <c r="G33" s="237"/>
      <c r="H33" s="234">
        <f t="shared" si="1"/>
        <v>4400000</v>
      </c>
    </row>
    <row r="34" spans="1:9" ht="15.75">
      <c r="A34" s="36">
        <v>24</v>
      </c>
      <c r="B34" s="40" t="s">
        <v>178</v>
      </c>
      <c r="C34" s="230">
        <v>0</v>
      </c>
      <c r="D34" s="235"/>
      <c r="E34" s="231">
        <f t="shared" si="2"/>
        <v>0</v>
      </c>
      <c r="F34" s="232">
        <v>0</v>
      </c>
      <c r="G34" s="237"/>
      <c r="H34" s="234">
        <f t="shared" si="1"/>
        <v>0</v>
      </c>
    </row>
    <row r="35" spans="1:9" ht="15.75">
      <c r="A35" s="36">
        <v>25</v>
      </c>
      <c r="B35" s="41" t="s">
        <v>179</v>
      </c>
      <c r="C35" s="230">
        <v>0</v>
      </c>
      <c r="D35" s="235"/>
      <c r="E35" s="231">
        <f t="shared" si="2"/>
        <v>0</v>
      </c>
      <c r="F35" s="232">
        <v>0</v>
      </c>
      <c r="G35" s="237"/>
      <c r="H35" s="234">
        <f t="shared" si="1"/>
        <v>0</v>
      </c>
    </row>
    <row r="36" spans="1:9" ht="15.75">
      <c r="A36" s="36">
        <v>26</v>
      </c>
      <c r="B36" s="40" t="s">
        <v>180</v>
      </c>
      <c r="C36" s="230">
        <v>35225907.200000003</v>
      </c>
      <c r="D36" s="235"/>
      <c r="E36" s="231">
        <f t="shared" si="2"/>
        <v>35225907.200000003</v>
      </c>
      <c r="F36" s="232">
        <v>0</v>
      </c>
      <c r="G36" s="237"/>
      <c r="H36" s="234">
        <f t="shared" si="1"/>
        <v>0</v>
      </c>
    </row>
    <row r="37" spans="1:9" ht="15.75">
      <c r="A37" s="36">
        <v>27</v>
      </c>
      <c r="B37" s="40" t="s">
        <v>181</v>
      </c>
      <c r="C37" s="230">
        <v>0</v>
      </c>
      <c r="D37" s="235"/>
      <c r="E37" s="231">
        <f t="shared" si="2"/>
        <v>0</v>
      </c>
      <c r="F37" s="232">
        <v>0</v>
      </c>
      <c r="G37" s="237"/>
      <c r="H37" s="234">
        <f t="shared" si="1"/>
        <v>0</v>
      </c>
    </row>
    <row r="38" spans="1:9" ht="15.75">
      <c r="A38" s="36">
        <v>28</v>
      </c>
      <c r="B38" s="40" t="s">
        <v>182</v>
      </c>
      <c r="C38" s="230">
        <v>170869913.7899996</v>
      </c>
      <c r="D38" s="235"/>
      <c r="E38" s="231">
        <f t="shared" si="2"/>
        <v>170869913.7899996</v>
      </c>
      <c r="F38" s="232">
        <v>139621813.8999998</v>
      </c>
      <c r="G38" s="237"/>
      <c r="H38" s="234">
        <f t="shared" si="1"/>
        <v>139621813.8999998</v>
      </c>
    </row>
    <row r="39" spans="1:9" ht="15.75">
      <c r="A39" s="36">
        <v>29</v>
      </c>
      <c r="B39" s="40" t="s">
        <v>197</v>
      </c>
      <c r="C39" s="230">
        <v>396459</v>
      </c>
      <c r="D39" s="235"/>
      <c r="E39" s="231">
        <f t="shared" si="2"/>
        <v>396459</v>
      </c>
      <c r="F39" s="232">
        <v>304401.28999999998</v>
      </c>
      <c r="G39" s="237"/>
      <c r="H39" s="234">
        <f t="shared" si="1"/>
        <v>304401.28999999998</v>
      </c>
    </row>
    <row r="40" spans="1:9" ht="15.75">
      <c r="A40" s="36">
        <v>30</v>
      </c>
      <c r="B40" s="42" t="s">
        <v>183</v>
      </c>
      <c r="C40" s="230">
        <f>SUM(C33:C39)</f>
        <v>211666679.98999959</v>
      </c>
      <c r="D40" s="235"/>
      <c r="E40" s="231">
        <f t="shared" si="2"/>
        <v>211666679.98999959</v>
      </c>
      <c r="F40" s="230">
        <f>SUM(F33:F39)</f>
        <v>144326215.18999979</v>
      </c>
      <c r="G40" s="237"/>
      <c r="H40" s="234">
        <f t="shared" si="1"/>
        <v>144326215.18999979</v>
      </c>
      <c r="I40" s="610"/>
    </row>
    <row r="41" spans="1:9" ht="16.5" thickBot="1">
      <c r="A41" s="43">
        <v>31</v>
      </c>
      <c r="B41" s="44" t="s">
        <v>198</v>
      </c>
      <c r="C41" s="239">
        <f>C31+C40</f>
        <v>1341165828.0226345</v>
      </c>
      <c r="D41" s="239">
        <f>D31+D40</f>
        <v>231408759.68239945</v>
      </c>
      <c r="E41" s="239">
        <f>C41+D41</f>
        <v>1572574587.705034</v>
      </c>
      <c r="F41" s="239">
        <f>F31+F40</f>
        <v>1018816687.230952</v>
      </c>
      <c r="G41" s="239">
        <f>G31+G40</f>
        <v>288135081.06578976</v>
      </c>
      <c r="H41" s="240">
        <f>F41+G41</f>
        <v>1306951768.2967417</v>
      </c>
    </row>
    <row r="43" spans="1:9">
      <c r="B43" s="45"/>
    </row>
  </sheetData>
  <mergeCells count="2">
    <mergeCell ref="C5:E5"/>
    <mergeCell ref="F5:H5"/>
  </mergeCells>
  <dataValidations disablePrompts="1"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ignoredErrors>
    <ignoredError sqref="C20:D20" formulaRange="1"/>
    <ignoredError sqref="E20 E31 E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57" activePane="bottomRight" state="frozen"/>
      <selection pane="topRight" activeCell="B1" sqref="B1"/>
      <selection pane="bottomLeft" activeCell="A6" sqref="A6"/>
      <selection pane="bottomRight" activeCell="F66" sqref="F66"/>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7" t="s">
        <v>189</v>
      </c>
      <c r="B1" s="16" t="str">
        <f>Info!C2</f>
        <v>სს "კრედო ბანკი"</v>
      </c>
      <c r="C1" s="16"/>
    </row>
    <row r="2" spans="1:8" ht="15.75">
      <c r="A2" s="17" t="s">
        <v>190</v>
      </c>
      <c r="B2" s="472">
        <f>'1. key ratios'!B2</f>
        <v>44469</v>
      </c>
      <c r="C2" s="28"/>
      <c r="D2" s="18"/>
      <c r="E2" s="18"/>
      <c r="F2" s="18"/>
      <c r="G2" s="18"/>
      <c r="H2" s="18"/>
    </row>
    <row r="3" spans="1:8" ht="15.75">
      <c r="A3" s="17"/>
      <c r="B3" s="16"/>
      <c r="C3" s="28"/>
      <c r="D3" s="18"/>
      <c r="E3" s="18"/>
      <c r="F3" s="18"/>
      <c r="G3" s="18"/>
      <c r="H3" s="18"/>
    </row>
    <row r="4" spans="1:8" ht="16.5" thickBot="1">
      <c r="A4" s="46" t="s">
        <v>330</v>
      </c>
      <c r="B4" s="29" t="s">
        <v>223</v>
      </c>
      <c r="C4" s="32"/>
      <c r="D4" s="32"/>
      <c r="E4" s="32"/>
      <c r="F4" s="46"/>
      <c r="G4" s="46"/>
      <c r="H4" s="47" t="s">
        <v>94</v>
      </c>
    </row>
    <row r="5" spans="1:8" ht="15.75">
      <c r="A5" s="121"/>
      <c r="B5" s="122"/>
      <c r="C5" s="687" t="s">
        <v>195</v>
      </c>
      <c r="D5" s="688"/>
      <c r="E5" s="689"/>
      <c r="F5" s="687" t="s">
        <v>196</v>
      </c>
      <c r="G5" s="688"/>
      <c r="H5" s="690"/>
    </row>
    <row r="6" spans="1:8">
      <c r="A6" s="123" t="s">
        <v>27</v>
      </c>
      <c r="B6" s="48"/>
      <c r="C6" s="49" t="s">
        <v>28</v>
      </c>
      <c r="D6" s="49" t="s">
        <v>97</v>
      </c>
      <c r="E6" s="49" t="s">
        <v>69</v>
      </c>
      <c r="F6" s="49" t="s">
        <v>28</v>
      </c>
      <c r="G6" s="49" t="s">
        <v>97</v>
      </c>
      <c r="H6" s="124" t="s">
        <v>69</v>
      </c>
    </row>
    <row r="7" spans="1:8">
      <c r="A7" s="125"/>
      <c r="B7" s="51" t="s">
        <v>93</v>
      </c>
      <c r="C7" s="52"/>
      <c r="D7" s="52"/>
      <c r="E7" s="52"/>
      <c r="F7" s="52"/>
      <c r="G7" s="52"/>
      <c r="H7" s="126"/>
    </row>
    <row r="8" spans="1:8" ht="15.75">
      <c r="A8" s="125">
        <v>1</v>
      </c>
      <c r="B8" s="53" t="s">
        <v>98</v>
      </c>
      <c r="C8" s="241">
        <v>4377820.7300000004</v>
      </c>
      <c r="D8" s="241">
        <v>-220314.51</v>
      </c>
      <c r="E8" s="231">
        <f>C8+D8</f>
        <v>4157506.2200000007</v>
      </c>
      <c r="F8" s="241">
        <v>1603327.3199999998</v>
      </c>
      <c r="G8" s="241">
        <v>10501.640000000001</v>
      </c>
      <c r="H8" s="242">
        <f>F8+G8</f>
        <v>1613828.9599999997</v>
      </c>
    </row>
    <row r="9" spans="1:8" ht="15.75">
      <c r="A9" s="125">
        <v>2</v>
      </c>
      <c r="B9" s="53" t="s">
        <v>99</v>
      </c>
      <c r="C9" s="243">
        <f>SUM(C10:C18)</f>
        <v>160218136.94</v>
      </c>
      <c r="D9" s="243">
        <f>SUM(D10:D18)</f>
        <v>5655237.5299999993</v>
      </c>
      <c r="E9" s="231">
        <f t="shared" ref="E9:E67" si="0">C9+D9</f>
        <v>165873374.47</v>
      </c>
      <c r="F9" s="243">
        <f>SUM(F10:F18)</f>
        <v>127449723.7</v>
      </c>
      <c r="G9" s="243">
        <f>SUM(G10:G18)</f>
        <v>5093735.8099999996</v>
      </c>
      <c r="H9" s="242">
        <f t="shared" ref="H9:H67" si="1">F9+G9</f>
        <v>132543459.51000001</v>
      </c>
    </row>
    <row r="10" spans="1:8" ht="15.75">
      <c r="A10" s="125">
        <v>2.1</v>
      </c>
      <c r="B10" s="54" t="s">
        <v>100</v>
      </c>
      <c r="C10" s="241">
        <v>0</v>
      </c>
      <c r="D10" s="241">
        <v>0</v>
      </c>
      <c r="E10" s="231">
        <f t="shared" si="0"/>
        <v>0</v>
      </c>
      <c r="F10" s="241">
        <v>0</v>
      </c>
      <c r="G10" s="241">
        <v>0</v>
      </c>
      <c r="H10" s="242">
        <f t="shared" si="1"/>
        <v>0</v>
      </c>
    </row>
    <row r="11" spans="1:8" ht="15.75">
      <c r="A11" s="125">
        <v>2.2000000000000002</v>
      </c>
      <c r="B11" s="54" t="s">
        <v>101</v>
      </c>
      <c r="C11" s="241">
        <v>534468.9</v>
      </c>
      <c r="D11" s="241">
        <v>1001293.78</v>
      </c>
      <c r="E11" s="231">
        <f t="shared" si="0"/>
        <v>1535762.6800000002</v>
      </c>
      <c r="F11" s="241">
        <v>358100.91000000003</v>
      </c>
      <c r="G11" s="241">
        <v>833905.02</v>
      </c>
      <c r="H11" s="242">
        <f t="shared" si="1"/>
        <v>1192005.9300000002</v>
      </c>
    </row>
    <row r="12" spans="1:8" ht="15.75">
      <c r="A12" s="125">
        <v>2.2999999999999998</v>
      </c>
      <c r="B12" s="54" t="s">
        <v>102</v>
      </c>
      <c r="C12" s="241">
        <v>0</v>
      </c>
      <c r="D12" s="241">
        <v>0</v>
      </c>
      <c r="E12" s="231">
        <f t="shared" si="0"/>
        <v>0</v>
      </c>
      <c r="F12" s="241">
        <v>0</v>
      </c>
      <c r="G12" s="241">
        <v>0</v>
      </c>
      <c r="H12" s="242">
        <f t="shared" si="1"/>
        <v>0</v>
      </c>
    </row>
    <row r="13" spans="1:8" ht="15.75">
      <c r="A13" s="125">
        <v>2.4</v>
      </c>
      <c r="B13" s="54" t="s">
        <v>103</v>
      </c>
      <c r="C13" s="241">
        <v>87777.91</v>
      </c>
      <c r="D13" s="241">
        <v>18699.419999999998</v>
      </c>
      <c r="E13" s="231">
        <f t="shared" si="0"/>
        <v>106477.33</v>
      </c>
      <c r="F13" s="241">
        <v>16800.419999999998</v>
      </c>
      <c r="G13" s="241">
        <v>24126.86</v>
      </c>
      <c r="H13" s="242">
        <f t="shared" si="1"/>
        <v>40927.279999999999</v>
      </c>
    </row>
    <row r="14" spans="1:8" ht="15.75">
      <c r="A14" s="125">
        <v>2.5</v>
      </c>
      <c r="B14" s="54" t="s">
        <v>104</v>
      </c>
      <c r="C14" s="241">
        <v>62768.62</v>
      </c>
      <c r="D14" s="241">
        <v>159805.01999999999</v>
      </c>
      <c r="E14" s="231">
        <f t="shared" si="0"/>
        <v>222573.63999999998</v>
      </c>
      <c r="F14" s="241">
        <v>16860.830000000002</v>
      </c>
      <c r="G14" s="241">
        <v>134619.1</v>
      </c>
      <c r="H14" s="242">
        <f t="shared" si="1"/>
        <v>151479.93</v>
      </c>
    </row>
    <row r="15" spans="1:8" ht="15.75">
      <c r="A15" s="125">
        <v>2.6</v>
      </c>
      <c r="B15" s="54" t="s">
        <v>105</v>
      </c>
      <c r="C15" s="241">
        <v>207108.91</v>
      </c>
      <c r="D15" s="241">
        <v>143202.41</v>
      </c>
      <c r="E15" s="231">
        <f t="shared" si="0"/>
        <v>350311.32</v>
      </c>
      <c r="F15" s="241">
        <v>123943.1</v>
      </c>
      <c r="G15" s="241">
        <v>68130.83</v>
      </c>
      <c r="H15" s="242">
        <f t="shared" si="1"/>
        <v>192073.93</v>
      </c>
    </row>
    <row r="16" spans="1:8" ht="15.75">
      <c r="A16" s="125">
        <v>2.7</v>
      </c>
      <c r="B16" s="54" t="s">
        <v>106</v>
      </c>
      <c r="C16" s="241">
        <v>68018.95</v>
      </c>
      <c r="D16" s="241">
        <v>98294.5</v>
      </c>
      <c r="E16" s="231">
        <f t="shared" si="0"/>
        <v>166313.45000000001</v>
      </c>
      <c r="F16" s="241">
        <v>42499.22</v>
      </c>
      <c r="G16" s="241">
        <v>91713.47</v>
      </c>
      <c r="H16" s="242">
        <f t="shared" si="1"/>
        <v>134212.69</v>
      </c>
    </row>
    <row r="17" spans="1:8" ht="15.75">
      <c r="A17" s="125">
        <v>2.8</v>
      </c>
      <c r="B17" s="54" t="s">
        <v>107</v>
      </c>
      <c r="C17" s="241">
        <v>159182215.81</v>
      </c>
      <c r="D17" s="241">
        <v>4201411.3</v>
      </c>
      <c r="E17" s="231">
        <f t="shared" si="0"/>
        <v>163383627.11000001</v>
      </c>
      <c r="F17" s="241">
        <v>126828272.2</v>
      </c>
      <c r="G17" s="241">
        <v>3907930.4899999993</v>
      </c>
      <c r="H17" s="242">
        <f t="shared" si="1"/>
        <v>130736202.69</v>
      </c>
    </row>
    <row r="18" spans="1:8" ht="15.75">
      <c r="A18" s="125">
        <v>2.9</v>
      </c>
      <c r="B18" s="54" t="s">
        <v>108</v>
      </c>
      <c r="C18" s="241">
        <v>75777.84</v>
      </c>
      <c r="D18" s="241">
        <v>32531.1</v>
      </c>
      <c r="E18" s="231">
        <f t="shared" si="0"/>
        <v>108308.94</v>
      </c>
      <c r="F18" s="241">
        <v>63247.020000000004</v>
      </c>
      <c r="G18" s="241">
        <v>33310.04</v>
      </c>
      <c r="H18" s="242">
        <f t="shared" si="1"/>
        <v>96557.06</v>
      </c>
    </row>
    <row r="19" spans="1:8" ht="15.75">
      <c r="A19" s="125">
        <v>3</v>
      </c>
      <c r="B19" s="53" t="s">
        <v>109</v>
      </c>
      <c r="C19" s="241">
        <v>9960260.6099999994</v>
      </c>
      <c r="D19" s="241">
        <v>148943.43</v>
      </c>
      <c r="E19" s="231">
        <f t="shared" si="0"/>
        <v>10109204.039999999</v>
      </c>
      <c r="F19" s="241">
        <v>3832993.3800000004</v>
      </c>
      <c r="G19" s="241">
        <v>125832.60999999997</v>
      </c>
      <c r="H19" s="242">
        <f t="shared" si="1"/>
        <v>3958825.99</v>
      </c>
    </row>
    <row r="20" spans="1:8" ht="15.75">
      <c r="A20" s="125">
        <v>4</v>
      </c>
      <c r="B20" s="53" t="s">
        <v>110</v>
      </c>
      <c r="C20" s="241">
        <v>2836627.92</v>
      </c>
      <c r="D20" s="241">
        <v>0</v>
      </c>
      <c r="E20" s="231">
        <f t="shared" si="0"/>
        <v>2836627.92</v>
      </c>
      <c r="F20" s="241">
        <v>2220243.4900000002</v>
      </c>
      <c r="G20" s="241">
        <v>0</v>
      </c>
      <c r="H20" s="242">
        <f t="shared" si="1"/>
        <v>2220243.4900000002</v>
      </c>
    </row>
    <row r="21" spans="1:8" ht="15.75">
      <c r="A21" s="125">
        <v>5</v>
      </c>
      <c r="B21" s="53" t="s">
        <v>111</v>
      </c>
      <c r="C21" s="241">
        <v>0</v>
      </c>
      <c r="D21" s="241">
        <v>0</v>
      </c>
      <c r="E21" s="231">
        <f t="shared" si="0"/>
        <v>0</v>
      </c>
      <c r="F21" s="241">
        <v>0</v>
      </c>
      <c r="G21" s="241">
        <v>0</v>
      </c>
      <c r="H21" s="242">
        <f>F21+G21</f>
        <v>0</v>
      </c>
    </row>
    <row r="22" spans="1:8" ht="15.75">
      <c r="A22" s="125">
        <v>6</v>
      </c>
      <c r="B22" s="55" t="s">
        <v>112</v>
      </c>
      <c r="C22" s="243">
        <f>C8+C9+C19+C20+C21</f>
        <v>177392846.19999996</v>
      </c>
      <c r="D22" s="243">
        <f>D8+D9+D19+D20+D21</f>
        <v>5583866.4499999993</v>
      </c>
      <c r="E22" s="231">
        <f>C22+D22</f>
        <v>182976712.64999995</v>
      </c>
      <c r="F22" s="243">
        <f>F8+F9+F19+F20+F21</f>
        <v>135106287.88999999</v>
      </c>
      <c r="G22" s="243">
        <f>G8+G9+G19+G20+G21</f>
        <v>5230070.0599999996</v>
      </c>
      <c r="H22" s="242">
        <f>F22+G22</f>
        <v>140336357.94999999</v>
      </c>
    </row>
    <row r="23" spans="1:8" ht="15.75">
      <c r="A23" s="125"/>
      <c r="B23" s="51" t="s">
        <v>91</v>
      </c>
      <c r="C23" s="241"/>
      <c r="D23" s="241"/>
      <c r="E23" s="230"/>
      <c r="F23" s="241"/>
      <c r="G23" s="241"/>
      <c r="H23" s="244"/>
    </row>
    <row r="24" spans="1:8" ht="15.75">
      <c r="A24" s="125">
        <v>7</v>
      </c>
      <c r="B24" s="53" t="s">
        <v>113</v>
      </c>
      <c r="C24" s="241">
        <v>875291.4</v>
      </c>
      <c r="D24" s="241">
        <v>29210.720000000001</v>
      </c>
      <c r="E24" s="231">
        <f t="shared" si="0"/>
        <v>904502.12</v>
      </c>
      <c r="F24" s="241">
        <v>295159.61</v>
      </c>
      <c r="G24" s="241">
        <v>42547.76</v>
      </c>
      <c r="H24" s="242">
        <f t="shared" si="1"/>
        <v>337707.37</v>
      </c>
    </row>
    <row r="25" spans="1:8" ht="15.75">
      <c r="A25" s="125">
        <v>8</v>
      </c>
      <c r="B25" s="53" t="s">
        <v>114</v>
      </c>
      <c r="C25" s="241">
        <v>6217821.8100000005</v>
      </c>
      <c r="D25" s="241">
        <v>216444.48</v>
      </c>
      <c r="E25" s="231">
        <f t="shared" si="0"/>
        <v>6434266.290000001</v>
      </c>
      <c r="F25" s="241">
        <v>3462602.08</v>
      </c>
      <c r="G25" s="241">
        <v>224752.11000000002</v>
      </c>
      <c r="H25" s="242">
        <f t="shared" si="1"/>
        <v>3687354.19</v>
      </c>
    </row>
    <row r="26" spans="1:8" ht="15.75">
      <c r="A26" s="125">
        <v>9</v>
      </c>
      <c r="B26" s="53" t="s">
        <v>115</v>
      </c>
      <c r="C26" s="241">
        <v>0</v>
      </c>
      <c r="D26" s="241">
        <v>2093</v>
      </c>
      <c r="E26" s="231">
        <f t="shared" si="0"/>
        <v>2093</v>
      </c>
      <c r="F26" s="241">
        <v>543134.24</v>
      </c>
      <c r="G26" s="241">
        <v>60214.61</v>
      </c>
      <c r="H26" s="242">
        <f t="shared" si="1"/>
        <v>603348.85</v>
      </c>
    </row>
    <row r="27" spans="1:8" ht="15.75">
      <c r="A27" s="125">
        <v>10</v>
      </c>
      <c r="B27" s="53" t="s">
        <v>116</v>
      </c>
      <c r="C27" s="241">
        <v>0</v>
      </c>
      <c r="D27" s="241">
        <v>0</v>
      </c>
      <c r="E27" s="231">
        <f t="shared" si="0"/>
        <v>0</v>
      </c>
      <c r="F27" s="241">
        <v>0</v>
      </c>
      <c r="G27" s="241">
        <v>0</v>
      </c>
      <c r="H27" s="242">
        <f t="shared" si="1"/>
        <v>0</v>
      </c>
    </row>
    <row r="28" spans="1:8" ht="15.75">
      <c r="A28" s="125">
        <v>11</v>
      </c>
      <c r="B28" s="53" t="s">
        <v>117</v>
      </c>
      <c r="C28" s="241">
        <v>79540252.730000004</v>
      </c>
      <c r="D28" s="241">
        <v>7155950.5199999996</v>
      </c>
      <c r="E28" s="231">
        <f t="shared" si="0"/>
        <v>86696203.25</v>
      </c>
      <c r="F28" s="241">
        <v>63665461.130000003</v>
      </c>
      <c r="G28" s="241">
        <v>6460916.7999999998</v>
      </c>
      <c r="H28" s="242">
        <f t="shared" si="1"/>
        <v>70126377.930000007</v>
      </c>
    </row>
    <row r="29" spans="1:8" ht="15.75">
      <c r="A29" s="125">
        <v>12</v>
      </c>
      <c r="B29" s="53" t="s">
        <v>118</v>
      </c>
      <c r="C29" s="241">
        <v>0</v>
      </c>
      <c r="D29" s="241">
        <v>0</v>
      </c>
      <c r="E29" s="231">
        <f t="shared" si="0"/>
        <v>0</v>
      </c>
      <c r="F29" s="241">
        <v>0</v>
      </c>
      <c r="G29" s="241">
        <v>0</v>
      </c>
      <c r="H29" s="242">
        <f t="shared" si="1"/>
        <v>0</v>
      </c>
    </row>
    <row r="30" spans="1:8" ht="15.75">
      <c r="A30" s="125">
        <v>13</v>
      </c>
      <c r="B30" s="56" t="s">
        <v>119</v>
      </c>
      <c r="C30" s="243">
        <f>SUM(C24:C29)</f>
        <v>86633365.939999998</v>
      </c>
      <c r="D30" s="243">
        <f>SUM(D24:D29)</f>
        <v>7403698.7199999997</v>
      </c>
      <c r="E30" s="231">
        <f t="shared" si="0"/>
        <v>94037064.659999996</v>
      </c>
      <c r="F30" s="243">
        <f>SUM(F24:F29)</f>
        <v>67966357.060000002</v>
      </c>
      <c r="G30" s="243">
        <f>SUM(G24:G29)</f>
        <v>6788431.2799999993</v>
      </c>
      <c r="H30" s="242">
        <f t="shared" si="1"/>
        <v>74754788.340000004</v>
      </c>
    </row>
    <row r="31" spans="1:8" ht="15.75">
      <c r="A31" s="125">
        <v>14</v>
      </c>
      <c r="B31" s="56" t="s">
        <v>120</v>
      </c>
      <c r="C31" s="243">
        <f>C22-C30</f>
        <v>90759480.259999961</v>
      </c>
      <c r="D31" s="243">
        <f>D22-D30</f>
        <v>-1819832.2700000005</v>
      </c>
      <c r="E31" s="231">
        <f t="shared" si="0"/>
        <v>88939647.989999965</v>
      </c>
      <c r="F31" s="243">
        <f>F22-F30</f>
        <v>67139930.829999983</v>
      </c>
      <c r="G31" s="243">
        <f>G22-G30</f>
        <v>-1558361.2199999997</v>
      </c>
      <c r="H31" s="242">
        <f t="shared" si="1"/>
        <v>65581569.609999985</v>
      </c>
    </row>
    <row r="32" spans="1:8">
      <c r="A32" s="125"/>
      <c r="B32" s="51"/>
      <c r="C32" s="245"/>
      <c r="D32" s="245"/>
      <c r="E32" s="245"/>
      <c r="F32" s="245"/>
      <c r="G32" s="245"/>
      <c r="H32" s="246"/>
    </row>
    <row r="33" spans="1:8" ht="15.75">
      <c r="A33" s="125"/>
      <c r="B33" s="51" t="s">
        <v>121</v>
      </c>
      <c r="C33" s="241"/>
      <c r="D33" s="241"/>
      <c r="E33" s="230"/>
      <c r="F33" s="241"/>
      <c r="G33" s="241"/>
      <c r="H33" s="244"/>
    </row>
    <row r="34" spans="1:8" ht="15.75">
      <c r="A34" s="125">
        <v>15</v>
      </c>
      <c r="B34" s="50" t="s">
        <v>92</v>
      </c>
      <c r="C34" s="247">
        <f>C35-C36</f>
        <v>49744272.489999972</v>
      </c>
      <c r="D34" s="247">
        <f>D35-D36</f>
        <v>-1056009.1900000004</v>
      </c>
      <c r="E34" s="231">
        <f t="shared" si="0"/>
        <v>48688263.299999975</v>
      </c>
      <c r="F34" s="247">
        <f>F35-F36</f>
        <v>37224375.040000044</v>
      </c>
      <c r="G34" s="247">
        <f>G35-G36</f>
        <v>-556637.04000000027</v>
      </c>
      <c r="H34" s="242">
        <f t="shared" si="1"/>
        <v>36667738.000000045</v>
      </c>
    </row>
    <row r="35" spans="1:8" ht="15.75">
      <c r="A35" s="125">
        <v>15.1</v>
      </c>
      <c r="B35" s="54" t="s">
        <v>122</v>
      </c>
      <c r="C35" s="241">
        <v>57218928.549999975</v>
      </c>
      <c r="D35" s="241">
        <v>1526660.13</v>
      </c>
      <c r="E35" s="231">
        <f t="shared" si="0"/>
        <v>58745588.679999977</v>
      </c>
      <c r="F35" s="241">
        <v>42498791.990000047</v>
      </c>
      <c r="G35" s="241">
        <v>1485437.6499999997</v>
      </c>
      <c r="H35" s="242">
        <f t="shared" si="1"/>
        <v>43984229.640000045</v>
      </c>
    </row>
    <row r="36" spans="1:8" ht="15.75">
      <c r="A36" s="125">
        <v>15.2</v>
      </c>
      <c r="B36" s="54" t="s">
        <v>123</v>
      </c>
      <c r="C36" s="241">
        <v>7474656.0599999996</v>
      </c>
      <c r="D36" s="241">
        <v>2582669.3200000003</v>
      </c>
      <c r="E36" s="231">
        <f t="shared" si="0"/>
        <v>10057325.379999999</v>
      </c>
      <c r="F36" s="241">
        <v>5274416.950000002</v>
      </c>
      <c r="G36" s="241">
        <v>2042074.69</v>
      </c>
      <c r="H36" s="242">
        <f t="shared" si="1"/>
        <v>7316491.6400000025</v>
      </c>
    </row>
    <row r="37" spans="1:8" ht="15.75">
      <c r="A37" s="125">
        <v>16</v>
      </c>
      <c r="B37" s="53" t="s">
        <v>124</v>
      </c>
      <c r="C37" s="241">
        <v>0</v>
      </c>
      <c r="D37" s="241">
        <v>0</v>
      </c>
      <c r="E37" s="231">
        <f t="shared" si="0"/>
        <v>0</v>
      </c>
      <c r="F37" s="241">
        <v>0</v>
      </c>
      <c r="G37" s="241">
        <v>0</v>
      </c>
      <c r="H37" s="242">
        <f t="shared" si="1"/>
        <v>0</v>
      </c>
    </row>
    <row r="38" spans="1:8" ht="15.75">
      <c r="A38" s="125">
        <v>17</v>
      </c>
      <c r="B38" s="53" t="s">
        <v>125</v>
      </c>
      <c r="C38" s="241">
        <v>0</v>
      </c>
      <c r="D38" s="241">
        <v>0</v>
      </c>
      <c r="E38" s="231">
        <f t="shared" si="0"/>
        <v>0</v>
      </c>
      <c r="F38" s="241">
        <v>0</v>
      </c>
      <c r="G38" s="241">
        <v>0</v>
      </c>
      <c r="H38" s="242">
        <f t="shared" si="1"/>
        <v>0</v>
      </c>
    </row>
    <row r="39" spans="1:8" ht="15.75">
      <c r="A39" s="125">
        <v>18</v>
      </c>
      <c r="B39" s="53" t="s">
        <v>126</v>
      </c>
      <c r="C39" s="241">
        <v>0</v>
      </c>
      <c r="D39" s="241">
        <v>0</v>
      </c>
      <c r="E39" s="231">
        <f t="shared" si="0"/>
        <v>0</v>
      </c>
      <c r="F39" s="241">
        <v>0</v>
      </c>
      <c r="G39" s="241">
        <v>0</v>
      </c>
      <c r="H39" s="242">
        <f t="shared" si="1"/>
        <v>0</v>
      </c>
    </row>
    <row r="40" spans="1:8" ht="15.75">
      <c r="A40" s="125">
        <v>19</v>
      </c>
      <c r="B40" s="53" t="s">
        <v>127</v>
      </c>
      <c r="C40" s="241">
        <v>-1972254.15</v>
      </c>
      <c r="D40" s="241"/>
      <c r="E40" s="231">
        <f t="shared" si="0"/>
        <v>-1972254.15</v>
      </c>
      <c r="F40" s="241">
        <v>-781508.84999999963</v>
      </c>
      <c r="G40" s="241"/>
      <c r="H40" s="242">
        <f t="shared" si="1"/>
        <v>-781508.84999999963</v>
      </c>
    </row>
    <row r="41" spans="1:8" ht="15.75">
      <c r="A41" s="125">
        <v>20</v>
      </c>
      <c r="B41" s="53" t="s">
        <v>128</v>
      </c>
      <c r="C41" s="241">
        <v>-775902.34000039101</v>
      </c>
      <c r="D41" s="241"/>
      <c r="E41" s="231">
        <f t="shared" si="0"/>
        <v>-775902.34000039101</v>
      </c>
      <c r="F41" s="241">
        <v>-896300.33000025619</v>
      </c>
      <c r="G41" s="241"/>
      <c r="H41" s="242">
        <f t="shared" si="1"/>
        <v>-896300.33000025619</v>
      </c>
    </row>
    <row r="42" spans="1:8" ht="15.75">
      <c r="A42" s="125">
        <v>21</v>
      </c>
      <c r="B42" s="53" t="s">
        <v>129</v>
      </c>
      <c r="C42" s="241">
        <v>17458.580000000016</v>
      </c>
      <c r="D42" s="241">
        <v>0</v>
      </c>
      <c r="E42" s="231">
        <f t="shared" si="0"/>
        <v>17458.580000000016</v>
      </c>
      <c r="F42" s="241">
        <v>-3602.7699999999895</v>
      </c>
      <c r="G42" s="241">
        <v>0</v>
      </c>
      <c r="H42" s="242">
        <f t="shared" si="1"/>
        <v>-3602.7699999999895</v>
      </c>
    </row>
    <row r="43" spans="1:8" ht="15.75">
      <c r="A43" s="125">
        <v>22</v>
      </c>
      <c r="B43" s="53" t="s">
        <v>130</v>
      </c>
      <c r="C43" s="241">
        <v>18489.509999999998</v>
      </c>
      <c r="D43" s="241">
        <v>310.64</v>
      </c>
      <c r="E43" s="231">
        <f t="shared" si="0"/>
        <v>18800.149999999998</v>
      </c>
      <c r="F43" s="241">
        <v>320657.83</v>
      </c>
      <c r="G43" s="241">
        <v>140.13</v>
      </c>
      <c r="H43" s="242">
        <f t="shared" si="1"/>
        <v>320797.96000000002</v>
      </c>
    </row>
    <row r="44" spans="1:8" ht="15.75">
      <c r="A44" s="125">
        <v>23</v>
      </c>
      <c r="B44" s="53" t="s">
        <v>131</v>
      </c>
      <c r="C44" s="241">
        <v>335335.49</v>
      </c>
      <c r="D44" s="241">
        <v>0</v>
      </c>
      <c r="E44" s="231">
        <f t="shared" si="0"/>
        <v>335335.49</v>
      </c>
      <c r="F44" s="241">
        <v>582324.34</v>
      </c>
      <c r="G44" s="241">
        <v>0</v>
      </c>
      <c r="H44" s="242">
        <f t="shared" si="1"/>
        <v>582324.34</v>
      </c>
    </row>
    <row r="45" spans="1:8" ht="15.75">
      <c r="A45" s="125">
        <v>24</v>
      </c>
      <c r="B45" s="56" t="s">
        <v>132</v>
      </c>
      <c r="C45" s="243">
        <f>C34+C37+C38+C39+C40+C41+C42+C43+C44</f>
        <v>47367399.579999581</v>
      </c>
      <c r="D45" s="243">
        <f>D34+D37+D38+D39+D40+D41+D42+D43+D44</f>
        <v>-1055698.5500000005</v>
      </c>
      <c r="E45" s="231">
        <f t="shared" si="0"/>
        <v>46311701.029999584</v>
      </c>
      <c r="F45" s="243">
        <f>F34+F37+F38+F39+F40+F41+F42+F43+F44</f>
        <v>36445945.259999782</v>
      </c>
      <c r="G45" s="243">
        <f>G34+G37+G38+G39+G40+G41+G42+G43+G44</f>
        <v>-556496.91000000027</v>
      </c>
      <c r="H45" s="242">
        <f t="shared" si="1"/>
        <v>35889448.349999778</v>
      </c>
    </row>
    <row r="46" spans="1:8">
      <c r="A46" s="125"/>
      <c r="B46" s="51" t="s">
        <v>133</v>
      </c>
      <c r="C46" s="241"/>
      <c r="D46" s="241"/>
      <c r="E46" s="241"/>
      <c r="F46" s="241"/>
      <c r="G46" s="241"/>
      <c r="H46" s="248"/>
    </row>
    <row r="47" spans="1:8" ht="15.75">
      <c r="A47" s="125">
        <v>25</v>
      </c>
      <c r="B47" s="53" t="s">
        <v>134</v>
      </c>
      <c r="C47" s="241">
        <v>1771392.5800000003</v>
      </c>
      <c r="D47" s="241">
        <v>138446.49</v>
      </c>
      <c r="E47" s="231">
        <f t="shared" si="0"/>
        <v>1909839.0700000003</v>
      </c>
      <c r="F47" s="241">
        <v>906114.50999999978</v>
      </c>
      <c r="G47" s="241">
        <v>121993.11</v>
      </c>
      <c r="H47" s="242">
        <f t="shared" si="1"/>
        <v>1028107.6199999998</v>
      </c>
    </row>
    <row r="48" spans="1:8" ht="15.75">
      <c r="A48" s="125">
        <v>26</v>
      </c>
      <c r="B48" s="53" t="s">
        <v>135</v>
      </c>
      <c r="C48" s="241">
        <v>2381451.9899999998</v>
      </c>
      <c r="D48" s="241">
        <v>296822.83</v>
      </c>
      <c r="E48" s="231">
        <f t="shared" si="0"/>
        <v>2678274.8199999998</v>
      </c>
      <c r="F48" s="241">
        <v>3363414.86</v>
      </c>
      <c r="G48" s="241">
        <v>107710.69</v>
      </c>
      <c r="H48" s="242">
        <f t="shared" si="1"/>
        <v>3471125.55</v>
      </c>
    </row>
    <row r="49" spans="1:9" ht="15.75">
      <c r="A49" s="125">
        <v>27</v>
      </c>
      <c r="B49" s="53" t="s">
        <v>136</v>
      </c>
      <c r="C49" s="241">
        <v>61747116.169999987</v>
      </c>
      <c r="D49" s="241"/>
      <c r="E49" s="231">
        <f t="shared" si="0"/>
        <v>61747116.169999987</v>
      </c>
      <c r="F49" s="241">
        <v>53042000.619999997</v>
      </c>
      <c r="G49" s="241"/>
      <c r="H49" s="242">
        <f t="shared" si="1"/>
        <v>53042000.619999997</v>
      </c>
    </row>
    <row r="50" spans="1:9" ht="15.75">
      <c r="A50" s="125">
        <v>28</v>
      </c>
      <c r="B50" s="53" t="s">
        <v>271</v>
      </c>
      <c r="C50" s="241">
        <v>1128091.4100000001</v>
      </c>
      <c r="D50" s="241"/>
      <c r="E50" s="231">
        <f t="shared" si="0"/>
        <v>1128091.4100000001</v>
      </c>
      <c r="F50" s="241">
        <v>472370.33</v>
      </c>
      <c r="G50" s="241"/>
      <c r="H50" s="242">
        <f t="shared" si="1"/>
        <v>472370.33</v>
      </c>
    </row>
    <row r="51" spans="1:9" ht="15.75">
      <c r="A51" s="125">
        <v>29</v>
      </c>
      <c r="B51" s="53" t="s">
        <v>137</v>
      </c>
      <c r="C51" s="241">
        <v>9063300.5199999996</v>
      </c>
      <c r="D51" s="241"/>
      <c r="E51" s="231">
        <f t="shared" si="0"/>
        <v>9063300.5199999996</v>
      </c>
      <c r="F51" s="241">
        <v>9106571.4099999983</v>
      </c>
      <c r="G51" s="241"/>
      <c r="H51" s="242">
        <f t="shared" si="1"/>
        <v>9106571.4099999983</v>
      </c>
    </row>
    <row r="52" spans="1:9" ht="15.75">
      <c r="A52" s="125">
        <v>30</v>
      </c>
      <c r="B52" s="53" t="s">
        <v>138</v>
      </c>
      <c r="C52" s="241">
        <v>12052077.48</v>
      </c>
      <c r="D52" s="241">
        <v>915104.69000000006</v>
      </c>
      <c r="E52" s="231">
        <f t="shared" si="0"/>
        <v>12967182.17</v>
      </c>
      <c r="F52" s="241">
        <v>8987447.6900000013</v>
      </c>
      <c r="G52" s="241">
        <v>45016.47</v>
      </c>
      <c r="H52" s="242">
        <f t="shared" si="1"/>
        <v>9032464.160000002</v>
      </c>
    </row>
    <row r="53" spans="1:9" ht="15.75">
      <c r="A53" s="125">
        <v>31</v>
      </c>
      <c r="B53" s="56" t="s">
        <v>139</v>
      </c>
      <c r="C53" s="243">
        <f>C47+C48+C49+C50+C51+C52</f>
        <v>88143430.149999991</v>
      </c>
      <c r="D53" s="243">
        <f>D47+D48+D49+D50+D51+D52</f>
        <v>1350374.01</v>
      </c>
      <c r="E53" s="231">
        <f t="shared" si="0"/>
        <v>89493804.159999996</v>
      </c>
      <c r="F53" s="243">
        <f>F47+F48+F49+F50+F51+F52</f>
        <v>75877919.419999987</v>
      </c>
      <c r="G53" s="243">
        <f>G47+G48+G49+G50+G51+G52</f>
        <v>274720.27</v>
      </c>
      <c r="H53" s="242">
        <f t="shared" si="1"/>
        <v>76152639.689999983</v>
      </c>
    </row>
    <row r="54" spans="1:9" ht="15.75">
      <c r="A54" s="125">
        <v>32</v>
      </c>
      <c r="B54" s="56" t="s">
        <v>140</v>
      </c>
      <c r="C54" s="243">
        <f>C45-C53</f>
        <v>-40776030.57000041</v>
      </c>
      <c r="D54" s="243">
        <f>D45-D53</f>
        <v>-2406072.5600000005</v>
      </c>
      <c r="E54" s="231">
        <f t="shared" si="0"/>
        <v>-43182103.130000412</v>
      </c>
      <c r="F54" s="243">
        <f>F45-F53</f>
        <v>-39431974.160000205</v>
      </c>
      <c r="G54" s="243">
        <f>G45-G53</f>
        <v>-831217.18000000028</v>
      </c>
      <c r="H54" s="242">
        <f t="shared" si="1"/>
        <v>-40263191.340000205</v>
      </c>
    </row>
    <row r="55" spans="1:9">
      <c r="A55" s="125"/>
      <c r="B55" s="51"/>
      <c r="C55" s="245"/>
      <c r="D55" s="245"/>
      <c r="E55" s="245"/>
      <c r="F55" s="245"/>
      <c r="G55" s="245"/>
      <c r="H55" s="246"/>
    </row>
    <row r="56" spans="1:9" ht="15.75">
      <c r="A56" s="125">
        <v>33</v>
      </c>
      <c r="B56" s="56" t="s">
        <v>141</v>
      </c>
      <c r="C56" s="243">
        <f>C31+C54</f>
        <v>49983449.689999551</v>
      </c>
      <c r="D56" s="243">
        <f>D31+D54</f>
        <v>-4225904.830000001</v>
      </c>
      <c r="E56" s="231">
        <f t="shared" si="0"/>
        <v>45757544.859999552</v>
      </c>
      <c r="F56" s="243">
        <f>F31+F54</f>
        <v>27707956.669999778</v>
      </c>
      <c r="G56" s="243">
        <f>G31+G54</f>
        <v>-2389578.4</v>
      </c>
      <c r="H56" s="242">
        <f t="shared" si="1"/>
        <v>25318378.26999978</v>
      </c>
    </row>
    <row r="57" spans="1:9">
      <c r="A57" s="125"/>
      <c r="B57" s="51"/>
      <c r="C57" s="245"/>
      <c r="D57" s="245"/>
      <c r="E57" s="245"/>
      <c r="F57" s="245"/>
      <c r="G57" s="245"/>
      <c r="H57" s="246"/>
    </row>
    <row r="58" spans="1:9" ht="15.75">
      <c r="A58" s="125">
        <v>34</v>
      </c>
      <c r="B58" s="53" t="s">
        <v>142</v>
      </c>
      <c r="C58" s="241">
        <v>18599525.419999998</v>
      </c>
      <c r="D58" s="241"/>
      <c r="E58" s="231">
        <f t="shared" si="0"/>
        <v>18599525.419999998</v>
      </c>
      <c r="F58" s="241">
        <v>18973506.289999999</v>
      </c>
      <c r="G58" s="241"/>
      <c r="H58" s="242">
        <f t="shared" si="1"/>
        <v>18973506.289999999</v>
      </c>
    </row>
    <row r="59" spans="1:9" s="204" customFormat="1" ht="15.75">
      <c r="A59" s="125">
        <v>35</v>
      </c>
      <c r="B59" s="50" t="s">
        <v>143</v>
      </c>
      <c r="C59" s="249"/>
      <c r="D59" s="249"/>
      <c r="E59" s="250">
        <f t="shared" si="0"/>
        <v>0</v>
      </c>
      <c r="F59" s="251"/>
      <c r="G59" s="251"/>
      <c r="H59" s="252">
        <f t="shared" si="1"/>
        <v>0</v>
      </c>
      <c r="I59" s="203"/>
    </row>
    <row r="60" spans="1:9" ht="15.75">
      <c r="A60" s="125">
        <v>36</v>
      </c>
      <c r="B60" s="53" t="s">
        <v>144</v>
      </c>
      <c r="C60" s="241">
        <v>491333.27</v>
      </c>
      <c r="D60" s="241"/>
      <c r="E60" s="231">
        <f t="shared" si="0"/>
        <v>491333.27</v>
      </c>
      <c r="F60" s="241">
        <v>444007.55</v>
      </c>
      <c r="G60" s="241"/>
      <c r="H60" s="242">
        <f t="shared" si="1"/>
        <v>444007.55</v>
      </c>
    </row>
    <row r="61" spans="1:9" ht="15.75">
      <c r="A61" s="125">
        <v>37</v>
      </c>
      <c r="B61" s="56" t="s">
        <v>145</v>
      </c>
      <c r="C61" s="243">
        <f>C58+C59+C60</f>
        <v>19090858.689999998</v>
      </c>
      <c r="D61" s="243">
        <f>D58+D59+D60</f>
        <v>0</v>
      </c>
      <c r="E61" s="231">
        <f t="shared" si="0"/>
        <v>19090858.689999998</v>
      </c>
      <c r="F61" s="243">
        <f>F58+F59+F60</f>
        <v>19417513.84</v>
      </c>
      <c r="G61" s="243">
        <f>G58+G59+G60</f>
        <v>0</v>
      </c>
      <c r="H61" s="242">
        <f t="shared" si="1"/>
        <v>19417513.84</v>
      </c>
    </row>
    <row r="62" spans="1:9">
      <c r="A62" s="125"/>
      <c r="B62" s="57"/>
      <c r="C62" s="241"/>
      <c r="D62" s="241"/>
      <c r="E62" s="241"/>
      <c r="F62" s="241"/>
      <c r="G62" s="241"/>
      <c r="H62" s="248"/>
    </row>
    <row r="63" spans="1:9" ht="15.75">
      <c r="A63" s="125">
        <v>38</v>
      </c>
      <c r="B63" s="58" t="s">
        <v>272</v>
      </c>
      <c r="C63" s="243">
        <f>C56-C61</f>
        <v>30892590.999999553</v>
      </c>
      <c r="D63" s="243">
        <f>D56-D61</f>
        <v>-4225904.830000001</v>
      </c>
      <c r="E63" s="231">
        <f t="shared" si="0"/>
        <v>26666686.169999551</v>
      </c>
      <c r="F63" s="243">
        <f>F56-F61</f>
        <v>8290442.8299997784</v>
      </c>
      <c r="G63" s="243">
        <f>G56-G61</f>
        <v>-2389578.4</v>
      </c>
      <c r="H63" s="242">
        <f t="shared" si="1"/>
        <v>5900864.429999778</v>
      </c>
    </row>
    <row r="64" spans="1:9" ht="15.75">
      <c r="A64" s="123">
        <v>39</v>
      </c>
      <c r="B64" s="53" t="s">
        <v>146</v>
      </c>
      <c r="C64" s="253">
        <v>4254734.42</v>
      </c>
      <c r="D64" s="253"/>
      <c r="E64" s="231">
        <f t="shared" si="0"/>
        <v>4254734.42</v>
      </c>
      <c r="F64" s="253">
        <v>761669.24</v>
      </c>
      <c r="G64" s="253"/>
      <c r="H64" s="242">
        <f t="shared" si="1"/>
        <v>761669.24</v>
      </c>
    </row>
    <row r="65" spans="1:8" ht="15.75">
      <c r="A65" s="125">
        <v>40</v>
      </c>
      <c r="B65" s="56" t="s">
        <v>147</v>
      </c>
      <c r="C65" s="243">
        <f>C63-C64</f>
        <v>26637856.579999551</v>
      </c>
      <c r="D65" s="243">
        <f>D63-D64</f>
        <v>-4225904.830000001</v>
      </c>
      <c r="E65" s="231">
        <f t="shared" si="0"/>
        <v>22411951.749999549</v>
      </c>
      <c r="F65" s="243">
        <f>F63-F64</f>
        <v>7528773.5899997782</v>
      </c>
      <c r="G65" s="243">
        <f>G63-G64</f>
        <v>-2389578.4</v>
      </c>
      <c r="H65" s="242">
        <f t="shared" si="1"/>
        <v>5139195.1899997778</v>
      </c>
    </row>
    <row r="66" spans="1:8" ht="15.75">
      <c r="A66" s="123">
        <v>41</v>
      </c>
      <c r="B66" s="53" t="s">
        <v>148</v>
      </c>
      <c r="C66" s="253">
        <v>-1790.16</v>
      </c>
      <c r="D66" s="253"/>
      <c r="E66" s="231">
        <f t="shared" si="0"/>
        <v>-1790.16</v>
      </c>
      <c r="F66" s="253">
        <v>-26519.75</v>
      </c>
      <c r="G66" s="253"/>
      <c r="H66" s="242">
        <f t="shared" si="1"/>
        <v>-26519.75</v>
      </c>
    </row>
    <row r="67" spans="1:8" ht="16.5" thickBot="1">
      <c r="A67" s="127">
        <v>42</v>
      </c>
      <c r="B67" s="128" t="s">
        <v>149</v>
      </c>
      <c r="C67" s="254">
        <f>C65+C66</f>
        <v>26636066.419999551</v>
      </c>
      <c r="D67" s="254">
        <f>D65+D66</f>
        <v>-4225904.830000001</v>
      </c>
      <c r="E67" s="239">
        <f t="shared" si="0"/>
        <v>22410161.589999549</v>
      </c>
      <c r="F67" s="254">
        <f>F65+F66</f>
        <v>7502253.8399997782</v>
      </c>
      <c r="G67" s="254">
        <f>G65+G66</f>
        <v>-2389578.4</v>
      </c>
      <c r="H67" s="255">
        <f t="shared" si="1"/>
        <v>5112675.4399997778</v>
      </c>
    </row>
  </sheetData>
  <mergeCells count="2">
    <mergeCell ref="C5:E5"/>
    <mergeCell ref="F5:H5"/>
  </mergeCells>
  <pageMargins left="0.7" right="0.7" top="0.75" bottom="0.75" header="0.3" footer="0.3"/>
  <pageSetup paperSize="9" orientation="portrait" r:id="rId1"/>
  <ignoredErrors>
    <ignoredError sqref="C9:D9 F9:G9" formulaRange="1"/>
    <ignoredError sqref="E9 E22 E30:E31 E34 E45 E53:E54 E61 E63 E65 E6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9" zoomScaleNormal="100" workbookViewId="0">
      <selection activeCell="C40" sqref="C40:D40"/>
    </sheetView>
  </sheetViews>
  <sheetFormatPr defaultRowHeight="15"/>
  <cols>
    <col min="1" max="1" width="9.5703125" bestFit="1" customWidth="1"/>
    <col min="2" max="2" width="72.28515625" customWidth="1"/>
    <col min="3" max="8" width="12.7109375" customWidth="1"/>
  </cols>
  <sheetData>
    <row r="1" spans="1:8">
      <c r="A1" s="2" t="s">
        <v>189</v>
      </c>
      <c r="B1" t="str">
        <f>Info!C2</f>
        <v>სს "კრედო ბანკი"</v>
      </c>
    </row>
    <row r="2" spans="1:8">
      <c r="A2" s="2" t="s">
        <v>190</v>
      </c>
      <c r="B2" s="472">
        <f>'1. key ratios'!B2</f>
        <v>44469</v>
      </c>
    </row>
    <row r="3" spans="1:8">
      <c r="A3" s="2"/>
    </row>
    <row r="4" spans="1:8" ht="16.5" thickBot="1">
      <c r="A4" s="2" t="s">
        <v>331</v>
      </c>
      <c r="B4" s="2"/>
      <c r="C4" s="213"/>
      <c r="D4" s="213"/>
      <c r="E4" s="213"/>
      <c r="F4" s="214"/>
      <c r="G4" s="214"/>
      <c r="H4" s="215" t="s">
        <v>94</v>
      </c>
    </row>
    <row r="5" spans="1:8" ht="15.75">
      <c r="A5" s="691" t="s">
        <v>27</v>
      </c>
      <c r="B5" s="693" t="s">
        <v>245</v>
      </c>
      <c r="C5" s="695" t="s">
        <v>195</v>
      </c>
      <c r="D5" s="695"/>
      <c r="E5" s="695"/>
      <c r="F5" s="695" t="s">
        <v>196</v>
      </c>
      <c r="G5" s="695"/>
      <c r="H5" s="696"/>
    </row>
    <row r="6" spans="1:8">
      <c r="A6" s="692"/>
      <c r="B6" s="694"/>
      <c r="C6" s="38" t="s">
        <v>28</v>
      </c>
      <c r="D6" s="38" t="s">
        <v>95</v>
      </c>
      <c r="E6" s="38" t="s">
        <v>69</v>
      </c>
      <c r="F6" s="38" t="s">
        <v>28</v>
      </c>
      <c r="G6" s="38" t="s">
        <v>95</v>
      </c>
      <c r="H6" s="39" t="s">
        <v>69</v>
      </c>
    </row>
    <row r="7" spans="1:8" s="3" customFormat="1" ht="15.75">
      <c r="A7" s="216">
        <v>1</v>
      </c>
      <c r="B7" s="217" t="s">
        <v>366</v>
      </c>
      <c r="C7" s="233">
        <f t="shared" ref="C7:D7" si="0">SUM(C8:C11)</f>
        <v>24862969.580000002</v>
      </c>
      <c r="D7" s="233">
        <f t="shared" si="0"/>
        <v>4900655.72</v>
      </c>
      <c r="E7" s="256">
        <f>SUM(E8:E11)</f>
        <v>29763625.300000001</v>
      </c>
      <c r="F7" s="233">
        <f t="shared" ref="F7:G7" si="1">SUM(F8:F11)</f>
        <v>33627726.75</v>
      </c>
      <c r="G7" s="233">
        <f t="shared" si="1"/>
        <v>1296434.2</v>
      </c>
      <c r="H7" s="256">
        <f>SUM(H8:H11)</f>
        <v>34924160.949999996</v>
      </c>
    </row>
    <row r="8" spans="1:8" s="3" customFormat="1" ht="15.75">
      <c r="A8" s="216">
        <v>1.1000000000000001</v>
      </c>
      <c r="B8" s="218" t="s">
        <v>276</v>
      </c>
      <c r="C8" s="233">
        <v>35000</v>
      </c>
      <c r="D8" s="233"/>
      <c r="E8" s="256">
        <f t="shared" ref="E8:E53" si="2">C8+D8</f>
        <v>35000</v>
      </c>
      <c r="F8" s="233"/>
      <c r="G8" s="233"/>
      <c r="H8" s="234">
        <f t="shared" ref="H8:H53" si="3">F8+G8</f>
        <v>0</v>
      </c>
    </row>
    <row r="9" spans="1:8" s="3" customFormat="1" ht="15.75">
      <c r="A9" s="216">
        <v>1.2</v>
      </c>
      <c r="B9" s="218" t="s">
        <v>277</v>
      </c>
      <c r="C9" s="233"/>
      <c r="D9" s="233"/>
      <c r="E9" s="256">
        <f t="shared" si="2"/>
        <v>0</v>
      </c>
      <c r="F9" s="233"/>
      <c r="G9" s="233"/>
      <c r="H9" s="234">
        <f t="shared" si="3"/>
        <v>0</v>
      </c>
    </row>
    <row r="10" spans="1:8" s="3" customFormat="1" ht="15.75">
      <c r="A10" s="216">
        <v>1.3</v>
      </c>
      <c r="B10" s="218" t="s">
        <v>278</v>
      </c>
      <c r="C10" s="233">
        <v>4825213.03</v>
      </c>
      <c r="D10" s="233">
        <v>4900655.72</v>
      </c>
      <c r="E10" s="256">
        <f t="shared" si="2"/>
        <v>9725868.75</v>
      </c>
      <c r="F10" s="233">
        <v>3103174.42</v>
      </c>
      <c r="G10" s="233">
        <v>1296434.2</v>
      </c>
      <c r="H10" s="234">
        <f t="shared" si="3"/>
        <v>4399608.62</v>
      </c>
    </row>
    <row r="11" spans="1:8" s="3" customFormat="1" ht="15.75">
      <c r="A11" s="216">
        <v>1.4</v>
      </c>
      <c r="B11" s="218" t="s">
        <v>279</v>
      </c>
      <c r="C11" s="233">
        <v>20002756.550000001</v>
      </c>
      <c r="D11" s="233"/>
      <c r="E11" s="256">
        <f t="shared" si="2"/>
        <v>20002756.550000001</v>
      </c>
      <c r="F11" s="233">
        <v>30524552.329999998</v>
      </c>
      <c r="G11" s="233"/>
      <c r="H11" s="234">
        <f t="shared" si="3"/>
        <v>30524552.329999998</v>
      </c>
    </row>
    <row r="12" spans="1:8" s="3" customFormat="1" ht="29.25" customHeight="1">
      <c r="A12" s="216">
        <v>2</v>
      </c>
      <c r="B12" s="217" t="s">
        <v>280</v>
      </c>
      <c r="C12" s="233"/>
      <c r="D12" s="233"/>
      <c r="E12" s="256">
        <f t="shared" si="2"/>
        <v>0</v>
      </c>
      <c r="F12" s="233"/>
      <c r="G12" s="233"/>
      <c r="H12" s="234">
        <f t="shared" si="3"/>
        <v>0</v>
      </c>
    </row>
    <row r="13" spans="1:8" s="3" customFormat="1" ht="25.5">
      <c r="A13" s="216">
        <v>3</v>
      </c>
      <c r="B13" s="217" t="s">
        <v>281</v>
      </c>
      <c r="C13" s="233"/>
      <c r="D13" s="233"/>
      <c r="E13" s="256">
        <f t="shared" si="2"/>
        <v>0</v>
      </c>
      <c r="F13" s="233"/>
      <c r="G13" s="233"/>
      <c r="H13" s="234">
        <f t="shared" si="3"/>
        <v>0</v>
      </c>
    </row>
    <row r="14" spans="1:8" s="3" customFormat="1" ht="15.75">
      <c r="A14" s="216">
        <v>3.1</v>
      </c>
      <c r="B14" s="218" t="s">
        <v>282</v>
      </c>
      <c r="C14" s="233"/>
      <c r="D14" s="233"/>
      <c r="E14" s="256">
        <f t="shared" si="2"/>
        <v>0</v>
      </c>
      <c r="F14" s="233"/>
      <c r="G14" s="233"/>
      <c r="H14" s="234">
        <f t="shared" si="3"/>
        <v>0</v>
      </c>
    </row>
    <row r="15" spans="1:8" s="3" customFormat="1" ht="15.75">
      <c r="A15" s="216">
        <v>3.2</v>
      </c>
      <c r="B15" s="218" t="s">
        <v>283</v>
      </c>
      <c r="C15" s="233"/>
      <c r="D15" s="233"/>
      <c r="E15" s="256">
        <f t="shared" si="2"/>
        <v>0</v>
      </c>
      <c r="F15" s="233"/>
      <c r="G15" s="233"/>
      <c r="H15" s="234">
        <f t="shared" si="3"/>
        <v>0</v>
      </c>
    </row>
    <row r="16" spans="1:8" s="3" customFormat="1" ht="15.75">
      <c r="A16" s="216">
        <v>4</v>
      </c>
      <c r="B16" s="217" t="s">
        <v>284</v>
      </c>
      <c r="C16" s="233"/>
      <c r="D16" s="233"/>
      <c r="E16" s="256">
        <f>E17+E18</f>
        <v>4568065.6500000004</v>
      </c>
      <c r="F16" s="233"/>
      <c r="G16" s="233"/>
      <c r="H16" s="256">
        <f>H17+H18</f>
        <v>6023773.2400000002</v>
      </c>
    </row>
    <row r="17" spans="1:8" s="3" customFormat="1" ht="15.75">
      <c r="A17" s="216">
        <v>4.0999999999999996</v>
      </c>
      <c r="B17" s="218" t="s">
        <v>285</v>
      </c>
      <c r="C17" s="233">
        <v>4301960.6500000004</v>
      </c>
      <c r="D17" s="233"/>
      <c r="E17" s="256">
        <f t="shared" si="2"/>
        <v>4301960.6500000004</v>
      </c>
      <c r="F17" s="233">
        <v>6023773.2400000002</v>
      </c>
      <c r="G17" s="233"/>
      <c r="H17" s="234">
        <f t="shared" si="3"/>
        <v>6023773.2400000002</v>
      </c>
    </row>
    <row r="18" spans="1:8" s="3" customFormat="1" ht="15.75">
      <c r="A18" s="216">
        <v>4.2</v>
      </c>
      <c r="B18" s="218" t="s">
        <v>286</v>
      </c>
      <c r="C18" s="233">
        <v>266105</v>
      </c>
      <c r="D18" s="233"/>
      <c r="E18" s="256">
        <f t="shared" si="2"/>
        <v>266105</v>
      </c>
      <c r="F18" s="233"/>
      <c r="G18" s="233"/>
      <c r="H18" s="234">
        <f t="shared" si="3"/>
        <v>0</v>
      </c>
    </row>
    <row r="19" spans="1:8" s="3" customFormat="1" ht="25.5">
      <c r="A19" s="216">
        <v>5</v>
      </c>
      <c r="B19" s="217" t="s">
        <v>287</v>
      </c>
      <c r="C19" s="233"/>
      <c r="D19" s="233"/>
      <c r="E19" s="256">
        <f>E20+E21+E22+E28</f>
        <v>534115850.63</v>
      </c>
      <c r="F19" s="233"/>
      <c r="G19" s="233"/>
      <c r="H19" s="256">
        <f>H20+H21+H22+H28</f>
        <v>663177030.17000008</v>
      </c>
    </row>
    <row r="20" spans="1:8" s="3" customFormat="1" ht="15.75">
      <c r="A20" s="216">
        <v>5.0999999999999996</v>
      </c>
      <c r="B20" s="218" t="s">
        <v>288</v>
      </c>
      <c r="C20" s="233">
        <v>2524082.67</v>
      </c>
      <c r="D20" s="233"/>
      <c r="E20" s="256">
        <f t="shared" si="2"/>
        <v>2524082.67</v>
      </c>
      <c r="F20" s="233"/>
      <c r="G20" s="233"/>
      <c r="H20" s="234">
        <f t="shared" si="3"/>
        <v>0</v>
      </c>
    </row>
    <row r="21" spans="1:8" s="3" customFormat="1" ht="15.75">
      <c r="A21" s="216">
        <v>5.2</v>
      </c>
      <c r="B21" s="218" t="s">
        <v>289</v>
      </c>
      <c r="C21" s="233">
        <v>48351.76</v>
      </c>
      <c r="D21" s="233"/>
      <c r="E21" s="256">
        <f t="shared" si="2"/>
        <v>48351.76</v>
      </c>
      <c r="F21" s="233">
        <v>105864.77</v>
      </c>
      <c r="G21" s="233"/>
      <c r="H21" s="234">
        <f t="shared" si="3"/>
        <v>105864.77</v>
      </c>
    </row>
    <row r="22" spans="1:8" s="3" customFormat="1" ht="15.75">
      <c r="A22" s="216">
        <v>5.3</v>
      </c>
      <c r="B22" s="218" t="s">
        <v>290</v>
      </c>
      <c r="C22" s="611">
        <f>SUM(C23:C27)</f>
        <v>513514200.38</v>
      </c>
      <c r="D22" s="233"/>
      <c r="E22" s="256">
        <f t="shared" si="2"/>
        <v>513514200.38</v>
      </c>
      <c r="F22" s="611">
        <f>SUM(F23:F27)</f>
        <v>650198861.29000008</v>
      </c>
      <c r="G22" s="233"/>
      <c r="H22" s="234">
        <f t="shared" si="3"/>
        <v>650198861.29000008</v>
      </c>
    </row>
    <row r="23" spans="1:8" s="3" customFormat="1" ht="15.75">
      <c r="A23" s="216" t="s">
        <v>291</v>
      </c>
      <c r="B23" s="219" t="s">
        <v>292</v>
      </c>
      <c r="C23" s="233">
        <v>353134431.52999997</v>
      </c>
      <c r="D23" s="233"/>
      <c r="E23" s="256">
        <f t="shared" si="2"/>
        <v>353134431.52999997</v>
      </c>
      <c r="F23" s="233">
        <v>453050566.22000003</v>
      </c>
      <c r="G23" s="233"/>
      <c r="H23" s="234">
        <f t="shared" si="3"/>
        <v>453050566.22000003</v>
      </c>
    </row>
    <row r="24" spans="1:8" s="3" customFormat="1" ht="15.75">
      <c r="A24" s="216" t="s">
        <v>293</v>
      </c>
      <c r="B24" s="219" t="s">
        <v>294</v>
      </c>
      <c r="C24" s="233">
        <v>77401102.939999998</v>
      </c>
      <c r="D24" s="233"/>
      <c r="E24" s="256">
        <f t="shared" si="2"/>
        <v>77401102.939999998</v>
      </c>
      <c r="F24" s="233">
        <v>110028130.98</v>
      </c>
      <c r="G24" s="233"/>
      <c r="H24" s="234">
        <f t="shared" si="3"/>
        <v>110028130.98</v>
      </c>
    </row>
    <row r="25" spans="1:8" s="3" customFormat="1" ht="15.75">
      <c r="A25" s="216" t="s">
        <v>295</v>
      </c>
      <c r="B25" s="220" t="s">
        <v>296</v>
      </c>
      <c r="C25" s="233">
        <v>0</v>
      </c>
      <c r="D25" s="233"/>
      <c r="E25" s="256">
        <f t="shared" si="2"/>
        <v>0</v>
      </c>
      <c r="F25" s="233">
        <v>0</v>
      </c>
      <c r="G25" s="233"/>
      <c r="H25" s="234">
        <f t="shared" si="3"/>
        <v>0</v>
      </c>
    </row>
    <row r="26" spans="1:8" s="3" customFormat="1" ht="15.75">
      <c r="A26" s="216" t="s">
        <v>297</v>
      </c>
      <c r="B26" s="219" t="s">
        <v>298</v>
      </c>
      <c r="C26" s="233">
        <v>78662968.799999997</v>
      </c>
      <c r="D26" s="233"/>
      <c r="E26" s="256">
        <f t="shared" si="2"/>
        <v>78662968.799999997</v>
      </c>
      <c r="F26" s="233">
        <v>83174804.090000004</v>
      </c>
      <c r="G26" s="233"/>
      <c r="H26" s="234">
        <f t="shared" si="3"/>
        <v>83174804.090000004</v>
      </c>
    </row>
    <row r="27" spans="1:8" s="3" customFormat="1" ht="15.75">
      <c r="A27" s="216" t="s">
        <v>299</v>
      </c>
      <c r="B27" s="219" t="s">
        <v>300</v>
      </c>
      <c r="C27" s="233">
        <v>4315697.1100000003</v>
      </c>
      <c r="D27" s="233"/>
      <c r="E27" s="256">
        <f t="shared" si="2"/>
        <v>4315697.1100000003</v>
      </c>
      <c r="F27" s="233">
        <v>3945360</v>
      </c>
      <c r="G27" s="233"/>
      <c r="H27" s="234">
        <f t="shared" si="3"/>
        <v>3945360</v>
      </c>
    </row>
    <row r="28" spans="1:8" s="3" customFormat="1" ht="15.75">
      <c r="A28" s="216">
        <v>5.4</v>
      </c>
      <c r="B28" s="218" t="s">
        <v>301</v>
      </c>
      <c r="C28" s="233">
        <v>18029215.82</v>
      </c>
      <c r="D28" s="233"/>
      <c r="E28" s="256">
        <f t="shared" si="2"/>
        <v>18029215.82</v>
      </c>
      <c r="F28" s="233">
        <v>12872304.109999999</v>
      </c>
      <c r="G28" s="233"/>
      <c r="H28" s="234">
        <f t="shared" si="3"/>
        <v>12872304.109999999</v>
      </c>
    </row>
    <row r="29" spans="1:8" s="3" customFormat="1" ht="15.75">
      <c r="A29" s="216">
        <v>5.5</v>
      </c>
      <c r="B29" s="218" t="s">
        <v>302</v>
      </c>
      <c r="C29" s="233"/>
      <c r="D29" s="233"/>
      <c r="E29" s="256">
        <f t="shared" si="2"/>
        <v>0</v>
      </c>
      <c r="F29" s="233"/>
      <c r="G29" s="233"/>
      <c r="H29" s="234">
        <f t="shared" si="3"/>
        <v>0</v>
      </c>
    </row>
    <row r="30" spans="1:8" s="3" customFormat="1" ht="15.75">
      <c r="A30" s="216">
        <v>5.6</v>
      </c>
      <c r="B30" s="218" t="s">
        <v>303</v>
      </c>
      <c r="C30" s="233"/>
      <c r="D30" s="233"/>
      <c r="E30" s="256">
        <f t="shared" si="2"/>
        <v>0</v>
      </c>
      <c r="F30" s="233"/>
      <c r="G30" s="233"/>
      <c r="H30" s="234">
        <f t="shared" si="3"/>
        <v>0</v>
      </c>
    </row>
    <row r="31" spans="1:8" s="3" customFormat="1" ht="15.75">
      <c r="A31" s="216">
        <v>5.7</v>
      </c>
      <c r="B31" s="218" t="s">
        <v>304</v>
      </c>
      <c r="C31" s="233"/>
      <c r="D31" s="233"/>
      <c r="E31" s="256">
        <f t="shared" si="2"/>
        <v>0</v>
      </c>
      <c r="F31" s="233"/>
      <c r="G31" s="233"/>
      <c r="H31" s="234">
        <f t="shared" si="3"/>
        <v>0</v>
      </c>
    </row>
    <row r="32" spans="1:8" s="3" customFormat="1" ht="15.75">
      <c r="A32" s="216">
        <v>6</v>
      </c>
      <c r="B32" s="217" t="s">
        <v>305</v>
      </c>
      <c r="C32" s="233">
        <f t="shared" ref="C32:H32" si="4">C33+C34</f>
        <v>15088550</v>
      </c>
      <c r="D32" s="233">
        <f t="shared" si="4"/>
        <v>20445373</v>
      </c>
      <c r="E32" s="256">
        <f t="shared" si="4"/>
        <v>35533923</v>
      </c>
      <c r="F32" s="233">
        <f t="shared" si="4"/>
        <v>75223296</v>
      </c>
      <c r="G32" s="233">
        <f t="shared" si="4"/>
        <v>1636948.2</v>
      </c>
      <c r="H32" s="256">
        <f t="shared" si="4"/>
        <v>76860244.200000003</v>
      </c>
    </row>
    <row r="33" spans="1:8" s="3" customFormat="1" ht="25.5">
      <c r="A33" s="216">
        <v>6.1</v>
      </c>
      <c r="B33" s="218" t="s">
        <v>367</v>
      </c>
      <c r="C33" s="233"/>
      <c r="D33" s="233">
        <v>18805298</v>
      </c>
      <c r="E33" s="256">
        <f t="shared" si="2"/>
        <v>18805298</v>
      </c>
      <c r="F33" s="233"/>
      <c r="G33" s="233"/>
      <c r="H33" s="234">
        <f t="shared" si="3"/>
        <v>0</v>
      </c>
    </row>
    <row r="34" spans="1:8" s="3" customFormat="1" ht="25.5">
      <c r="A34" s="216">
        <v>6.2</v>
      </c>
      <c r="B34" s="218" t="s">
        <v>306</v>
      </c>
      <c r="C34" s="233">
        <v>15088550</v>
      </c>
      <c r="D34" s="233">
        <v>1640075</v>
      </c>
      <c r="E34" s="256">
        <f t="shared" si="2"/>
        <v>16728625</v>
      </c>
      <c r="F34" s="233">
        <v>75223296</v>
      </c>
      <c r="G34" s="233">
        <v>1636948.2</v>
      </c>
      <c r="H34" s="234">
        <f t="shared" si="3"/>
        <v>76860244.200000003</v>
      </c>
    </row>
    <row r="35" spans="1:8" s="3" customFormat="1" ht="25.5">
      <c r="A35" s="216">
        <v>6.3</v>
      </c>
      <c r="B35" s="218" t="s">
        <v>307</v>
      </c>
      <c r="C35" s="233"/>
      <c r="D35" s="233"/>
      <c r="E35" s="256">
        <f t="shared" si="2"/>
        <v>0</v>
      </c>
      <c r="F35" s="233"/>
      <c r="G35" s="233"/>
      <c r="H35" s="234">
        <f t="shared" si="3"/>
        <v>0</v>
      </c>
    </row>
    <row r="36" spans="1:8" s="3" customFormat="1" ht="15.75">
      <c r="A36" s="216">
        <v>6.4</v>
      </c>
      <c r="B36" s="218" t="s">
        <v>308</v>
      </c>
      <c r="C36" s="233"/>
      <c r="D36" s="233"/>
      <c r="E36" s="256">
        <f t="shared" si="2"/>
        <v>0</v>
      </c>
      <c r="F36" s="233"/>
      <c r="G36" s="233"/>
      <c r="H36" s="234">
        <f t="shared" si="3"/>
        <v>0</v>
      </c>
    </row>
    <row r="37" spans="1:8" s="3" customFormat="1" ht="15.75">
      <c r="A37" s="216">
        <v>6.5</v>
      </c>
      <c r="B37" s="218" t="s">
        <v>309</v>
      </c>
      <c r="C37" s="233"/>
      <c r="D37" s="233"/>
      <c r="E37" s="256">
        <f t="shared" si="2"/>
        <v>0</v>
      </c>
      <c r="F37" s="233"/>
      <c r="G37" s="233"/>
      <c r="H37" s="234">
        <f t="shared" si="3"/>
        <v>0</v>
      </c>
    </row>
    <row r="38" spans="1:8" s="3" customFormat="1" ht="25.5">
      <c r="A38" s="216">
        <v>6.6</v>
      </c>
      <c r="B38" s="218" t="s">
        <v>310</v>
      </c>
      <c r="C38" s="233"/>
      <c r="D38" s="233"/>
      <c r="E38" s="256">
        <f t="shared" si="2"/>
        <v>0</v>
      </c>
      <c r="F38" s="233"/>
      <c r="G38" s="233"/>
      <c r="H38" s="234">
        <f t="shared" si="3"/>
        <v>0</v>
      </c>
    </row>
    <row r="39" spans="1:8" s="3" customFormat="1" ht="25.5">
      <c r="A39" s="216">
        <v>6.7</v>
      </c>
      <c r="B39" s="218" t="s">
        <v>311</v>
      </c>
      <c r="C39" s="233"/>
      <c r="D39" s="233"/>
      <c r="E39" s="256">
        <f t="shared" si="2"/>
        <v>0</v>
      </c>
      <c r="F39" s="233"/>
      <c r="G39" s="233"/>
      <c r="H39" s="234">
        <f t="shared" si="3"/>
        <v>0</v>
      </c>
    </row>
    <row r="40" spans="1:8" s="3" customFormat="1" ht="15.75">
      <c r="A40" s="216">
        <v>7</v>
      </c>
      <c r="B40" s="217" t="s">
        <v>312</v>
      </c>
      <c r="C40" s="256">
        <f t="shared" ref="C40:H40" si="5">SUM(C41:C44)</f>
        <v>74962872.160000056</v>
      </c>
      <c r="D40" s="256">
        <f t="shared" si="5"/>
        <v>24953085.454765998</v>
      </c>
      <c r="E40" s="256">
        <f t="shared" si="5"/>
        <v>99915957.614766046</v>
      </c>
      <c r="F40" s="256">
        <f t="shared" si="5"/>
        <v>41936346.660000041</v>
      </c>
      <c r="G40" s="256">
        <f t="shared" si="5"/>
        <v>24833301.985535998</v>
      </c>
      <c r="H40" s="256">
        <f t="shared" si="5"/>
        <v>66769648.645536043</v>
      </c>
    </row>
    <row r="41" spans="1:8" s="3" customFormat="1" ht="25.5">
      <c r="A41" s="216">
        <v>7.1</v>
      </c>
      <c r="B41" s="218" t="s">
        <v>313</v>
      </c>
      <c r="C41" s="233">
        <v>4990397.1100000152</v>
      </c>
      <c r="D41" s="233">
        <v>47678.535664000003</v>
      </c>
      <c r="E41" s="256">
        <f t="shared" si="2"/>
        <v>5038075.6456640149</v>
      </c>
      <c r="F41" s="233">
        <v>3286193.5800000196</v>
      </c>
      <c r="G41" s="233">
        <v>233764.81570400001</v>
      </c>
      <c r="H41" s="234">
        <f t="shared" si="3"/>
        <v>3519958.3957040198</v>
      </c>
    </row>
    <row r="42" spans="1:8" s="3" customFormat="1" ht="25.5">
      <c r="A42" s="216">
        <v>7.2</v>
      </c>
      <c r="B42" s="218" t="s">
        <v>314</v>
      </c>
      <c r="C42" s="233">
        <v>3281831</v>
      </c>
      <c r="D42" s="233">
        <v>4517</v>
      </c>
      <c r="E42" s="256">
        <f t="shared" si="2"/>
        <v>3286348</v>
      </c>
      <c r="F42" s="233">
        <v>1788220</v>
      </c>
      <c r="G42" s="233">
        <v>32798.294399999984</v>
      </c>
      <c r="H42" s="234">
        <f t="shared" si="3"/>
        <v>1821018.2944</v>
      </c>
    </row>
    <row r="43" spans="1:8" s="3" customFormat="1" ht="25.5">
      <c r="A43" s="216">
        <v>7.3</v>
      </c>
      <c r="B43" s="218" t="s">
        <v>315</v>
      </c>
      <c r="C43" s="233">
        <v>39804026.960000031</v>
      </c>
      <c r="D43" s="233">
        <v>16900889.333110999</v>
      </c>
      <c r="E43" s="256">
        <f t="shared" si="2"/>
        <v>56704916.293111026</v>
      </c>
      <c r="F43" s="233">
        <v>22647359.71000002</v>
      </c>
      <c r="G43" s="233">
        <v>16639120.495703999</v>
      </c>
      <c r="H43" s="234">
        <f t="shared" si="3"/>
        <v>39286480.205704018</v>
      </c>
    </row>
    <row r="44" spans="1:8" s="3" customFormat="1" ht="25.5">
      <c r="A44" s="216">
        <v>7.4</v>
      </c>
      <c r="B44" s="218" t="s">
        <v>316</v>
      </c>
      <c r="C44" s="233">
        <v>26886617.090000004</v>
      </c>
      <c r="D44" s="233">
        <v>8000000.5859909998</v>
      </c>
      <c r="E44" s="256">
        <f t="shared" si="2"/>
        <v>34886617.675991006</v>
      </c>
      <c r="F44" s="233">
        <v>14214573.370000001</v>
      </c>
      <c r="G44" s="233">
        <v>7927618.3797279997</v>
      </c>
      <c r="H44" s="234">
        <f t="shared" si="3"/>
        <v>22142191.749728002</v>
      </c>
    </row>
    <row r="45" spans="1:8" s="3" customFormat="1" ht="15.75">
      <c r="A45" s="216">
        <v>8</v>
      </c>
      <c r="B45" s="217" t="s">
        <v>317</v>
      </c>
      <c r="C45" s="233"/>
      <c r="D45" s="233"/>
      <c r="E45" s="256">
        <f t="shared" si="2"/>
        <v>0</v>
      </c>
      <c r="F45" s="233"/>
      <c r="G45" s="233"/>
      <c r="H45" s="234">
        <f t="shared" si="3"/>
        <v>0</v>
      </c>
    </row>
    <row r="46" spans="1:8" s="3" customFormat="1" ht="15.75">
      <c r="A46" s="216">
        <v>8.1</v>
      </c>
      <c r="B46" s="218" t="s">
        <v>318</v>
      </c>
      <c r="C46" s="233"/>
      <c r="D46" s="233"/>
      <c r="E46" s="256">
        <f t="shared" si="2"/>
        <v>0</v>
      </c>
      <c r="F46" s="233"/>
      <c r="G46" s="233"/>
      <c r="H46" s="234">
        <f t="shared" si="3"/>
        <v>0</v>
      </c>
    </row>
    <row r="47" spans="1:8" s="3" customFormat="1" ht="15.75">
      <c r="A47" s="216">
        <v>8.1999999999999993</v>
      </c>
      <c r="B47" s="218" t="s">
        <v>319</v>
      </c>
      <c r="C47" s="233"/>
      <c r="D47" s="233"/>
      <c r="E47" s="256">
        <f t="shared" si="2"/>
        <v>0</v>
      </c>
      <c r="F47" s="233"/>
      <c r="G47" s="233"/>
      <c r="H47" s="234">
        <f t="shared" si="3"/>
        <v>0</v>
      </c>
    </row>
    <row r="48" spans="1:8" s="3" customFormat="1" ht="15.75">
      <c r="A48" s="216">
        <v>8.3000000000000007</v>
      </c>
      <c r="B48" s="218" t="s">
        <v>320</v>
      </c>
      <c r="C48" s="233"/>
      <c r="D48" s="233"/>
      <c r="E48" s="256">
        <f t="shared" si="2"/>
        <v>0</v>
      </c>
      <c r="F48" s="233"/>
      <c r="G48" s="233"/>
      <c r="H48" s="234">
        <f t="shared" si="3"/>
        <v>0</v>
      </c>
    </row>
    <row r="49" spans="1:8" s="3" customFormat="1" ht="15.75">
      <c r="A49" s="216">
        <v>8.4</v>
      </c>
      <c r="B49" s="218" t="s">
        <v>321</v>
      </c>
      <c r="C49" s="233"/>
      <c r="D49" s="233"/>
      <c r="E49" s="256">
        <f t="shared" si="2"/>
        <v>0</v>
      </c>
      <c r="F49" s="233"/>
      <c r="G49" s="233"/>
      <c r="H49" s="234">
        <f t="shared" si="3"/>
        <v>0</v>
      </c>
    </row>
    <row r="50" spans="1:8" s="3" customFormat="1" ht="15.75">
      <c r="A50" s="216">
        <v>8.5</v>
      </c>
      <c r="B50" s="218" t="s">
        <v>322</v>
      </c>
      <c r="C50" s="233"/>
      <c r="D50" s="233"/>
      <c r="E50" s="256">
        <f t="shared" si="2"/>
        <v>0</v>
      </c>
      <c r="F50" s="233"/>
      <c r="G50" s="233"/>
      <c r="H50" s="234">
        <f t="shared" si="3"/>
        <v>0</v>
      </c>
    </row>
    <row r="51" spans="1:8" s="3" customFormat="1" ht="15.75">
      <c r="A51" s="216">
        <v>8.6</v>
      </c>
      <c r="B51" s="218" t="s">
        <v>323</v>
      </c>
      <c r="C51" s="233"/>
      <c r="D51" s="233"/>
      <c r="E51" s="256">
        <f t="shared" si="2"/>
        <v>0</v>
      </c>
      <c r="F51" s="233"/>
      <c r="G51" s="233"/>
      <c r="H51" s="234">
        <f t="shared" si="3"/>
        <v>0</v>
      </c>
    </row>
    <row r="52" spans="1:8" s="3" customFormat="1" ht="15.75">
      <c r="A52" s="216">
        <v>8.6999999999999993</v>
      </c>
      <c r="B52" s="218" t="s">
        <v>324</v>
      </c>
      <c r="C52" s="233"/>
      <c r="D52" s="233"/>
      <c r="E52" s="256">
        <f t="shared" si="2"/>
        <v>0</v>
      </c>
      <c r="F52" s="233"/>
      <c r="G52" s="233"/>
      <c r="H52" s="234">
        <f t="shared" si="3"/>
        <v>0</v>
      </c>
    </row>
    <row r="53" spans="1:8" s="3" customFormat="1" ht="26.25" thickBot="1">
      <c r="A53" s="221">
        <v>9</v>
      </c>
      <c r="B53" s="222" t="s">
        <v>325</v>
      </c>
      <c r="C53" s="257"/>
      <c r="D53" s="257"/>
      <c r="E53" s="258">
        <f t="shared" si="2"/>
        <v>0</v>
      </c>
      <c r="F53" s="257"/>
      <c r="G53" s="257"/>
      <c r="H53" s="240">
        <f t="shared" si="3"/>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G12"/>
    </sheetView>
  </sheetViews>
  <sheetFormatPr defaultColWidth="9.140625" defaultRowHeight="12.75"/>
  <cols>
    <col min="1" max="1" width="9.5703125" style="2" bestFit="1" customWidth="1"/>
    <col min="2" max="2" width="93.5703125" style="2" customWidth="1"/>
    <col min="3" max="4" width="12.7109375" style="2" customWidth="1"/>
    <col min="5" max="7" width="10.85546875" style="13" bestFit="1" customWidth="1"/>
    <col min="8" max="11" width="9.7109375" style="13" customWidth="1"/>
    <col min="12" max="16384" width="9.140625" style="13"/>
  </cols>
  <sheetData>
    <row r="1" spans="1:8" ht="15">
      <c r="A1" s="17" t="s">
        <v>189</v>
      </c>
      <c r="B1" s="16" t="str">
        <f>Info!C2</f>
        <v>სს "კრედო ბანკი"</v>
      </c>
      <c r="C1" s="16"/>
      <c r="D1" s="338"/>
    </row>
    <row r="2" spans="1:8" ht="15">
      <c r="A2" s="17" t="s">
        <v>190</v>
      </c>
      <c r="B2" s="456">
        <f>'1. key ratios'!B2</f>
        <v>44469</v>
      </c>
      <c r="C2" s="28"/>
      <c r="D2" s="18"/>
      <c r="E2" s="12"/>
      <c r="F2" s="12"/>
      <c r="G2" s="12"/>
      <c r="H2" s="12"/>
    </row>
    <row r="3" spans="1:8" ht="15">
      <c r="A3" s="17"/>
      <c r="B3" s="16"/>
      <c r="C3" s="28"/>
      <c r="D3" s="18"/>
      <c r="E3" s="12"/>
      <c r="F3" s="12"/>
      <c r="G3" s="12"/>
      <c r="H3" s="12"/>
    </row>
    <row r="4" spans="1:8" ht="15" customHeight="1" thickBot="1">
      <c r="A4" s="210" t="s">
        <v>332</v>
      </c>
      <c r="B4" s="211" t="s">
        <v>188</v>
      </c>
      <c r="C4" s="212" t="s">
        <v>94</v>
      </c>
    </row>
    <row r="5" spans="1:8" ht="15" customHeight="1">
      <c r="A5" s="208" t="s">
        <v>27</v>
      </c>
      <c r="B5" s="209"/>
      <c r="C5" s="457" t="str">
        <f>INT((MONTH($B$2))/3)&amp;"Q"&amp;"-"&amp;YEAR($B$2)</f>
        <v>3Q-2021</v>
      </c>
      <c r="D5" s="457" t="str">
        <f>IF(INT(MONTH($B$2))=3, "4"&amp;"Q"&amp;"-"&amp;YEAR($B$2)-1, IF(INT(MONTH($B$2))=6, "1"&amp;"Q"&amp;"-"&amp;YEAR($B$2), IF(INT(MONTH($B$2))=9, "2"&amp;"Q"&amp;"-"&amp;YEAR($B$2),IF(INT(MONTH($B$2))=12, "3"&amp;"Q"&amp;"-"&amp;YEAR($B$2), 0))))</f>
        <v>2Q-2021</v>
      </c>
      <c r="E5" s="457" t="str">
        <f>IF(INT(MONTH($B$2))=3, "3"&amp;"Q"&amp;"-"&amp;YEAR($B$2)-1, IF(INT(MONTH($B$2))=6, "4"&amp;"Q"&amp;"-"&amp;YEAR($B$2)-1, IF(INT(MONTH($B$2))=9, "1"&amp;"Q"&amp;"-"&amp;YEAR($B$2),IF(INT(MONTH($B$2))=12, "2"&amp;"Q"&amp;"-"&amp;YEAR($B$2), 0))))</f>
        <v>1Q-2021</v>
      </c>
      <c r="F5" s="457" t="str">
        <f>IF(INT(MONTH($B$2))=3, "2"&amp;"Q"&amp;"-"&amp;YEAR($B$2)-1, IF(INT(MONTH($B$2))=6, "3"&amp;"Q"&amp;"-"&amp;YEAR($B$2)-1, IF(INT(MONTH($B$2))=9, "4"&amp;"Q"&amp;"-"&amp;YEAR($B$2)-1,IF(INT(MONTH($B$2))=12, "1"&amp;"Q"&amp;"-"&amp;YEAR($B$2), 0))))</f>
        <v>4Q-2020</v>
      </c>
      <c r="G5" s="457" t="str">
        <f>IF(INT(MONTH($B$2))=3, "1"&amp;"Q"&amp;"-"&amp;YEAR($B$2)-1, IF(INT(MONTH($B$2))=6, "2"&amp;"Q"&amp;"-"&amp;YEAR($B$2)-1, IF(INT(MONTH($B$2))=9, "3"&amp;"Q"&amp;"-"&amp;YEAR($B$2)-1,IF(INT(MONTH($B$2))=12, "4"&amp;"Q"&amp;"-"&amp;YEAR($B$2)-1, 0))))</f>
        <v>3Q-2020</v>
      </c>
    </row>
    <row r="6" spans="1:8" ht="15" customHeight="1">
      <c r="A6" s="382">
        <v>1</v>
      </c>
      <c r="B6" s="441" t="s">
        <v>193</v>
      </c>
      <c r="C6" s="383">
        <f>C7+C9+C10</f>
        <v>1100423981.5046682</v>
      </c>
      <c r="D6" s="444">
        <f>D7+D9+D10</f>
        <v>1050330912.8101695</v>
      </c>
      <c r="E6" s="384">
        <f t="shared" ref="E6:G6" si="0">E7+E9+E10</f>
        <v>1017900326.6960396</v>
      </c>
      <c r="F6" s="383">
        <f t="shared" si="0"/>
        <v>996989379.07512736</v>
      </c>
      <c r="G6" s="445">
        <f t="shared" si="0"/>
        <v>945883319.80765402</v>
      </c>
    </row>
    <row r="7" spans="1:8" ht="15" customHeight="1">
      <c r="A7" s="382">
        <v>1.1000000000000001</v>
      </c>
      <c r="B7" s="385" t="s">
        <v>476</v>
      </c>
      <c r="C7" s="386">
        <v>1095982955.7234182</v>
      </c>
      <c r="D7" s="446">
        <v>1046961019.8576695</v>
      </c>
      <c r="E7" s="386">
        <v>1014780858.7297896</v>
      </c>
      <c r="F7" s="386">
        <v>994250073.82512736</v>
      </c>
      <c r="G7" s="447">
        <v>942918346.43265402</v>
      </c>
    </row>
    <row r="8" spans="1:8" ht="25.5">
      <c r="A8" s="382" t="s">
        <v>252</v>
      </c>
      <c r="B8" s="387" t="s">
        <v>326</v>
      </c>
      <c r="C8" s="386">
        <v>15504176.054999962</v>
      </c>
      <c r="D8" s="446"/>
      <c r="E8" s="386"/>
      <c r="F8" s="386"/>
      <c r="G8" s="447"/>
    </row>
    <row r="9" spans="1:8" ht="15" customHeight="1">
      <c r="A9" s="382">
        <v>1.2</v>
      </c>
      <c r="B9" s="385" t="s">
        <v>23</v>
      </c>
      <c r="C9" s="386">
        <v>3660325.78125</v>
      </c>
      <c r="D9" s="446">
        <v>2579817.9525000001</v>
      </c>
      <c r="E9" s="386">
        <v>2266517.9662500001</v>
      </c>
      <c r="F9" s="386">
        <v>1920155.25</v>
      </c>
      <c r="G9" s="447">
        <v>1649853.375</v>
      </c>
    </row>
    <row r="10" spans="1:8" ht="15" customHeight="1">
      <c r="A10" s="382">
        <v>1.3</v>
      </c>
      <c r="B10" s="442" t="s">
        <v>78</v>
      </c>
      <c r="C10" s="388">
        <v>780700</v>
      </c>
      <c r="D10" s="446">
        <v>790075</v>
      </c>
      <c r="E10" s="388">
        <v>852950</v>
      </c>
      <c r="F10" s="386">
        <v>819150</v>
      </c>
      <c r="G10" s="448">
        <v>1315120</v>
      </c>
    </row>
    <row r="11" spans="1:8" ht="15" customHeight="1">
      <c r="A11" s="382">
        <v>2</v>
      </c>
      <c r="B11" s="441" t="s">
        <v>194</v>
      </c>
      <c r="C11" s="386">
        <v>3551131.222152031</v>
      </c>
      <c r="D11" s="446">
        <v>2528123</v>
      </c>
      <c r="E11" s="386">
        <v>4121641.3017799947</v>
      </c>
      <c r="F11" s="386">
        <v>1286239.2924999779</v>
      </c>
      <c r="G11" s="447">
        <v>394950.29007600201</v>
      </c>
    </row>
    <row r="12" spans="1:8" ht="15" customHeight="1">
      <c r="A12" s="399">
        <v>3</v>
      </c>
      <c r="B12" s="443" t="s">
        <v>192</v>
      </c>
      <c r="C12" s="388">
        <v>250750724.04375002</v>
      </c>
      <c r="D12" s="446">
        <v>250750724.04375002</v>
      </c>
      <c r="E12" s="388">
        <v>250750724.04375002</v>
      </c>
      <c r="F12" s="386">
        <v>250750724.04375002</v>
      </c>
      <c r="G12" s="448">
        <v>225728197.60624999</v>
      </c>
    </row>
    <row r="13" spans="1:8" ht="15" customHeight="1" thickBot="1">
      <c r="A13" s="130">
        <v>4</v>
      </c>
      <c r="B13" s="451" t="s">
        <v>253</v>
      </c>
      <c r="C13" s="259">
        <f>C6+C11+C12</f>
        <v>1354725836.7705703</v>
      </c>
      <c r="D13" s="449">
        <f>D6+D11+D12</f>
        <v>1303609759.8539195</v>
      </c>
      <c r="E13" s="260">
        <f t="shared" ref="E13:G13" si="1">E6+E11+E12</f>
        <v>1272772692.0415695</v>
      </c>
      <c r="F13" s="259">
        <f t="shared" si="1"/>
        <v>1249026342.4113774</v>
      </c>
      <c r="G13" s="450">
        <f t="shared" si="1"/>
        <v>1172006467.70398</v>
      </c>
    </row>
    <row r="14" spans="1:8">
      <c r="B14" s="23"/>
    </row>
    <row r="15" spans="1:8" ht="25.5">
      <c r="B15" s="103" t="s">
        <v>477</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showGridLines="0" zoomScaleNormal="100" workbookViewId="0">
      <pane xSplit="1" ySplit="4" topLeftCell="B30" activePane="bottomRight" state="frozen"/>
      <selection pane="topRight" activeCell="B1" sqref="B1"/>
      <selection pane="bottomLeft" activeCell="A4" sqref="A4"/>
      <selection pane="bottomRight" activeCell="C41" sqref="C41"/>
    </sheetView>
  </sheetViews>
  <sheetFormatPr defaultRowHeight="15"/>
  <cols>
    <col min="1" max="1" width="9.5703125" style="2" bestFit="1" customWidth="1"/>
    <col min="2" max="2" width="58.85546875" style="2" customWidth="1"/>
    <col min="3" max="3" width="41.140625" style="2" bestFit="1" customWidth="1"/>
  </cols>
  <sheetData>
    <row r="1" spans="1:8">
      <c r="A1" s="2" t="s">
        <v>189</v>
      </c>
      <c r="B1" s="338" t="str">
        <f>Info!C2</f>
        <v>სს "კრედო ბანკი"</v>
      </c>
    </row>
    <row r="2" spans="1:8">
      <c r="A2" s="2" t="s">
        <v>190</v>
      </c>
      <c r="B2" s="472">
        <f>'1. key ratios'!B2</f>
        <v>44469</v>
      </c>
    </row>
    <row r="3" spans="1:8" ht="13.5" customHeight="1"/>
    <row r="4" spans="1:8" ht="33.75" customHeight="1" thickBot="1">
      <c r="A4" s="223" t="s">
        <v>333</v>
      </c>
      <c r="B4" s="60" t="s">
        <v>150</v>
      </c>
      <c r="C4" s="14"/>
    </row>
    <row r="5" spans="1:8" ht="15.75">
      <c r="A5" s="11"/>
      <c r="B5" s="436" t="s">
        <v>151</v>
      </c>
      <c r="C5" s="454" t="s">
        <v>491</v>
      </c>
    </row>
    <row r="6" spans="1:8">
      <c r="A6" s="15">
        <v>1</v>
      </c>
      <c r="B6" s="61" t="s">
        <v>750</v>
      </c>
      <c r="C6" s="452" t="s">
        <v>751</v>
      </c>
    </row>
    <row r="7" spans="1:8">
      <c r="A7" s="15">
        <v>2</v>
      </c>
      <c r="B7" s="61" t="s">
        <v>781</v>
      </c>
      <c r="C7" s="452" t="s">
        <v>752</v>
      </c>
    </row>
    <row r="8" spans="1:8">
      <c r="A8" s="15">
        <v>3</v>
      </c>
      <c r="B8" s="61" t="s">
        <v>753</v>
      </c>
      <c r="C8" s="452" t="s">
        <v>754</v>
      </c>
    </row>
    <row r="9" spans="1:8">
      <c r="A9" s="15">
        <v>4</v>
      </c>
      <c r="B9" s="61" t="s">
        <v>755</v>
      </c>
      <c r="C9" s="452" t="s">
        <v>751</v>
      </c>
    </row>
    <row r="10" spans="1:8">
      <c r="A10" s="15">
        <v>5</v>
      </c>
      <c r="B10" s="61" t="s">
        <v>756</v>
      </c>
      <c r="C10" s="452" t="s">
        <v>754</v>
      </c>
    </row>
    <row r="11" spans="1:8">
      <c r="A11" s="15"/>
      <c r="B11" s="61"/>
      <c r="C11" s="452"/>
    </row>
    <row r="12" spans="1:8">
      <c r="A12" s="15"/>
      <c r="B12" s="61"/>
      <c r="C12" s="452"/>
      <c r="H12" s="4"/>
    </row>
    <row r="13" spans="1:8" ht="45">
      <c r="A13" s="15"/>
      <c r="B13" s="437" t="s">
        <v>152</v>
      </c>
      <c r="C13" s="455" t="s">
        <v>492</v>
      </c>
    </row>
    <row r="14" spans="1:8" ht="15.75">
      <c r="A14" s="15">
        <v>1</v>
      </c>
      <c r="B14" s="27" t="s">
        <v>742</v>
      </c>
      <c r="C14" s="453" t="s">
        <v>757</v>
      </c>
    </row>
    <row r="15" spans="1:8" ht="15.75">
      <c r="A15" s="15">
        <v>2</v>
      </c>
      <c r="B15" s="27" t="s">
        <v>758</v>
      </c>
      <c r="C15" s="453" t="s">
        <v>759</v>
      </c>
    </row>
    <row r="16" spans="1:8" ht="15.75">
      <c r="A16" s="15">
        <v>3</v>
      </c>
      <c r="B16" s="27" t="s">
        <v>760</v>
      </c>
      <c r="C16" s="453" t="s">
        <v>761</v>
      </c>
    </row>
    <row r="17" spans="1:3" ht="15.75">
      <c r="A17" s="15">
        <v>4</v>
      </c>
      <c r="B17" s="27" t="s">
        <v>762</v>
      </c>
      <c r="C17" s="453" t="s">
        <v>763</v>
      </c>
    </row>
    <row r="18" spans="1:3" ht="15.75">
      <c r="A18" s="15">
        <v>5</v>
      </c>
      <c r="B18" s="27" t="s">
        <v>764</v>
      </c>
      <c r="C18" s="453" t="s">
        <v>765</v>
      </c>
    </row>
    <row r="19" spans="1:3" ht="15.75">
      <c r="A19" s="15"/>
      <c r="B19" s="27"/>
      <c r="C19" s="453"/>
    </row>
    <row r="20" spans="1:3" ht="15.75">
      <c r="A20" s="15"/>
      <c r="B20" s="27"/>
      <c r="C20" s="453"/>
    </row>
    <row r="21" spans="1:3" ht="30" customHeight="1">
      <c r="A21" s="15"/>
      <c r="B21" s="697" t="s">
        <v>153</v>
      </c>
      <c r="C21" s="698"/>
    </row>
    <row r="22" spans="1:3">
      <c r="A22" s="15">
        <v>1</v>
      </c>
      <c r="B22" s="658" t="s">
        <v>766</v>
      </c>
      <c r="C22" s="659">
        <v>0.51190476190476186</v>
      </c>
    </row>
    <row r="23" spans="1:3">
      <c r="A23" s="656">
        <v>2</v>
      </c>
      <c r="B23" s="658" t="s">
        <v>767</v>
      </c>
      <c r="C23" s="659">
        <v>8.4183673469387751E-2</v>
      </c>
    </row>
    <row r="24" spans="1:3">
      <c r="A24" s="15">
        <v>3</v>
      </c>
      <c r="B24" s="658" t="s">
        <v>768</v>
      </c>
      <c r="C24" s="659">
        <v>8.4183673469387751E-2</v>
      </c>
    </row>
    <row r="25" spans="1:3">
      <c r="A25" s="656">
        <v>4</v>
      </c>
      <c r="B25" s="658" t="s">
        <v>769</v>
      </c>
      <c r="C25" s="659">
        <v>7.9421768707482993E-2</v>
      </c>
    </row>
    <row r="26" spans="1:3" ht="27">
      <c r="A26" s="15">
        <v>5</v>
      </c>
      <c r="B26" s="658" t="s">
        <v>770</v>
      </c>
      <c r="C26" s="659">
        <v>7.4744897959183668E-2</v>
      </c>
    </row>
    <row r="27" spans="1:3" ht="27">
      <c r="A27" s="656">
        <v>6</v>
      </c>
      <c r="B27" s="658" t="s">
        <v>771</v>
      </c>
      <c r="C27" s="659">
        <v>1.5901360544217688E-2</v>
      </c>
    </row>
    <row r="28" spans="1:3" ht="27">
      <c r="A28" s="15">
        <v>7</v>
      </c>
      <c r="B28" s="658" t="s">
        <v>772</v>
      </c>
      <c r="C28" s="659">
        <v>0.14965986394557823</v>
      </c>
    </row>
    <row r="29" spans="1:3">
      <c r="A29" s="656"/>
      <c r="B29" s="657"/>
      <c r="C29" s="62"/>
    </row>
    <row r="30" spans="1:3" ht="15.75" customHeight="1">
      <c r="A30" s="15"/>
      <c r="B30" s="61"/>
      <c r="C30" s="62"/>
    </row>
    <row r="31" spans="1:3" ht="29.25" customHeight="1">
      <c r="A31" s="15"/>
      <c r="B31" s="697" t="s">
        <v>273</v>
      </c>
      <c r="C31" s="698"/>
    </row>
    <row r="32" spans="1:3">
      <c r="A32" s="15">
        <v>1</v>
      </c>
      <c r="B32" s="61" t="s">
        <v>773</v>
      </c>
      <c r="C32" s="662">
        <v>6.0506580000000004E-2</v>
      </c>
    </row>
    <row r="33" spans="1:3">
      <c r="A33" s="660">
        <v>2</v>
      </c>
      <c r="B33" s="661" t="s">
        <v>774</v>
      </c>
      <c r="C33" s="663">
        <v>6.0506580000000004E-2</v>
      </c>
    </row>
    <row r="34" spans="1:3">
      <c r="A34" s="15">
        <v>3</v>
      </c>
      <c r="B34" s="661" t="s">
        <v>775</v>
      </c>
      <c r="C34" s="663">
        <v>7.6170720000000011E-2</v>
      </c>
    </row>
    <row r="35" spans="1:3">
      <c r="A35" s="660">
        <v>4</v>
      </c>
      <c r="B35" s="661" t="s">
        <v>776</v>
      </c>
      <c r="C35" s="663">
        <v>6.5062490000000014E-2</v>
      </c>
    </row>
    <row r="36" spans="1:3">
      <c r="A36" s="15">
        <v>5</v>
      </c>
      <c r="B36" s="661" t="s">
        <v>777</v>
      </c>
      <c r="C36" s="663">
        <v>0.12167863</v>
      </c>
    </row>
    <row r="37" spans="1:3">
      <c r="A37" s="660">
        <v>6</v>
      </c>
      <c r="B37" s="661" t="s">
        <v>778</v>
      </c>
      <c r="C37" s="663">
        <v>7.3007177999999992E-2</v>
      </c>
    </row>
    <row r="38" spans="1:3">
      <c r="A38" s="15">
        <v>7</v>
      </c>
      <c r="B38" s="661" t="s">
        <v>779</v>
      </c>
      <c r="C38" s="663">
        <v>5.738399000000001E-2</v>
      </c>
    </row>
    <row r="39" spans="1:3" ht="15.75" thickBot="1">
      <c r="A39" s="656">
        <v>8</v>
      </c>
      <c r="B39" s="665" t="s">
        <v>780</v>
      </c>
      <c r="C39" s="664">
        <f>(14.97*0.74)/100</f>
        <v>0.110778</v>
      </c>
    </row>
  </sheetData>
  <mergeCells count="2">
    <mergeCell ref="B31:C31"/>
    <mergeCell ref="B21:C21"/>
  </mergeCells>
  <dataValidations count="1">
    <dataValidation type="list" allowBlank="1" showInputMessage="1" showErrorMessage="1" sqref="C6:C12"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3" activePane="bottomRight" state="frozen"/>
      <selection activeCell="H6" sqref="H6"/>
      <selection pane="topRight" activeCell="H6" sqref="H6"/>
      <selection pane="bottomLeft" activeCell="H6" sqref="H6"/>
      <selection pane="bottomRight" activeCell="E8" sqref="E8:E20"/>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189</v>
      </c>
      <c r="B1" s="16" t="str">
        <f>Info!C2</f>
        <v>სს "კრედო ბანკი"</v>
      </c>
    </row>
    <row r="2" spans="1:7" s="21" customFormat="1" ht="15.75" customHeight="1">
      <c r="A2" s="21" t="s">
        <v>190</v>
      </c>
      <c r="B2" s="472">
        <f>'1. key ratios'!B2</f>
        <v>44469</v>
      </c>
    </row>
    <row r="3" spans="1:7" s="21" customFormat="1" ht="15.75" customHeight="1"/>
    <row r="4" spans="1:7" s="21" customFormat="1" ht="15.75" customHeight="1" thickBot="1">
      <c r="A4" s="224" t="s">
        <v>334</v>
      </c>
      <c r="B4" s="225" t="s">
        <v>263</v>
      </c>
      <c r="C4" s="187"/>
      <c r="D4" s="187"/>
      <c r="E4" s="188" t="s">
        <v>94</v>
      </c>
    </row>
    <row r="5" spans="1:7" s="118" customFormat="1" ht="17.45" customHeight="1">
      <c r="A5" s="351"/>
      <c r="B5" s="352"/>
      <c r="C5" s="186" t="s">
        <v>0</v>
      </c>
      <c r="D5" s="186" t="s">
        <v>1</v>
      </c>
      <c r="E5" s="353" t="s">
        <v>2</v>
      </c>
    </row>
    <row r="6" spans="1:7" s="153" customFormat="1" ht="14.45" customHeight="1">
      <c r="A6" s="354"/>
      <c r="B6" s="699" t="s">
        <v>232</v>
      </c>
      <c r="C6" s="699" t="s">
        <v>231</v>
      </c>
      <c r="D6" s="700" t="s">
        <v>230</v>
      </c>
      <c r="E6" s="701"/>
      <c r="G6"/>
    </row>
    <row r="7" spans="1:7" s="153" customFormat="1" ht="99.6" customHeight="1">
      <c r="A7" s="354"/>
      <c r="B7" s="699"/>
      <c r="C7" s="699"/>
      <c r="D7" s="348" t="s">
        <v>229</v>
      </c>
      <c r="E7" s="349" t="s">
        <v>394</v>
      </c>
      <c r="G7"/>
    </row>
    <row r="8" spans="1:7">
      <c r="A8" s="355">
        <v>1</v>
      </c>
      <c r="B8" s="356" t="s">
        <v>155</v>
      </c>
      <c r="C8" s="357">
        <v>48559882.07</v>
      </c>
      <c r="D8" s="357"/>
      <c r="E8" s="358">
        <f>C8-D8</f>
        <v>48559882.07</v>
      </c>
    </row>
    <row r="9" spans="1:7">
      <c r="A9" s="355">
        <v>2</v>
      </c>
      <c r="B9" s="356" t="s">
        <v>156</v>
      </c>
      <c r="C9" s="357">
        <v>83722685.700000003</v>
      </c>
      <c r="D9" s="357"/>
      <c r="E9" s="358">
        <f t="shared" ref="E9:E20" si="0">C9-D9</f>
        <v>83722685.700000003</v>
      </c>
    </row>
    <row r="10" spans="1:7">
      <c r="A10" s="355">
        <v>3</v>
      </c>
      <c r="B10" s="356" t="s">
        <v>228</v>
      </c>
      <c r="C10" s="357">
        <v>94224294.390000015</v>
      </c>
      <c r="D10" s="357"/>
      <c r="E10" s="358">
        <f t="shared" si="0"/>
        <v>94224294.390000015</v>
      </c>
    </row>
    <row r="11" spans="1:7" ht="25.5">
      <c r="A11" s="355">
        <v>4</v>
      </c>
      <c r="B11" s="356" t="s">
        <v>186</v>
      </c>
      <c r="C11" s="357">
        <v>0</v>
      </c>
      <c r="D11" s="357"/>
      <c r="E11" s="358">
        <f t="shared" si="0"/>
        <v>0</v>
      </c>
    </row>
    <row r="12" spans="1:7">
      <c r="A12" s="355">
        <v>5</v>
      </c>
      <c r="B12" s="356" t="s">
        <v>158</v>
      </c>
      <c r="C12" s="357">
        <v>42858627.269999996</v>
      </c>
      <c r="D12" s="357"/>
      <c r="E12" s="358">
        <f t="shared" si="0"/>
        <v>42858627.269999996</v>
      </c>
    </row>
    <row r="13" spans="1:7">
      <c r="A13" s="355">
        <v>6.1</v>
      </c>
      <c r="B13" s="356" t="s">
        <v>159</v>
      </c>
      <c r="C13" s="359">
        <v>1209170217.5635998</v>
      </c>
      <c r="D13" s="357"/>
      <c r="E13" s="358">
        <f t="shared" si="0"/>
        <v>1209170217.5635998</v>
      </c>
    </row>
    <row r="14" spans="1:7">
      <c r="A14" s="355">
        <v>6.2</v>
      </c>
      <c r="B14" s="360" t="s">
        <v>160</v>
      </c>
      <c r="C14" s="359">
        <v>-44776303.234799996</v>
      </c>
      <c r="D14" s="357"/>
      <c r="E14" s="358">
        <f t="shared" si="0"/>
        <v>-44776303.234799996</v>
      </c>
    </row>
    <row r="15" spans="1:7">
      <c r="A15" s="355">
        <v>6</v>
      </c>
      <c r="B15" s="356" t="s">
        <v>227</v>
      </c>
      <c r="C15" s="357">
        <f>C13+C14</f>
        <v>1164393914.3287997</v>
      </c>
      <c r="D15" s="357"/>
      <c r="E15" s="358">
        <f t="shared" si="0"/>
        <v>1164393914.3287997</v>
      </c>
    </row>
    <row r="16" spans="1:7" ht="25.5">
      <c r="A16" s="355">
        <v>7</v>
      </c>
      <c r="B16" s="356" t="s">
        <v>162</v>
      </c>
      <c r="C16" s="357">
        <v>25232281.269999996</v>
      </c>
      <c r="D16" s="357"/>
      <c r="E16" s="358">
        <f t="shared" si="0"/>
        <v>25232281.269999996</v>
      </c>
    </row>
    <row r="17" spans="1:7">
      <c r="A17" s="355">
        <v>8</v>
      </c>
      <c r="B17" s="356" t="s">
        <v>163</v>
      </c>
      <c r="C17" s="357">
        <v>1097656.5</v>
      </c>
      <c r="D17" s="357"/>
      <c r="E17" s="358">
        <f t="shared" si="0"/>
        <v>1097656.5</v>
      </c>
      <c r="F17" s="6"/>
      <c r="G17" s="6"/>
    </row>
    <row r="18" spans="1:7">
      <c r="A18" s="355">
        <v>9</v>
      </c>
      <c r="B18" s="356" t="s">
        <v>164</v>
      </c>
      <c r="C18" s="357">
        <v>44000000</v>
      </c>
      <c r="D18" s="357">
        <v>28495823.945000038</v>
      </c>
      <c r="E18" s="358">
        <f t="shared" si="0"/>
        <v>15504176.054999962</v>
      </c>
      <c r="G18" s="6"/>
    </row>
    <row r="19" spans="1:7" ht="25.5">
      <c r="A19" s="355">
        <v>10</v>
      </c>
      <c r="B19" s="356" t="s">
        <v>165</v>
      </c>
      <c r="C19" s="357">
        <v>32999230.360000007</v>
      </c>
      <c r="D19" s="357">
        <v>12228460.440000003</v>
      </c>
      <c r="E19" s="358">
        <f t="shared" si="0"/>
        <v>20770769.920000002</v>
      </c>
      <c r="G19" s="6"/>
    </row>
    <row r="20" spans="1:7">
      <c r="A20" s="355">
        <v>11</v>
      </c>
      <c r="B20" s="356" t="s">
        <v>166</v>
      </c>
      <c r="C20" s="357">
        <v>35486016.370000005</v>
      </c>
      <c r="D20" s="357"/>
      <c r="E20" s="358">
        <f t="shared" si="0"/>
        <v>35486016.370000005</v>
      </c>
    </row>
    <row r="21" spans="1:7" ht="51.75" thickBot="1">
      <c r="A21" s="361"/>
      <c r="B21" s="362" t="s">
        <v>368</v>
      </c>
      <c r="C21" s="313">
        <f>SUM(C8:C12, C15:C20)</f>
        <v>1572574588.2587996</v>
      </c>
      <c r="D21" s="313">
        <f>SUM(D8:D12, D15:D20)</f>
        <v>40724284.385000043</v>
      </c>
      <c r="E21" s="363">
        <f>SUM(E8:E12, E15:E20)</f>
        <v>1531850303.8737998</v>
      </c>
    </row>
    <row r="22" spans="1:7">
      <c r="A22"/>
      <c r="B22"/>
      <c r="C22"/>
      <c r="D22"/>
      <c r="E22"/>
    </row>
    <row r="23" spans="1:7">
      <c r="A23"/>
      <c r="B23"/>
      <c r="C23"/>
      <c r="D23"/>
      <c r="E23"/>
    </row>
    <row r="25" spans="1:7" s="2" customFormat="1">
      <c r="B25" s="64"/>
      <c r="F25"/>
      <c r="G25"/>
    </row>
    <row r="26" spans="1:7" s="2" customFormat="1">
      <c r="B26" s="65"/>
      <c r="F26"/>
      <c r="G26"/>
    </row>
    <row r="27" spans="1:7" s="2" customFormat="1">
      <c r="B27" s="64"/>
      <c r="F27"/>
      <c r="G27"/>
    </row>
    <row r="28" spans="1:7" s="2" customFormat="1">
      <c r="B28" s="64"/>
      <c r="F28"/>
      <c r="G28"/>
    </row>
    <row r="29" spans="1:7" s="2" customFormat="1">
      <c r="B29" s="64"/>
      <c r="F29"/>
      <c r="G29"/>
    </row>
    <row r="30" spans="1:7" s="2" customFormat="1">
      <c r="B30" s="64"/>
      <c r="F30"/>
      <c r="G30"/>
    </row>
    <row r="31" spans="1:7" s="2" customFormat="1">
      <c r="B31" s="64"/>
      <c r="F31"/>
      <c r="G31"/>
    </row>
    <row r="32" spans="1:7" s="2" customFormat="1">
      <c r="B32" s="65"/>
      <c r="F32"/>
      <c r="G32"/>
    </row>
    <row r="33" spans="2:7" s="2" customFormat="1">
      <c r="B33" s="65"/>
      <c r="F33"/>
      <c r="G33"/>
    </row>
    <row r="34" spans="2:7" s="2" customFormat="1">
      <c r="B34" s="65"/>
      <c r="F34"/>
      <c r="G34"/>
    </row>
    <row r="35" spans="2:7" s="2" customFormat="1">
      <c r="B35" s="65"/>
      <c r="F35"/>
      <c r="G35"/>
    </row>
    <row r="36" spans="2:7" s="2" customFormat="1">
      <c r="B36" s="65"/>
      <c r="F36"/>
      <c r="G36"/>
    </row>
    <row r="37" spans="2:7" s="2" customFormat="1">
      <c r="B37" s="65"/>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1"/>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189</v>
      </c>
      <c r="B1" s="16" t="str">
        <f>Info!C2</f>
        <v>სს "კრედო ბანკი"</v>
      </c>
    </row>
    <row r="2" spans="1:6" s="21" customFormat="1" ht="15.75" customHeight="1">
      <c r="A2" s="21" t="s">
        <v>190</v>
      </c>
      <c r="B2" s="472">
        <f>'1. key ratios'!B2</f>
        <v>44469</v>
      </c>
      <c r="C2"/>
      <c r="D2"/>
      <c r="E2"/>
      <c r="F2"/>
    </row>
    <row r="3" spans="1:6" s="21" customFormat="1" ht="15.75" customHeight="1">
      <c r="C3"/>
      <c r="D3"/>
      <c r="E3"/>
      <c r="F3"/>
    </row>
    <row r="4" spans="1:6" s="21" customFormat="1" ht="26.25" thickBot="1">
      <c r="A4" s="21" t="s">
        <v>335</v>
      </c>
      <c r="B4" s="194" t="s">
        <v>266</v>
      </c>
      <c r="C4" s="188" t="s">
        <v>94</v>
      </c>
      <c r="D4"/>
      <c r="E4"/>
      <c r="F4"/>
    </row>
    <row r="5" spans="1:6" ht="26.25">
      <c r="A5" s="189">
        <v>1</v>
      </c>
      <c r="B5" s="190" t="s">
        <v>342</v>
      </c>
      <c r="C5" s="261">
        <f>'7. LI1'!E21</f>
        <v>1531850303.8737998</v>
      </c>
    </row>
    <row r="6" spans="1:6" s="179" customFormat="1">
      <c r="A6" s="117">
        <v>2.1</v>
      </c>
      <c r="B6" s="196" t="s">
        <v>267</v>
      </c>
      <c r="C6" s="262">
        <v>29763625.300000001</v>
      </c>
    </row>
    <row r="7" spans="1:6" s="4" customFormat="1" ht="25.5" outlineLevel="1">
      <c r="A7" s="195">
        <v>2.2000000000000002</v>
      </c>
      <c r="B7" s="191" t="s">
        <v>268</v>
      </c>
      <c r="C7" s="263">
        <v>15613999.999999998</v>
      </c>
    </row>
    <row r="8" spans="1:6" s="4" customFormat="1" ht="26.25">
      <c r="A8" s="195">
        <v>3</v>
      </c>
      <c r="B8" s="192" t="s">
        <v>343</v>
      </c>
      <c r="C8" s="264">
        <f>SUM(C5:C7)</f>
        <v>1577227929.1737998</v>
      </c>
    </row>
    <row r="9" spans="1:6" s="179" customFormat="1">
      <c r="A9" s="117">
        <v>4</v>
      </c>
      <c r="B9" s="199" t="s">
        <v>264</v>
      </c>
      <c r="C9" s="262">
        <v>21530614.544599999</v>
      </c>
    </row>
    <row r="10" spans="1:6" s="4" customFormat="1" ht="25.5" outlineLevel="1">
      <c r="A10" s="195">
        <v>5.0999999999999996</v>
      </c>
      <c r="B10" s="191" t="s">
        <v>274</v>
      </c>
      <c r="C10" s="263">
        <v>-24883190.925000001</v>
      </c>
    </row>
    <row r="11" spans="1:6" s="4" customFormat="1" ht="25.5" outlineLevel="1">
      <c r="A11" s="195">
        <v>5.2</v>
      </c>
      <c r="B11" s="191" t="s">
        <v>275</v>
      </c>
      <c r="C11" s="263">
        <v>-14833299.999999998</v>
      </c>
    </row>
    <row r="12" spans="1:6" s="4" customFormat="1">
      <c r="A12" s="195">
        <v>6</v>
      </c>
      <c r="B12" s="197" t="s">
        <v>478</v>
      </c>
      <c r="C12" s="364"/>
    </row>
    <row r="13" spans="1:6" s="4" customFormat="1" ht="15.75" thickBot="1">
      <c r="A13" s="198">
        <v>7</v>
      </c>
      <c r="B13" s="193" t="s">
        <v>265</v>
      </c>
      <c r="C13" s="265">
        <f>SUM(C8:C12)</f>
        <v>1559042052.7933998</v>
      </c>
    </row>
    <row r="15" spans="1:6" ht="26.25">
      <c r="B15" s="23" t="s">
        <v>479</v>
      </c>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FN3SqAFfgxWf4TeTrsE615SCX7cfPAc/u6MtnZymv7s=</DigestValue>
    </Reference>
    <Reference Type="http://www.w3.org/2000/09/xmldsig#Object" URI="#idOfficeObject">
      <DigestMethod Algorithm="http://www.w3.org/2001/04/xmlenc#sha256"/>
      <DigestValue>Fmajy8GoqSThd6G9pa+UglNeWiSb0z26S4wxvYbu5hQ=</DigestValue>
    </Reference>
    <Reference Type="http://uri.etsi.org/01903#SignedProperties" URI="#idSignedProperties">
      <Transforms>
        <Transform Algorithm="http://www.w3.org/TR/2001/REC-xml-c14n-20010315"/>
      </Transforms>
      <DigestMethod Algorithm="http://www.w3.org/2001/04/xmlenc#sha256"/>
      <DigestValue>3KuIz+mdBNSTyVgbMHVbpQL4fTqG8d5gJgk/ngYhulk=</DigestValue>
    </Reference>
  </SignedInfo>
  <SignatureValue>rZUqqoG5bzp6A/bmjYiCfYzMtAtHAC+cY1R9+EajyA4cQs/fuQ2UoT1gBxCRn/pmSkhKJ9crbfzT
4mrdiI56XImMs4NfteGXDGV/LYvZEqljxqtL9pEa2gLs3K6JT/MjBZxibK+j1IWDpau5IienOvyL
uRsxI6BBWaI196S0YZCyasSg2VMbbtDEfPMhano3U0PCkVdWwJGZXDIc1kHNgK+rA3GkjypcxEEY
WZx2Z6p/U1nYFnO83q/SIKqk1th3flmXRtHsqCE+TFDt6JVa0+H4TLWFvd/7hFoGzSTLaRrBw3nX
Jy7ZvTdojo/POki7ykVM2n3EM4SI3hSHri+Miw==</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LBtqxzu8/6uBZDhS4XMDJpC+vCaPYuwhgrJG6jUthlc=</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aXgmWioSf9PxoG2vbu2UrQZ3BefUSa8uV0KQe8eJets=</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CdC1LA46eiaPiCWmb9CSmsKeMK7zzyDYak5Sl4utJ94=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l8l1e2eWPoQ+D+DzZ6anvjcFLzDQSQ5Jpb+lTOTGzD8=</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9VA/MHCXt9APIeJlV77yAeAJ4cl5XgZiGmw5J2+3L1A=</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zeTsEERh908DKlOcKjU5r43tzZn4dHHkR2phEDn/LZY=</DigestValue>
      </Reference>
      <Reference URI="/xl/styles.xml?ContentType=application/vnd.openxmlformats-officedocument.spreadsheetml.styles+xml">
        <DigestMethod Algorithm="http://www.w3.org/2001/04/xmlenc#sha256"/>
        <DigestValue>xgsuINYXwma/suvVwST5/cLbdpktm6uMWfuB5q3lFvg=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0Bp4/OCYVIcGGEAD3HezUAku91R9X4JGXpkYi2D5ZmM=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r+JCI+Ze0wj0bThs13lv5lCw38WLvhye7PXHxO99Xc4=</DigestValue>
      </Reference>
      <Reference URI="/xl/worksheets/sheet10.xml?ContentType=application/vnd.openxmlformats-officedocument.spreadsheetml.worksheet+xml">
        <DigestMethod Algorithm="http://www.w3.org/2001/04/xmlenc#sha256"/>
        <DigestValue>2x0pb9zfS4gnsIjcvesfAEs33EAc7FidohbXb7KC23M=</DigestValue>
      </Reference>
      <Reference URI="/xl/worksheets/sheet11.xml?ContentType=application/vnd.openxmlformats-officedocument.spreadsheetml.worksheet+xml">
        <DigestMethod Algorithm="http://www.w3.org/2001/04/xmlenc#sha256"/>
        <DigestValue>PintQg1n02XvibqnPzgZrzK/4B+cVjY9zzEcE01vdGE=</DigestValue>
      </Reference>
      <Reference URI="/xl/worksheets/sheet12.xml?ContentType=application/vnd.openxmlformats-officedocument.spreadsheetml.worksheet+xml">
        <DigestMethod Algorithm="http://www.w3.org/2001/04/xmlenc#sha256"/>
        <DigestValue>A/DvMFdDQy/WUxfWgtb4TA8y0fiLqOJsgSczIiIaBYo=</DigestValue>
      </Reference>
      <Reference URI="/xl/worksheets/sheet13.xml?ContentType=application/vnd.openxmlformats-officedocument.spreadsheetml.worksheet+xml">
        <DigestMethod Algorithm="http://www.w3.org/2001/04/xmlenc#sha256"/>
        <DigestValue>OJnArrgYvRxgxkHItnf6KIqIHMuD5zhwQvpskBe33q0=</DigestValue>
      </Reference>
      <Reference URI="/xl/worksheets/sheet14.xml?ContentType=application/vnd.openxmlformats-officedocument.spreadsheetml.worksheet+xml">
        <DigestMethod Algorithm="http://www.w3.org/2001/04/xmlenc#sha256"/>
        <DigestValue>C8zRHrKyQ5cxeWacXamlIQiCPiJ+/6AOTJmV+U0lWu4=</DigestValue>
      </Reference>
      <Reference URI="/xl/worksheets/sheet15.xml?ContentType=application/vnd.openxmlformats-officedocument.spreadsheetml.worksheet+xml">
        <DigestMethod Algorithm="http://www.w3.org/2001/04/xmlenc#sha256"/>
        <DigestValue>EQQ4uF7ySGrclDhbPI9e9hFNs66IXnaTajdZikFKSaE=</DigestValue>
      </Reference>
      <Reference URI="/xl/worksheets/sheet16.xml?ContentType=application/vnd.openxmlformats-officedocument.spreadsheetml.worksheet+xml">
        <DigestMethod Algorithm="http://www.w3.org/2001/04/xmlenc#sha256"/>
        <DigestValue>wdkB7pCnQc68Ew3vIp/zdEqg+dDz4S2jmqAtdZAU0s4=</DigestValue>
      </Reference>
      <Reference URI="/xl/worksheets/sheet17.xml?ContentType=application/vnd.openxmlformats-officedocument.spreadsheetml.worksheet+xml">
        <DigestMethod Algorithm="http://www.w3.org/2001/04/xmlenc#sha256"/>
        <DigestValue>gLwJv29ovPwGzDxDR7YRBvjHEJ2bgkeE+zbYCwjjHvE=</DigestValue>
      </Reference>
      <Reference URI="/xl/worksheets/sheet18.xml?ContentType=application/vnd.openxmlformats-officedocument.spreadsheetml.worksheet+xml">
        <DigestMethod Algorithm="http://www.w3.org/2001/04/xmlenc#sha256"/>
        <DigestValue>hRz2wRyDdaIyle6Ts077vUPqzzzCsghwIT8GkBq+FkM=</DigestValue>
      </Reference>
      <Reference URI="/xl/worksheets/sheet19.xml?ContentType=application/vnd.openxmlformats-officedocument.spreadsheetml.worksheet+xml">
        <DigestMethod Algorithm="http://www.w3.org/2001/04/xmlenc#sha256"/>
        <DigestValue>62YuRnx2sICuAaSjsQfvQmZZxPjTTucgaHQICorTF3E=</DigestValue>
      </Reference>
      <Reference URI="/xl/worksheets/sheet2.xml?ContentType=application/vnd.openxmlformats-officedocument.spreadsheetml.worksheet+xml">
        <DigestMethod Algorithm="http://www.w3.org/2001/04/xmlenc#sha256"/>
        <DigestValue>rNBoNKl/RxQRn2jTsWJtdl4ejvNxJnMT14UtW1qAXWA=</DigestValue>
      </Reference>
      <Reference URI="/xl/worksheets/sheet20.xml?ContentType=application/vnd.openxmlformats-officedocument.spreadsheetml.worksheet+xml">
        <DigestMethod Algorithm="http://www.w3.org/2001/04/xmlenc#sha256"/>
        <DigestValue>ruDUJqXZqlc3MPVc/fmlQastCH5RHrSWTjeD0Vz5kZA=</DigestValue>
      </Reference>
      <Reference URI="/xl/worksheets/sheet21.xml?ContentType=application/vnd.openxmlformats-officedocument.spreadsheetml.worksheet+xml">
        <DigestMethod Algorithm="http://www.w3.org/2001/04/xmlenc#sha256"/>
        <DigestValue>5fjvP2YlRf55JkGYmi/YcsMw2rZtdHLkNn0T/epqa3E=</DigestValue>
      </Reference>
      <Reference URI="/xl/worksheets/sheet22.xml?ContentType=application/vnd.openxmlformats-officedocument.spreadsheetml.worksheet+xml">
        <DigestMethod Algorithm="http://www.w3.org/2001/04/xmlenc#sha256"/>
        <DigestValue>OcINhLExtwOxKkfCLBweST9t/awqB1euui3ikF6aL5s=</DigestValue>
      </Reference>
      <Reference URI="/xl/worksheets/sheet23.xml?ContentType=application/vnd.openxmlformats-officedocument.spreadsheetml.worksheet+xml">
        <DigestMethod Algorithm="http://www.w3.org/2001/04/xmlenc#sha256"/>
        <DigestValue>2DCEvacVQhXyi/qy3HLGtYbIkDb7LGEUc6eLk/deBGY=</DigestValue>
      </Reference>
      <Reference URI="/xl/worksheets/sheet24.xml?ContentType=application/vnd.openxmlformats-officedocument.spreadsheetml.worksheet+xml">
        <DigestMethod Algorithm="http://www.w3.org/2001/04/xmlenc#sha256"/>
        <DigestValue>B0i3OG7cysevRyOz7v0A96nH8G/7S/QnIdrApuYGqdE=</DigestValue>
      </Reference>
      <Reference URI="/xl/worksheets/sheet25.xml?ContentType=application/vnd.openxmlformats-officedocument.spreadsheetml.worksheet+xml">
        <DigestMethod Algorithm="http://www.w3.org/2001/04/xmlenc#sha256"/>
        <DigestValue>bbRLosIgER6qjl0H4U8jOvqCibtQFoFPHbub15ufaV0=</DigestValue>
      </Reference>
      <Reference URI="/xl/worksheets/sheet26.xml?ContentType=application/vnd.openxmlformats-officedocument.spreadsheetml.worksheet+xml">
        <DigestMethod Algorithm="http://www.w3.org/2001/04/xmlenc#sha256"/>
        <DigestValue>m2F/fitCpK5K/5RO9AjjH6PWKWgSmX0nsriuE52oIlQ=</DigestValue>
      </Reference>
      <Reference URI="/xl/worksheets/sheet27.xml?ContentType=application/vnd.openxmlformats-officedocument.spreadsheetml.worksheet+xml">
        <DigestMethod Algorithm="http://www.w3.org/2001/04/xmlenc#sha256"/>
        <DigestValue>1dNrF3tD9LJX8G/Fc3FI8U8bnSC7+GVeb9CRPCPwzJc=</DigestValue>
      </Reference>
      <Reference URI="/xl/worksheets/sheet28.xml?ContentType=application/vnd.openxmlformats-officedocument.spreadsheetml.worksheet+xml">
        <DigestMethod Algorithm="http://www.w3.org/2001/04/xmlenc#sha256"/>
        <DigestValue>SVEqkIxoXgdnQSZ706S+qotR+/JzLRbAMyS+iyGCxPk=</DigestValue>
      </Reference>
      <Reference URI="/xl/worksheets/sheet29.xml?ContentType=application/vnd.openxmlformats-officedocument.spreadsheetml.worksheet+xml">
        <DigestMethod Algorithm="http://www.w3.org/2001/04/xmlenc#sha256"/>
        <DigestValue>1X0C9gO/mBCpFsfSVJMNY/q5Ffx96SZDB6o696RQd8w=</DigestValue>
      </Reference>
      <Reference URI="/xl/worksheets/sheet3.xml?ContentType=application/vnd.openxmlformats-officedocument.spreadsheetml.worksheet+xml">
        <DigestMethod Algorithm="http://www.w3.org/2001/04/xmlenc#sha256"/>
        <DigestValue>dRfIDzfc/6ma3KL3MP57i/Hgr4GZpsHgWGyNJZD+POM=</DigestValue>
      </Reference>
      <Reference URI="/xl/worksheets/sheet4.xml?ContentType=application/vnd.openxmlformats-officedocument.spreadsheetml.worksheet+xml">
        <DigestMethod Algorithm="http://www.w3.org/2001/04/xmlenc#sha256"/>
        <DigestValue>LGXaYTUvUN507g8H1g88YSu2C8aL4f8rO1JapFie65s=</DigestValue>
      </Reference>
      <Reference URI="/xl/worksheets/sheet5.xml?ContentType=application/vnd.openxmlformats-officedocument.spreadsheetml.worksheet+xml">
        <DigestMethod Algorithm="http://www.w3.org/2001/04/xmlenc#sha256"/>
        <DigestValue>gTilRNora/Tm2rdK/jl7hrcZuIq47TJoaYwYNK1gdoA=</DigestValue>
      </Reference>
      <Reference URI="/xl/worksheets/sheet6.xml?ContentType=application/vnd.openxmlformats-officedocument.spreadsheetml.worksheet+xml">
        <DigestMethod Algorithm="http://www.w3.org/2001/04/xmlenc#sha256"/>
        <DigestValue>AiXIZ01+0fEvcWZXXOuofDcyMR2raSz0l14masdXdnk=</DigestValue>
      </Reference>
      <Reference URI="/xl/worksheets/sheet7.xml?ContentType=application/vnd.openxmlformats-officedocument.spreadsheetml.worksheet+xml">
        <DigestMethod Algorithm="http://www.w3.org/2001/04/xmlenc#sha256"/>
        <DigestValue>hbCSbNvitqo6DVwCundWUjhHwIgVwJUU20/E/I/zJ0c=</DigestValue>
      </Reference>
      <Reference URI="/xl/worksheets/sheet8.xml?ContentType=application/vnd.openxmlformats-officedocument.spreadsheetml.worksheet+xml">
        <DigestMethod Algorithm="http://www.w3.org/2001/04/xmlenc#sha256"/>
        <DigestValue>rdSc6DZhGn4+nHc7KA8iaaRNkfWxfay+eXGTX8r5R2U=</DigestValue>
      </Reference>
      <Reference URI="/xl/worksheets/sheet9.xml?ContentType=application/vnd.openxmlformats-officedocument.spreadsheetml.worksheet+xml">
        <DigestMethod Algorithm="http://www.w3.org/2001/04/xmlenc#sha256"/>
        <DigestValue>WeQg9ZFCch/XNxg1tKr4Rm8zuBBdGROS5c8ikD0FYME=</DigestValue>
      </Reference>
    </Manifest>
    <SignatureProperties>
      <SignatureProperty Id="idSignatureTime" Target="#idPackageSignature">
        <mdssi:SignatureTime xmlns:mdssi="http://schemas.openxmlformats.org/package/2006/digital-signature">
          <mdssi:Format>YYYY-MM-DDThh:mm:ssTZD</mdssi:Format>
          <mdssi:Value>2021-10-25T09:54:40Z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16.0.14430/23</OfficeVersion>
          <ApplicationVersion>16.0.14430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2021-10-25T09:54:40Z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nmn4wNXen+6qUhw7CcVNnEcGSHsq/dAVtxz0Su7YoTw=</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V486qUH45axo8bVLL/+Bk2aS7n49I2DF/lZRIbpnhlk=</DigestValue>
    </Reference>
  </SignedInfo>
  <SignatureValue>K6/o002ZX3gSbIqvZbpEyh1wD5eGCsvnXWSzphOjmjTeN8uRVBPl6Ow3MmM4wZWZD1EtRNX24TjI
QGULA5jJzlu4QE0cd5PibEnK/YVopZhbWKXFzUoI5fUtXV4fg7hKLpS0+3O54p+vb8+C1Mj9xOLQ
a8kS4+V10yuP0l9A6tzVj3QpPoCWXRI7iY8TGnN5ESZC/0oLyoKF9JIAz4oDVFXVG52Rbdxo6sqS
5CvLtghBloeB3cetJl9ZxhMPsVPm1PgEZJUEDsqi0zsWmnPCLUDuKNn2Ez6M6U+1SPqNlUy86Lym
o6F+AmxMg1Mh7kEL5NoedhSUKfStTskXPwdB2w==</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EuNct4CXxr+A5sSnYBmgU0Nq29vOyMxfu7R/u2V70+0=</DigestValue>
      </Reference>
      <Reference URI="/xl/calcChain.xml?ContentType=application/vnd.openxmlformats-officedocument.spreadsheetml.calcChain+xml">
        <DigestMethod Algorithm="http://www.w3.org/2001/04/xmlenc#sha256"/>
        <DigestValue>LBtqxzu8/6uBZDhS4XMDJpC+vCaPYuwhgrJG6jUthlc=</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aXgmWioSf9PxoG2vbu2UrQZ3BefUSa8uV0KQe8eJets=</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CdC1LA46eiaPiCWmb9CSmsKeMK7zzyDYak5Sl4utJ94=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l8l1e2eWPoQ+D+DzZ6anvjcFLzDQSQ5Jpb+lTOTGzD8=</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9VA/MHCXt9APIeJlV77yAeAJ4cl5XgZiGmw5J2+3L1A=</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Cu2vDuPSW1mXny4I1weog/uR73cw9lXDMrijOWg8HSA=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Cu2vDuPSW1mXny4I1weog/uR73cw9lXDMrijOWg8HSA=</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zeTsEERh908DKlOcKjU5r43tzZn4dHHkR2phEDn/LZY=</DigestValue>
      </Reference>
      <Reference URI="/xl/styles.xml?ContentType=application/vnd.openxmlformats-officedocument.spreadsheetml.styles+xml">
        <DigestMethod Algorithm="http://www.w3.org/2001/04/xmlenc#sha256"/>
        <DigestValue>xgsuINYXwma/suvVwST5/cLbdpktm6uMWfuB5q3lFvg=</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0Bp4/OCYVIcGGEAD3HezUAku91R9X4JGXpkYi2D5ZmM=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r+JCI+Ze0wj0bThs13lv5lCw38WLvhye7PXHxO99Xc4=</DigestValue>
      </Reference>
      <Reference URI="/xl/worksheets/sheet10.xml?ContentType=application/vnd.openxmlformats-officedocument.spreadsheetml.worksheet+xml">
        <DigestMethod Algorithm="http://www.w3.org/2001/04/xmlenc#sha256"/>
        <DigestValue>2x0pb9zfS4gnsIjcvesfAEs33EAc7FidohbXb7KC23M=</DigestValue>
      </Reference>
      <Reference URI="/xl/worksheets/sheet11.xml?ContentType=application/vnd.openxmlformats-officedocument.spreadsheetml.worksheet+xml">
        <DigestMethod Algorithm="http://www.w3.org/2001/04/xmlenc#sha256"/>
        <DigestValue>PintQg1n02XvibqnPzgZrzK/4B+cVjY9zzEcE01vdGE=</DigestValue>
      </Reference>
      <Reference URI="/xl/worksheets/sheet12.xml?ContentType=application/vnd.openxmlformats-officedocument.spreadsheetml.worksheet+xml">
        <DigestMethod Algorithm="http://www.w3.org/2001/04/xmlenc#sha256"/>
        <DigestValue>A/DvMFdDQy/WUxfWgtb4TA8y0fiLqOJsgSczIiIaBYo=</DigestValue>
      </Reference>
      <Reference URI="/xl/worksheets/sheet13.xml?ContentType=application/vnd.openxmlformats-officedocument.spreadsheetml.worksheet+xml">
        <DigestMethod Algorithm="http://www.w3.org/2001/04/xmlenc#sha256"/>
        <DigestValue>OJnArrgYvRxgxkHItnf6KIqIHMuD5zhwQvpskBe33q0=</DigestValue>
      </Reference>
      <Reference URI="/xl/worksheets/sheet14.xml?ContentType=application/vnd.openxmlformats-officedocument.spreadsheetml.worksheet+xml">
        <DigestMethod Algorithm="http://www.w3.org/2001/04/xmlenc#sha256"/>
        <DigestValue>C8zRHrKyQ5cxeWacXamlIQiCPiJ+/6AOTJmV+U0lWu4=</DigestValue>
      </Reference>
      <Reference URI="/xl/worksheets/sheet15.xml?ContentType=application/vnd.openxmlformats-officedocument.spreadsheetml.worksheet+xml">
        <DigestMethod Algorithm="http://www.w3.org/2001/04/xmlenc#sha256"/>
        <DigestValue>EQQ4uF7ySGrclDhbPI9e9hFNs66IXnaTajdZikFKSaE=</DigestValue>
      </Reference>
      <Reference URI="/xl/worksheets/sheet16.xml?ContentType=application/vnd.openxmlformats-officedocument.spreadsheetml.worksheet+xml">
        <DigestMethod Algorithm="http://www.w3.org/2001/04/xmlenc#sha256"/>
        <DigestValue>wdkB7pCnQc68Ew3vIp/zdEqg+dDz4S2jmqAtdZAU0s4=</DigestValue>
      </Reference>
      <Reference URI="/xl/worksheets/sheet17.xml?ContentType=application/vnd.openxmlformats-officedocument.spreadsheetml.worksheet+xml">
        <DigestMethod Algorithm="http://www.w3.org/2001/04/xmlenc#sha256"/>
        <DigestValue>gLwJv29ovPwGzDxDR7YRBvjHEJ2bgkeE+zbYCwjjHvE=</DigestValue>
      </Reference>
      <Reference URI="/xl/worksheets/sheet18.xml?ContentType=application/vnd.openxmlformats-officedocument.spreadsheetml.worksheet+xml">
        <DigestMethod Algorithm="http://www.w3.org/2001/04/xmlenc#sha256"/>
        <DigestValue>hRz2wRyDdaIyle6Ts077vUPqzzzCsghwIT8GkBq+FkM=</DigestValue>
      </Reference>
      <Reference URI="/xl/worksheets/sheet19.xml?ContentType=application/vnd.openxmlformats-officedocument.spreadsheetml.worksheet+xml">
        <DigestMethod Algorithm="http://www.w3.org/2001/04/xmlenc#sha256"/>
        <DigestValue>62YuRnx2sICuAaSjsQfvQmZZxPjTTucgaHQICorTF3E=</DigestValue>
      </Reference>
      <Reference URI="/xl/worksheets/sheet2.xml?ContentType=application/vnd.openxmlformats-officedocument.spreadsheetml.worksheet+xml">
        <DigestMethod Algorithm="http://www.w3.org/2001/04/xmlenc#sha256"/>
        <DigestValue>rNBoNKl/RxQRn2jTsWJtdl4ejvNxJnMT14UtW1qAXWA=</DigestValue>
      </Reference>
      <Reference URI="/xl/worksheets/sheet20.xml?ContentType=application/vnd.openxmlformats-officedocument.spreadsheetml.worksheet+xml">
        <DigestMethod Algorithm="http://www.w3.org/2001/04/xmlenc#sha256"/>
        <DigestValue>ruDUJqXZqlc3MPVc/fmlQastCH5RHrSWTjeD0Vz5kZA=</DigestValue>
      </Reference>
      <Reference URI="/xl/worksheets/sheet21.xml?ContentType=application/vnd.openxmlformats-officedocument.spreadsheetml.worksheet+xml">
        <DigestMethod Algorithm="http://www.w3.org/2001/04/xmlenc#sha256"/>
        <DigestValue>5fjvP2YlRf55JkGYmi/YcsMw2rZtdHLkNn0T/epqa3E=</DigestValue>
      </Reference>
      <Reference URI="/xl/worksheets/sheet22.xml?ContentType=application/vnd.openxmlformats-officedocument.spreadsheetml.worksheet+xml">
        <DigestMethod Algorithm="http://www.w3.org/2001/04/xmlenc#sha256"/>
        <DigestValue>OcINhLExtwOxKkfCLBweST9t/awqB1euui3ikF6aL5s=</DigestValue>
      </Reference>
      <Reference URI="/xl/worksheets/sheet23.xml?ContentType=application/vnd.openxmlformats-officedocument.spreadsheetml.worksheet+xml">
        <DigestMethod Algorithm="http://www.w3.org/2001/04/xmlenc#sha256"/>
        <DigestValue>2DCEvacVQhXyi/qy3HLGtYbIkDb7LGEUc6eLk/deBGY=</DigestValue>
      </Reference>
      <Reference URI="/xl/worksheets/sheet24.xml?ContentType=application/vnd.openxmlformats-officedocument.spreadsheetml.worksheet+xml">
        <DigestMethod Algorithm="http://www.w3.org/2001/04/xmlenc#sha256"/>
        <DigestValue>B0i3OG7cysevRyOz7v0A96nH8G/7S/QnIdrApuYGqdE=</DigestValue>
      </Reference>
      <Reference URI="/xl/worksheets/sheet25.xml?ContentType=application/vnd.openxmlformats-officedocument.spreadsheetml.worksheet+xml">
        <DigestMethod Algorithm="http://www.w3.org/2001/04/xmlenc#sha256"/>
        <DigestValue>bbRLosIgER6qjl0H4U8jOvqCibtQFoFPHbub15ufaV0=</DigestValue>
      </Reference>
      <Reference URI="/xl/worksheets/sheet26.xml?ContentType=application/vnd.openxmlformats-officedocument.spreadsheetml.worksheet+xml">
        <DigestMethod Algorithm="http://www.w3.org/2001/04/xmlenc#sha256"/>
        <DigestValue>m2F/fitCpK5K/5RO9AjjH6PWKWgSmX0nsriuE52oIlQ=</DigestValue>
      </Reference>
      <Reference URI="/xl/worksheets/sheet27.xml?ContentType=application/vnd.openxmlformats-officedocument.spreadsheetml.worksheet+xml">
        <DigestMethod Algorithm="http://www.w3.org/2001/04/xmlenc#sha256"/>
        <DigestValue>1dNrF3tD9LJX8G/Fc3FI8U8bnSC7+GVeb9CRPCPwzJc=</DigestValue>
      </Reference>
      <Reference URI="/xl/worksheets/sheet28.xml?ContentType=application/vnd.openxmlformats-officedocument.spreadsheetml.worksheet+xml">
        <DigestMethod Algorithm="http://www.w3.org/2001/04/xmlenc#sha256"/>
        <DigestValue>SVEqkIxoXgdnQSZ706S+qotR+/JzLRbAMyS+iyGCxPk=</DigestValue>
      </Reference>
      <Reference URI="/xl/worksheets/sheet29.xml?ContentType=application/vnd.openxmlformats-officedocument.spreadsheetml.worksheet+xml">
        <DigestMethod Algorithm="http://www.w3.org/2001/04/xmlenc#sha256"/>
        <DigestValue>1X0C9gO/mBCpFsfSVJMNY/q5Ffx96SZDB6o696RQd8w=</DigestValue>
      </Reference>
      <Reference URI="/xl/worksheets/sheet3.xml?ContentType=application/vnd.openxmlformats-officedocument.spreadsheetml.worksheet+xml">
        <DigestMethod Algorithm="http://www.w3.org/2001/04/xmlenc#sha256"/>
        <DigestValue>dRfIDzfc/6ma3KL3MP57i/Hgr4GZpsHgWGyNJZD+POM=</DigestValue>
      </Reference>
      <Reference URI="/xl/worksheets/sheet4.xml?ContentType=application/vnd.openxmlformats-officedocument.spreadsheetml.worksheet+xml">
        <DigestMethod Algorithm="http://www.w3.org/2001/04/xmlenc#sha256"/>
        <DigestValue>LGXaYTUvUN507g8H1g88YSu2C8aL4f8rO1JapFie65s=</DigestValue>
      </Reference>
      <Reference URI="/xl/worksheets/sheet5.xml?ContentType=application/vnd.openxmlformats-officedocument.spreadsheetml.worksheet+xml">
        <DigestMethod Algorithm="http://www.w3.org/2001/04/xmlenc#sha256"/>
        <DigestValue>gTilRNora/Tm2rdK/jl7hrcZuIq47TJoaYwYNK1gdoA=</DigestValue>
      </Reference>
      <Reference URI="/xl/worksheets/sheet6.xml?ContentType=application/vnd.openxmlformats-officedocument.spreadsheetml.worksheet+xml">
        <DigestMethod Algorithm="http://www.w3.org/2001/04/xmlenc#sha256"/>
        <DigestValue>AiXIZ01+0fEvcWZXXOuofDcyMR2raSz0l14masdXdnk=</DigestValue>
      </Reference>
      <Reference URI="/xl/worksheets/sheet7.xml?ContentType=application/vnd.openxmlformats-officedocument.spreadsheetml.worksheet+xml">
        <DigestMethod Algorithm="http://www.w3.org/2001/04/xmlenc#sha256"/>
        <DigestValue>hbCSbNvitqo6DVwCundWUjhHwIgVwJUU20/E/I/zJ0c=</DigestValue>
      </Reference>
      <Reference URI="/xl/worksheets/sheet8.xml?ContentType=application/vnd.openxmlformats-officedocument.spreadsheetml.worksheet+xml">
        <DigestMethod Algorithm="http://www.w3.org/2001/04/xmlenc#sha256"/>
        <DigestValue>rdSc6DZhGn4+nHc7KA8iaaRNkfWxfay+eXGTX8r5R2U=</DigestValue>
      </Reference>
      <Reference URI="/xl/worksheets/sheet9.xml?ContentType=application/vnd.openxmlformats-officedocument.spreadsheetml.worksheet+xml">
        <DigestMethod Algorithm="http://www.w3.org/2001/04/xmlenc#sha256"/>
        <DigestValue>WeQg9ZFCch/XNxg1tKr4Rm8zuBBdGROS5c8ikD0FYME=</DigestValue>
      </Reference>
    </Manifest>
    <SignatureProperties>
      <SignatureProperty Id="idSignatureTime" Target="#idPackageSignature">
        <mdssi:SignatureTime xmlns:mdssi="http://schemas.openxmlformats.org/package/2006/digital-signature">
          <mdssi:Format>YYYY-MM-DDThh:mm:ssTZD</mdssi:Format>
          <mdssi:Value>2021-10-27T08:11:46Z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2021-10-27T08:11:46Z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C2A14ECB-D179-4E57-B9E0-823CF44C550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2021-10-25T09:54:29Z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