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68422C71-D611-4057-970A-CE57FA60AD1A}" xr6:coauthVersionLast="47" xr6:coauthVersionMax="47" xr10:uidLastSave="{00000000-0000-0000-0000-000000000000}"/>
  <bookViews>
    <workbookView xWindow="-120" yWindow="-120" windowWidth="20730" windowHeight="11160" tabRatio="919" firstSheet="21" activeTab="28"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87" l="1"/>
  <c r="C11" i="87"/>
  <c r="C12" i="87"/>
  <c r="C13" i="87"/>
  <c r="C14" i="87"/>
  <c r="C15" i="87"/>
  <c r="C17" i="87"/>
  <c r="C18" i="87"/>
  <c r="C19" i="87"/>
  <c r="C20" i="87"/>
  <c r="C21" i="87"/>
  <c r="C8" i="87"/>
  <c r="C9" i="86" l="1"/>
  <c r="C10" i="86"/>
  <c r="C11" i="86"/>
  <c r="C12" i="86"/>
  <c r="C13" i="86"/>
  <c r="C14" i="86"/>
  <c r="C15" i="86"/>
  <c r="C16" i="86"/>
  <c r="C17" i="86"/>
  <c r="C18" i="86"/>
  <c r="C8" i="86"/>
  <c r="H22" i="82"/>
  <c r="F22" i="82"/>
  <c r="E22" i="82"/>
  <c r="C15" i="72"/>
  <c r="D8" i="83" l="1"/>
  <c r="D7" i="83"/>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C27" i="86" l="1"/>
  <c r="E21" i="81" l="1"/>
  <c r="G21" i="81"/>
  <c r="G18" i="81" l="1"/>
  <c r="G15" i="81"/>
  <c r="C15" i="81"/>
  <c r="D31" i="80" l="1"/>
  <c r="G31" i="80"/>
  <c r="F31" i="80"/>
  <c r="D23" i="80"/>
  <c r="G23" i="80" s="1"/>
  <c r="G20" i="80"/>
  <c r="G19" i="80"/>
  <c r="G16" i="80" l="1"/>
  <c r="G13" i="80"/>
  <c r="G12" i="80"/>
  <c r="E15" i="80" l="1"/>
  <c r="D15" i="80"/>
  <c r="C15" i="80"/>
  <c r="G15" i="80" s="1"/>
  <c r="G9" i="80" l="1"/>
  <c r="F10" i="80"/>
  <c r="G10" i="80" s="1"/>
  <c r="E22" i="62" l="1"/>
  <c r="E23" i="62"/>
  <c r="E24" i="62"/>
  <c r="E25" i="62"/>
  <c r="E26" i="62"/>
  <c r="E27" i="62"/>
  <c r="E28" i="62"/>
  <c r="E29" i="62"/>
  <c r="E30" i="62"/>
  <c r="F40" i="62" l="1"/>
  <c r="C40" i="62"/>
  <c r="C22" i="86" l="1"/>
  <c r="G34" i="80" l="1"/>
  <c r="G35" i="80"/>
  <c r="C45" i="69"/>
  <c r="F22" i="75" l="1"/>
  <c r="G7" i="75"/>
  <c r="F7" i="75"/>
  <c r="D7" i="75"/>
  <c r="C7" i="75"/>
  <c r="G32" i="75"/>
  <c r="F32" i="75"/>
  <c r="D32" i="75"/>
  <c r="C32" i="75"/>
  <c r="G40" i="75"/>
  <c r="F40" i="75"/>
  <c r="D40" i="75"/>
  <c r="C40" i="75"/>
  <c r="O19" i="92" l="1"/>
  <c r="I8" i="92"/>
  <c r="I9" i="92"/>
  <c r="I10" i="92"/>
  <c r="I11" i="92"/>
  <c r="I12" i="92"/>
  <c r="I13" i="92"/>
  <c r="I14" i="92"/>
  <c r="I15" i="92"/>
  <c r="I16" i="92"/>
  <c r="I17" i="92"/>
  <c r="I18" i="92"/>
  <c r="I7" i="92"/>
  <c r="K19" i="92"/>
  <c r="L19" i="92"/>
  <c r="M19" i="92"/>
  <c r="N19" i="92"/>
  <c r="J19" i="92"/>
  <c r="E19" i="92"/>
  <c r="F19" i="92"/>
  <c r="G19" i="92"/>
  <c r="H19" i="92"/>
  <c r="D19" i="92"/>
  <c r="C8" i="92"/>
  <c r="C9" i="92"/>
  <c r="C10" i="92"/>
  <c r="C11" i="92"/>
  <c r="C12" i="92"/>
  <c r="C13" i="92"/>
  <c r="C14" i="92"/>
  <c r="C15" i="92"/>
  <c r="C16" i="92"/>
  <c r="C17" i="92"/>
  <c r="C18" i="92"/>
  <c r="C7" i="92"/>
  <c r="C19" i="92" l="1"/>
  <c r="I19" i="92"/>
  <c r="E10" i="87" l="1"/>
  <c r="F10" i="87"/>
  <c r="G10" i="87"/>
  <c r="H10" i="87"/>
  <c r="I10" i="87"/>
  <c r="J10" i="87"/>
  <c r="K10" i="87"/>
  <c r="L10" i="87"/>
  <c r="M10" i="87"/>
  <c r="N10" i="87"/>
  <c r="O10" i="87"/>
  <c r="P10" i="87"/>
  <c r="D10" i="87"/>
  <c r="C10" i="87" l="1"/>
  <c r="D15" i="86"/>
  <c r="J33" i="88" l="1"/>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H21" i="81" l="1"/>
  <c r="G27" i="80" l="1"/>
  <c r="G26" i="80"/>
  <c r="G36" i="80"/>
  <c r="E9" i="37" l="1"/>
  <c r="J23" i="36" l="1"/>
  <c r="I23" i="36"/>
  <c r="K23" i="36" s="1"/>
  <c r="G23" i="36"/>
  <c r="F23" i="36"/>
  <c r="D21" i="36"/>
  <c r="F21" i="36"/>
  <c r="G21" i="36"/>
  <c r="I21" i="36"/>
  <c r="J21" i="36"/>
  <c r="C21" i="36"/>
  <c r="J16" i="36"/>
  <c r="I16" i="36"/>
  <c r="I24" i="36" s="1"/>
  <c r="G16" i="36"/>
  <c r="F16" i="36"/>
  <c r="C16" i="36"/>
  <c r="D16" i="36"/>
  <c r="J24" i="36" l="1"/>
  <c r="K24" i="36" s="1"/>
  <c r="K25" i="36" s="1"/>
  <c r="F24" i="36"/>
  <c r="H24" i="36" s="1"/>
  <c r="G24" i="36"/>
  <c r="G25" i="36" s="1"/>
  <c r="J25" i="36"/>
  <c r="I25" i="36"/>
  <c r="H23" i="36"/>
  <c r="F25" i="36" l="1"/>
  <c r="H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B2" i="71" l="1"/>
  <c r="G14" i="62" l="1"/>
  <c r="F14" i="62"/>
  <c r="C22" i="75" l="1"/>
  <c r="D14" i="62"/>
  <c r="C14" i="62"/>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E32" i="75" s="1"/>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E16" i="75" s="1"/>
  <c r="H15" i="75"/>
  <c r="E15" i="75"/>
  <c r="H14" i="75"/>
  <c r="E14" i="75"/>
  <c r="H13" i="75"/>
  <c r="E13" i="75"/>
  <c r="H12" i="75"/>
  <c r="E12" i="75"/>
  <c r="H11" i="75"/>
  <c r="E11" i="75"/>
  <c r="H10" i="75"/>
  <c r="E10" i="75"/>
  <c r="H9" i="75"/>
  <c r="E9" i="75"/>
  <c r="H8" i="75"/>
  <c r="E8" i="75"/>
  <c r="E19" i="75" l="1"/>
  <c r="H32" i="75"/>
  <c r="H7" i="75"/>
  <c r="H19" i="75"/>
  <c r="E7" i="75"/>
  <c r="H40" i="75"/>
  <c r="E40" i="75"/>
  <c r="G61" i="53"/>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<sst xmlns="http://schemas.openxmlformats.org/spreadsheetml/2006/main" count="1173" uniqueCount="783">
  <si>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</si>
  <si>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</si>
  <si>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</si>
  <si>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</si>
  <si>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</si>
  <si>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</si>
  <si>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</si>
  <si>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</si>
  <si>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</si>
  <si>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</si>
  <si>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</si>
  <si>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</si>
  <si>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</si>
  <si>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</si>
  <si>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</si>
  <si>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</si>
  <si>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</si>
  <si>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</si>
  <si>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</si>
  <si>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</si>
  <si>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</si>
  <si>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</si>
  <si>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</si>
  <si>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</si>
  <si>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</si>
  <si>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</si>
  <si>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</si>
  <si>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</si>
  <si>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</si>
  <si>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</si>
  <si>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</si>
  <si>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</si>
  <si>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</si>
  <si>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</si>
  <si>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</si>
  <si>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</si>
  <si>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</si>
  <si>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</si>
  <si>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</si>
  <si>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</si>
  <si>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</si>
  <si>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</si>
  <si>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</si>
  <si>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</si>
  <si>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</si>
  <si>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</si>
  <si>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</si>
  <si>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</si>
  <si>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</si>
  <si>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</si>
  <si>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</si>
  <si>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</si>
  <si>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</si>
  <si>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</si>
  <si>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</si>
  <si>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</si>
  <si>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</si>
  <si>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</si>
  <si>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</si>
  <si>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</si>
  <si>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</si>
  <si>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</si>
  <si>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</si>
  <si>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</si>
  <si>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</si>
  <si>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</si>
  <si>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</si>
  <si>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</si>
  <si>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</si>
  <si>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</si>
  <si>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</si>
  <si>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</si>
  <si>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</si>
  <si>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</si>
  <si>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</si>
  <si>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</si>
  <si>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</si>
  <si>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</si>
  <si>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</si>
  <si>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</si>
  <si>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</si>
  <si>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</si>
  <si>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</si>
  <si>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</si>
  <si>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</si>
  <si>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</si>
  <si>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</si>
  <si>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</si>
  <si>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</si>
  <si>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</si>
  <si>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</si>
  <si>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</si>
  <si>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</si>
  <si>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</si>
  <si>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</si>
  <si>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</si>
  <si>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</si>
  <si>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</si>
  <si>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</si>
  <si>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</si>
  <si>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</si>
  <si>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</si>
  <si>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</si>
  <si>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</si>
  <si>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</si>
  <si>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</si>
  <si>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</si>
  <si>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</si>
  <si>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</si>
  <si>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</si>
  <si>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</si>
  <si>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</si>
  <si>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</si>
  <si>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</si>
  <si>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</si>
  <si>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</si>
  <si>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</si>
  <si>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</si>
  <si>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</si>
  <si>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</si>
  <si>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</si>
  <si>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</si>
  <si>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</si>
  <si>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</si>
  <si>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</si>
  <si>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</si>
  <si>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</si>
  <si>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</si>
  <si>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</si>
  <si>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</si>
  <si>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</si>
  <si>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</si>
  <si>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</si>
  <si>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</si>
  <si>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</si>
  <si>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</si>
  <si>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</si>
  <si>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</si>
  <si>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</si>
  <si>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</si>
  <si>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</si>
  <si>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</si>
  <si>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</si>
  <si>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</si>
  <si>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</si>
  <si>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</si>
  <si>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</si>
  <si>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</si>
  <si>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</si>
  <si>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</si>
  <si>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</si>
  <si>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</si>
  <si>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</si>
  <si>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</si>
  <si>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</si>
  <si>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</si>
  <si>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</si>
  <si>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</si>
  <si>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</si>
  <si>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</si>
  <si>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</si>
  <si>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</si>
  <si>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</si>
  <si>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</si>
  <si>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</si>
  <si>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</si>
  <si>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</si>
  <si>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</si>
  <si>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</si>
  <si>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</si>
  <si>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</si>
  <si>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</si>
  <si>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</si>
  <si>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</si>
  <si>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</si>
  <si>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</si>
  <si>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</si>
  <si>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</si>
  <si>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</si>
  <si>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</si>
  <si>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</si>
  <si>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</si>
  <si>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</si>
  <si>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</si>
  <si>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</si>
  <si>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</si>
  <si>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</si>
  <si>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</si>
  <si>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</si>
  <si>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</si>
  <si>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</si>
  <si>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</si>
  <si>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</si>
  <si>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</si>
  <si>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</si>
  <si>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</si>
  <si>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</si>
  <si>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</si>
  <si>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</si>
  <si>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</si>
  <si>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</si>
  <si>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</si>
  <si>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</si>
  <si>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</si>
  <si>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</si>
  <si>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</si>
  <si>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</si>
  <si>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</si>
  <si>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</si>
  <si>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</si>
  <si>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</si>
  <si>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</si>
  <si>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</si>
  <si>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</si>
  <si>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</si>
  <si>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</si>
  <si>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</si>
  <si>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</si>
  <si>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</si>
  <si>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</si>
  <si>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</si>
  <si>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</si>
  <si>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</si>
  <si>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</si>
  <si>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</si>
  <si>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</si>
  <si>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</si>
  <si>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</si>
  <si>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</si>
  <si>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</si>
  <si>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</si>
  <si>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</si>
  <si>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</si>
  <si>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</si>
  <si>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</si>
  <si>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</si>
  <si>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</si>
  <si>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</si>
  <si>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</si>
  <si>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</si>
  <si>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</si>
  <si>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</si>
  <si>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</si>
  <si>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</si>
  <si>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</si>
  <si>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</si>
  <si>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</si>
  <si>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</si>
  <si>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</si>
  <si>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</si>
  <si>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</si>
  <si>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</si>
  <si>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</si>
  <si>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</si>
  <si>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</si>
  <si>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</si>
  <si>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</si>
  <si>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</si>
  <si>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</si>
  <si>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</si>
  <si>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</si>
  <si>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</si>
  <si>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</si>
  <si>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</si>
  <si>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</si>
  <si>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</si>
  <si>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</si>
  <si>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</si>
  <si>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</si>
  <si>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</si>
  <si>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</si>
  <si>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</si>
  <si>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</si>
  <si>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</si>
  <si>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</si>
  <si>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</si>
  <si>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</si>
  <si>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</si>
  <si>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</si>
  <si>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</si>
  <si>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</si>
  <si>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</si>
  <si>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</si>
  <si>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</si>
  <si>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</si>
  <si>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</si>
  <si>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</si>
  <si>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</si>
  <si>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</si>
  <si>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</si>
  <si>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</si>
  <si>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</si>
  <si>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</si>
  <si>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</si>
  <si>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</si>
  <si>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</si>
  <si>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</si>
  <si>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</si>
  <si>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</si>
  <si>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</si>
  <si>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</si>
  <si>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</si>
  <si>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</si>
  <si>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</si>
  <si>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</si>
  <si>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</si>
  <si>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</si>
  <si>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</si>
  <si>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</si>
  <si>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</si>
  <si>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</si>
  <si>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</si>
  <si>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</si>
  <si>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</si>
  <si>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</si>
  <si>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</si>
  <si>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</si>
  <si>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</si>
  <si>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</si>
  <si>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</si>
  <si>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</si>
  <si>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</si>
  <si>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</si>
  <si>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</si>
  <si>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</si>
  <si>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</si>
  <si>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</si>
  <si>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</si>
  <si>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</si>
  <si>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</si>
  <si>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</si>
  <si>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</si>
  <si>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</si>
  <si>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</si>
  <si>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</si>
  <si>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</si>
  <si>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</si>
  <si>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</si>
  <si>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</si>
  <si>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</si>
  <si>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</si>
  <si>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</si>
  <si>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</si>
  <si>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</si>
  <si>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</si>
  <si>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</si>
  <si>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</si>
  <si>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</si>
  <si>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</si>
  <si>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</si>
  <si>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</si>
  <si>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</si>
  <si>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</si>
  <si>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</si>
  <si>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</si>
  <si>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</si>
  <si>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</si>
  <si>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</si>
  <si>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</si>
  <si>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</si>
  <si>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</si>
  <si>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</si>
  <si>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</si>
  <si>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</si>
  <si>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</si>
  <si>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</si>
  <si>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</si>
  <si>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</si>
  <si>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</si>
  <si>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</si>
  <si>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</si>
  <si>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</si>
  <si>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</si>
  <si>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</si>
  <si>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</si>
  <si>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</si>
  <si>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</si>
  <si>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</si>
  <si>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</si>
  <si>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</si>
  <si>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</si>
  <si>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</si>
  <si>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</si>
  <si>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</si>
  <si>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</si>
  <si>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</si>
  <si>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</si>
  <si>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</si>
  <si>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</si>
  <si>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</si>
  <si>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</si>
  <si>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</si>
  <si>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</si>
  <si>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</si>
  <si>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</si>
  <si>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</si>
  <si>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</si>
  <si>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</si>
  <si>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</si>
  <si>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</si>
  <si>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</si>
  <si>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</si>
  <si>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</si>
  <si>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</si>
  <si>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</si>
  <si>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</si>
  <si>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</si>
  <si>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</si>
  <si>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</si>
  <si>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</si>
  <si>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</si>
  <si>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</si>
  <si>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</si>
  <si>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</si>
  <si>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</si>
  <si>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</si>
  <si>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</si>
  <si>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</si>
  <si>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</si>
  <si>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</si>
  <si>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</si>
  <si>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</si>
  <si>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</si>
  <si>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</si>
  <si>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</si>
  <si>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</si>
  <si>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</si>
  <si>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</si>
  <si>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</si>
  <si>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</si>
  <si>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</si>
  <si>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</si>
  <si>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</si>
  <si>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</si>
  <si>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</si>
  <si>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</si>
  <si>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</si>
  <si>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</si>
  <si>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</si>
  <si>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</si>
  <si>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</si>
  <si>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</si>
  <si>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</si>
  <si>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</si>
  <si>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</si>
  <si>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</si>
  <si>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</si>
  <si>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</si>
  <si>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</si>
  <si>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</si>
  <si>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</si>
  <si>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</si>
  <si>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</si>
  <si>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</si>
  <si>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</si>
  <si>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</si>
  <si>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</si>
  <si>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</si>
  <si>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</si>
  <si>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</si>
  <si>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</si>
  <si>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</si>
  <si>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</si>
  <si>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</si>
  <si>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</si>
  <si>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</si>
  <si>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</si>
  <si>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</si>
  <si>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</si>
  <si>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</si>
  <si>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</si>
  <si>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</si>
  <si>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</si>
  <si>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</si>
  <si>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</si>
  <si>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</si>
  <si>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</si>
  <si>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</si>
  <si>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</si>
  <si>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</si>
  <si>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</si>
  <si>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</si>
  <si>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</si>
  <si>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</si>
  <si>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</si>
  <si>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</si>
  <si>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</si>
  <si>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</si>
  <si>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</si>
  <si>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</si>
  <si>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</si>
  <si>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</si>
  <si>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</si>
  <si>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</si>
  <si>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</si>
  <si>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</si>
  <si>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</si>
  <si>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</si>
  <si>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</si>
  <si>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</si>
  <si>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</si>
  <si>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</si>
  <si>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</si>
  <si>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</si>
  <si>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</si>
  <si>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</si>
  <si>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</si>
  <si>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</si>
  <si>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</si>
  <si>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</si>
  <si>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</si>
  <si>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</si>
  <si>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</si>
  <si>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</si>
  <si>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</si>
  <si>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</si>
  <si>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</si>
  <si>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</si>
  <si>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</si>
  <si>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</si>
  <si>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</si>
  <si>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</si>
  <si>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</si>
  <si>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</si>
  <si>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</si>
  <si>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</si>
  <si>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</si>
  <si>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</si>
  <si>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</si>
  <si>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</si>
  <si>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</si>
  <si>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</si>
  <si>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</si>
  <si>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</si>
  <si>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</si>
  <si>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</si>
  <si>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</si>
  <si>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</si>
  <si>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</si>
  <si>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</si>
  <si>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</si>
  <si>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</si>
  <si>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</si>
  <si>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</si>
  <si>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</si>
  <si>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</si>
  <si>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</si>
  <si>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</si>
  <si>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</si>
  <si>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</si>
  <si>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</si>
  <si>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</si>
  <si>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</si>
  <si>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</si>
  <si>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</si>
  <si>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</si>
  <si>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</si>
  <si>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</si>
  <si>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</si>
  <si>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</si>
  <si>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</si>
  <si>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</si>
  <si>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</si>
  <si>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</si>
  <si>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</si>
  <si>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</si>
  <si>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</si>
  <si>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</si>
  <si>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</si>
  <si>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</si>
  <si>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</si>
  <si>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</si>
  <si>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</si>
  <si>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</si>
  <si>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</si>
  <si>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</si>
  <si>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</si>
  <si>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</si>
  <si>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</si>
  <si>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</si>
  <si>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</si>
  <si>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</si>
  <si>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</si>
  <si>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</si>
  <si>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</si>
  <si>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</si>
  <si>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</si>
  <si>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</si>
  <si>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</si>
  <si>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</si>
  <si>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</si>
  <si>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</si>
  <si>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</si>
  <si>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</si>
  <si>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</si>
  <si>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</si>
  <si>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</si>
  <si>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</si>
  <si>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</si>
  <si>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</si>
  <si>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</si>
  <si>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</si>
  <si>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</si>
  <si>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</si>
  <si>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</si>
  <si>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</si>
  <si>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</si>
  <si>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</si>
  <si>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</si>
  <si>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</si>
  <si>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</si>
  <si>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</si>
  <si>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</si>
  <si>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</si>
  <si>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</si>
  <si>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</si>
  <si>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</si>
  <si>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</si>
  <si>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</si>
  <si>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</si>
  <si>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</si>
  <si>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</si>
  <si>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</si>
  <si>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</si>
  <si>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</si>
  <si>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</si>
  <si>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</si>
  <si>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</si>
  <si>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</si>
  <si>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</si>
  <si>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</si>
  <si>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</si>
  <si>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</si>
  <si>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</si>
  <si>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</si>
  <si>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</si>
  <si>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</si>
  <si>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</si>
  <si>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</si>
  <si>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</si>
  <si>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</si>
  <si>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</si>
  <si>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</si>
  <si>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</si>
  <si>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</si>
  <si>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</si>
  <si>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</si>
  <si>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</si>
  <si>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</si>
  <si>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</si>
  <si>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</si>
  <si>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</si>
  <si>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</si>
  <si>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</si>
  <si>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</si>
  <si>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</si>
  <si>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</si>
  <si>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</si>
  <si>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</si>
  <si>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</si>
  <si>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</si>
  <si>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</si>
  <si>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</si>
  <si>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</si>
  <si>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</si>
  <si>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</si>
  <si>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</si>
  <si>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</si>
  <si>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</si>
  <si>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</si>
  <si>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</si>
  <si>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</si>
  <si>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</si>
  <si>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</si>
  <si>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</si>
  <si>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</si>
  <si>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</si>
  <si>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</si>
  <si>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</si>
  <si>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</si>
  <si>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</si>
  <si>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</si>
  <si>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</si>
  <si>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</si>
  <si>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</si>
  <si>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</si>
  <si>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</si>
  <si>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</si>
  <si>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</si>
  <si>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</si>
  <si>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</si>
  <si>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</si>
  <si>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</si>
  <si>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</si>
  <si>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</si>
  <si>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</si>
  <si>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</si>
  <si>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</si>
  <si>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</si>
  <si>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</si>
  <si>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</si>
  <si>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</si>
  <si>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</si>
  <si>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</si>
  <si>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</si>
  <si>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</si>
  <si>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</si>
  <si>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</si>
  <si>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</si>
  <si>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</si>
  <si>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</si>
  <si>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</si>
  <si>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</si>
  <si>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</si>
  <si>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</si>
  <si>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</si>
  <si>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</si>
  <si>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</si>
  <si>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</si>
  <si>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</si>
  <si>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</si>
  <si>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</si>
  <si>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</si>
  <si>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</si>
  <si>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</si>
  <si>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</si>
  <si>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</si>
  <si>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</si>
  <si>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</si>
  <si>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</si>
  <si>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</si>
  <si>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</si>
  <si>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</si>
  <si>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</si>
  <si>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</si>
  <si>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</si>
  <si>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</si>
  <si>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</si>
  <si>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</si>
  <si>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</si>
  <si>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</si>
  <si>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</si>
  <si>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</si>
  <si>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</si>
  <si>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</si>
  <si>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</si>
  <si>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</si>
  <si>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</si>
  <si>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</si>
  <si>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</si>
  <si>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</si>
  <si>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</si>
  <si>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</si>
  <si>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</si>
  <si>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</si>
  <si>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</si>
  <si>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</si>
  <si>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</si>
  <si>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</si>
  <si>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</si>
  <si>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</si>
  <si>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</si>
  <si>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</si>
  <si>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</si>
  <si>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</si>
  <si>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</si>
  <si>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</si>
  <si>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</si>
  <si>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</si>
  <si>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</si>
  <si>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</si>
  <si>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</si>
  <si>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</si>
  <si>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</si>
  <si>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</si>
  <si>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</si>
  <si>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</si>
  <si>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</si>
  <si>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</si>
  <si>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Agence Francaise de developpement</t>
  </si>
  <si>
    <t>Farah, Katia Chams (Netherlands)</t>
  </si>
  <si>
    <t>გიორგი ნადარეიშვილი</t>
  </si>
  <si>
    <t>რისკების დირექტორი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</si>
</sst>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0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Fill="1" applyBorder="1" applyAlignment="1">
      <alignment horizontal="center" vertical="center"/>
    </xf>
    <xf numFmtId="0" fontId="4" fillId="0" borderId="100"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2"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2"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applyAlignment="1"/>
    <xf numFmtId="0" fontId="9" fillId="0" borderId="100" xfId="0" applyFont="1" applyBorder="1" applyAlignment="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2"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6"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Fill="1" applyBorder="1" applyAlignment="1" applyProtection="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43" fontId="4" fillId="0" borderId="3" xfId="7" applyFont="1" applyBorder="1" applyAlignment="1"/>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164" fontId="116" fillId="0" borderId="0" xfId="0" applyNumberFormat="1" applyFont="1" applyFill="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Fill="1" applyBorder="1" applyAlignment="1">
      <alignment horizontal="left" vertical="center" wrapText="1"/>
    </xf>
    <xf numFmtId="164" fontId="119" fillId="0" borderId="87" xfId="0" applyNumberFormat="1" applyFont="1" applyBorder="1"/>
    <xf numFmtId="164" fontId="119" fillId="0" borderId="87" xfId="0" applyNumberFormat="1" applyFont="1" applyFill="1" applyBorder="1"/>
    <xf numFmtId="164" fontId="116" fillId="0" borderId="87" xfId="7" applyNumberFormat="1" applyFont="1" applyBorder="1" applyAlignment="1">
      <alignment horizontal="left" indent="1"/>
    </xf>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116" fillId="0" borderId="82" xfId="0" applyFont="1" applyBorder="1" applyAlignment="1">
      <alignment horizontal="center" vertical="center" wrapText="1"/>
    </xf>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Fill="1" applyBorder="1" applyAlignment="1">
      <alignment wrapText="1"/>
    </xf>
    <xf numFmtId="193" fontId="9" fillId="0" borderId="82" xfId="0" applyNumberFormat="1" applyFont="1" applyFill="1" applyBorder="1" applyAlignment="1" applyProtection="1">
      <alignment vertical="center"/>
      <protection locked="0"/>
    </xf>
    <xf numFmtId="0" fontId="115" fillId="0" borderId="0" xfId="11" applyFont="1"/>
    <xf numFmtId="0" fontId="117" fillId="0" borderId="0" xfId="11" applyFont="1"/>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4" fillId="0" borderId="87" xfId="20961" applyNumberFormat="1" applyFont="1" applyBorder="1"/>
    <xf numFmtId="43" fontId="124" fillId="0" borderId="87" xfId="7" applyNumberFormat="1" applyFont="1" applyBorder="1"/>
    <xf numFmtId="10" fontId="128" fillId="0" borderId="87" xfId="20961" applyNumberFormat="1" applyFont="1" applyBorder="1" applyAlignment="1">
      <alignment horizontal="center"/>
    </xf>
    <xf numFmtId="43" fontId="124" fillId="0" borderId="87" xfId="7" applyNumberFormat="1" applyFont="1" applyBorder="1" applyAlignment="1">
      <alignment horizontal="center"/>
    </xf>
    <xf numFmtId="43" fontId="124" fillId="0" borderId="82" xfId="7" applyNumberFormat="1" applyFont="1" applyBorder="1" applyAlignment="1">
      <alignment horizontal="center"/>
    </xf>
    <xf numFmtId="43" fontId="128" fillId="0" borderId="87" xfId="7" applyNumberFormat="1" applyFont="1" applyBorder="1" applyAlignment="1">
      <alignment horizontal="center"/>
    </xf>
    <xf numFmtId="9" fontId="124" fillId="0" borderId="87" xfId="20961" applyNumberFormat="1" applyFont="1" applyBorder="1" applyAlignment="1">
      <alignment horizontal="center"/>
    </xf>
    <xf numFmtId="9" fontId="124" fillId="0" borderId="87" xfId="20961" applyNumberFormat="1" applyFont="1" applyBorder="1"/>
    <xf numFmtId="9" fontId="124" fillId="0" borderId="82" xfId="20961" applyNumberFormat="1" applyFont="1" applyBorder="1" applyAlignment="1">
      <alignment horizontal="center"/>
    </xf>
    <xf numFmtId="9" fontId="9" fillId="0" borderId="26" xfId="20961" applyNumberFormat="1" applyFont="1" applyFill="1" applyBorder="1" applyAlignment="1" applyProtection="1">
      <alignment vertical="center"/>
      <protection locked="0"/>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164" fontId="6" fillId="0" borderId="87" xfId="7" applyNumberFormat="1" applyFont="1" applyFill="1" applyBorder="1"/>
    <xf numFmtId="164" fontId="6" fillId="0" borderId="87" xfId="7" applyNumberFormat="1" applyFont="1" applyFill="1" applyBorder="1" applyAlignment="1">
      <alignment vertical="center"/>
    </xf>
    <xf numFmtId="43" fontId="116" fillId="0" borderId="0" xfId="7" applyNumberFormat="1" applyFont="1"/>
    <xf numFmtId="43" fontId="116" fillId="0" borderId="0" xfId="0" applyNumberFormat="1" applyFont="1"/>
    <xf numFmtId="164" fontId="116" fillId="0" borderId="0" xfId="7" applyNumberFormat="1" applyFont="1"/>
    <xf numFmtId="43" fontId="119" fillId="0" borderId="0" xfId="0" applyNumberFormat="1" applyFont="1"/>
    <xf numFmtId="193" fontId="9" fillId="0" borderId="87" xfId="0" applyNumberFormat="1" applyFont="1" applyFill="1" applyBorder="1" applyAlignment="1" applyProtection="1">
      <alignment vertical="center"/>
      <protection locked="0"/>
    </xf>
    <xf numFmtId="165" fontId="9" fillId="0" borderId="87" xfId="20961" applyNumberFormat="1" applyFont="1" applyFill="1" applyBorder="1" applyAlignment="1" applyProtection="1">
      <alignment vertical="center"/>
      <protection locked="0"/>
    </xf>
    <xf numFmtId="10" fontId="116" fillId="0" borderId="0" xfId="20961" applyNumberFormat="1" applyFont="1"/>
    <xf numFmtId="166" fontId="115" fillId="36" borderId="125" xfId="21413" applyFont="1" applyFill="1" applyBorder="1"/>
    <xf numFmtId="43" fontId="116" fillId="0" borderId="0" xfId="0" applyNumberFormat="1" applyFont="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9"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9"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3" t="s">
        <v>253</v>
      </c>
      <c r="C1" s="91"/>
    </row>
    <row r="2" spans="1:3" s="180" customFormat="1" ht="15.75">
      <c r="A2" s="226">
        <v>1</v>
      </c>
      <c r="B2" s="181" t="s">
        <v>254</v>
      </c>
      <c r="C2" s="602" t="s">
        <v>739</v>
      </c>
    </row>
    <row r="3" spans="1:3" s="180" customFormat="1" ht="15.75">
      <c r="A3" s="226">
        <v>2</v>
      </c>
      <c r="B3" s="182" t="s">
        <v>255</v>
      </c>
      <c r="C3" s="603" t="s">
        <v>740</v>
      </c>
    </row>
    <row r="4" spans="1:3" s="180" customFormat="1" ht="15.75">
      <c r="A4" s="226">
        <v>3</v>
      </c>
      <c r="B4" s="182" t="s">
        <v>256</v>
      </c>
      <c r="C4" s="603" t="s">
        <v>741</v>
      </c>
    </row>
    <row r="5" spans="1:3" s="180" customFormat="1" ht="15.75">
      <c r="A5" s="227">
        <v>4</v>
      </c>
      <c r="B5" s="185" t="s">
        <v>257</v>
      </c>
      <c r="C5" s="397" t="s">
        <v>742</v>
      </c>
    </row>
    <row r="6" spans="1:3" s="184" customFormat="1" ht="65.25" customHeight="1">
      <c r="A6" s="699" t="s">
        <v>370</v>
      </c>
      <c r="B6" s="700"/>
      <c r="C6" s="700"/>
    </row>
    <row r="7" spans="1:3">
      <c r="A7" s="391" t="s">
        <v>326</v>
      </c>
      <c r="B7" s="392" t="s">
        <v>258</v>
      </c>
    </row>
    <row r="8" spans="1:3">
      <c r="A8" s="393">
        <v>1</v>
      </c>
      <c r="B8" s="389" t="s">
        <v>223</v>
      </c>
    </row>
    <row r="9" spans="1:3">
      <c r="A9" s="393">
        <v>2</v>
      </c>
      <c r="B9" s="389" t="s">
        <v>259</v>
      </c>
    </row>
    <row r="10" spans="1:3">
      <c r="A10" s="393">
        <v>3</v>
      </c>
      <c r="B10" s="389" t="s">
        <v>260</v>
      </c>
    </row>
    <row r="11" spans="1:3">
      <c r="A11" s="393">
        <v>4</v>
      </c>
      <c r="B11" s="389" t="s">
        <v>261</v>
      </c>
      <c r="C11" s="179"/>
    </row>
    <row r="12" spans="1:3">
      <c r="A12" s="393">
        <v>5</v>
      </c>
      <c r="B12" s="389" t="s">
        <v>187</v>
      </c>
    </row>
    <row r="13" spans="1:3">
      <c r="A13" s="393">
        <v>6</v>
      </c>
      <c r="B13" s="394" t="s">
        <v>149</v>
      </c>
    </row>
    <row r="14" spans="1:3">
      <c r="A14" s="393">
        <v>7</v>
      </c>
      <c r="B14" s="389" t="s">
        <v>262</v>
      </c>
    </row>
    <row r="15" spans="1:3">
      <c r="A15" s="393">
        <v>8</v>
      </c>
      <c r="B15" s="389" t="s">
        <v>265</v>
      </c>
    </row>
    <row r="16" spans="1:3">
      <c r="A16" s="393">
        <v>9</v>
      </c>
      <c r="B16" s="389" t="s">
        <v>88</v>
      </c>
    </row>
    <row r="17" spans="1:2">
      <c r="A17" s="395" t="s">
        <v>417</v>
      </c>
      <c r="B17" s="389" t="s">
        <v>397</v>
      </c>
    </row>
    <row r="18" spans="1:2">
      <c r="A18" s="393">
        <v>10</v>
      </c>
      <c r="B18" s="389" t="s">
        <v>268</v>
      </c>
    </row>
    <row r="19" spans="1:2">
      <c r="A19" s="393">
        <v>11</v>
      </c>
      <c r="B19" s="394" t="s">
        <v>249</v>
      </c>
    </row>
    <row r="20" spans="1:2">
      <c r="A20" s="393">
        <v>12</v>
      </c>
      <c r="B20" s="394" t="s">
        <v>246</v>
      </c>
    </row>
    <row r="21" spans="1:2">
      <c r="A21" s="393">
        <v>13</v>
      </c>
      <c r="B21" s="396" t="s">
        <v>361</v>
      </c>
    </row>
    <row r="22" spans="1:2">
      <c r="A22" s="393">
        <v>14</v>
      </c>
      <c r="B22" s="397" t="s">
        <v>391</v>
      </c>
    </row>
    <row r="23" spans="1:2">
      <c r="A23" s="398">
        <v>15</v>
      </c>
      <c r="B23" s="394" t="s">
        <v>77</v>
      </c>
    </row>
    <row r="24" spans="1:2">
      <c r="A24" s="398">
        <v>15.1</v>
      </c>
      <c r="B24" s="389" t="s">
        <v>426</v>
      </c>
    </row>
    <row r="25" spans="1:2">
      <c r="A25" s="398">
        <v>16</v>
      </c>
      <c r="B25" s="389" t="s">
        <v>494</v>
      </c>
    </row>
    <row r="26" spans="1:2">
      <c r="A26" s="398">
        <v>17</v>
      </c>
      <c r="B26" s="389" t="s">
        <v>703</v>
      </c>
    </row>
    <row r="27" spans="1:2">
      <c r="A27" s="398">
        <v>18</v>
      </c>
      <c r="B27" s="389" t="s">
        <v>712</v>
      </c>
    </row>
    <row r="28" spans="1:2">
      <c r="A28" s="398">
        <v>19</v>
      </c>
      <c r="B28" s="389" t="s">
        <v>713</v>
      </c>
    </row>
    <row r="29" spans="1:2">
      <c r="A29" s="398">
        <v>20</v>
      </c>
      <c r="B29" s="397" t="s">
        <v>589</v>
      </c>
    </row>
    <row r="30" spans="1:2">
      <c r="A30" s="398">
        <v>21</v>
      </c>
      <c r="B30" s="389" t="s">
        <v>607</v>
      </c>
    </row>
    <row r="31" spans="1:2">
      <c r="A31" s="398">
        <v>22</v>
      </c>
      <c r="B31" s="588" t="s">
        <v>624</v>
      </c>
    </row>
    <row r="32" spans="1:2" ht="26.25">
      <c r="A32" s="398">
        <v>23</v>
      </c>
      <c r="B32" s="588" t="s">
        <v>704</v>
      </c>
    </row>
    <row r="33" spans="1:2">
      <c r="A33" s="398">
        <v>24</v>
      </c>
      <c r="B33" s="389" t="s">
        <v>705</v>
      </c>
    </row>
    <row r="34" spans="1:2">
      <c r="A34" s="398">
        <v>25</v>
      </c>
      <c r="B34" s="389" t="s">
        <v>706</v>
      </c>
    </row>
    <row r="35" spans="1:2">
      <c r="A35" s="393">
        <v>26</v>
      </c>
      <c r="B35" s="397"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20" activePane="bottomRight" state="frozen"/>
      <selection pane="topRight" activeCell="B1" sqref="B1"/>
      <selection pane="bottomLeft" activeCell="A5" sqref="A5"/>
      <selection pane="bottomRight" activeCell="C28" activeCellId="1" sqref="C52 C28"/>
    </sheetView>
  </sheetViews>
  <sheetFormatPr defaultRowHeight="15"/>
  <cols>
    <col min="1" max="1" width="9.5703125" style="5" bestFit="1" customWidth="1"/>
    <col min="2" max="2" width="132.42578125" style="2" customWidth="1"/>
    <col min="3" max="3" width="18.42578125" style="2" customWidth="1"/>
  </cols>
  <sheetData>
    <row r="1" spans="1:6" ht="15.75">
      <c r="A1" s="17" t="s">
        <v>188</v>
      </c>
      <c r="B1" s="16" t="str">
        <f>Info!C2</f>
        <v>სს "კრედო ბანკი"</v>
      </c>
      <c r="D1" s="2"/>
      <c r="E1" s="2"/>
      <c r="F1" s="2"/>
    </row>
    <row r="2" spans="1:6" s="21" customFormat="1" ht="15.75" customHeight="1">
      <c r="A2" s="21" t="s">
        <v>189</v>
      </c>
      <c r="B2" s="472">
        <f>'1. key ratios'!B2</f>
        <v>44561</v>
      </c>
    </row>
    <row r="3" spans="1:6" s="21" customFormat="1" ht="15.75" customHeight="1"/>
    <row r="4" spans="1:6" ht="15.75" thickBot="1">
      <c r="A4" s="5" t="s">
        <v>335</v>
      </c>
      <c r="B4" s="59" t="s">
        <v>88</v>
      </c>
    </row>
    <row r="5" spans="1:6">
      <c r="A5" s="132" t="s">
        <v>26</v>
      </c>
      <c r="B5" s="133"/>
      <c r="C5" s="134" t="s">
        <v>27</v>
      </c>
    </row>
    <row r="6" spans="1:6">
      <c r="A6" s="135">
        <v>1</v>
      </c>
      <c r="B6" s="80" t="s">
        <v>28</v>
      </c>
      <c r="C6" s="266">
        <f>SUM(C7:C11)</f>
        <v>204574292.85999995</v>
      </c>
    </row>
    <row r="7" spans="1:6">
      <c r="A7" s="135">
        <v>2</v>
      </c>
      <c r="B7" s="77" t="s">
        <v>29</v>
      </c>
      <c r="C7" s="267">
        <v>5176780</v>
      </c>
    </row>
    <row r="8" spans="1:6">
      <c r="A8" s="135">
        <v>3</v>
      </c>
      <c r="B8" s="71" t="s">
        <v>30</v>
      </c>
      <c r="C8" s="267">
        <v>35312039.400000006</v>
      </c>
    </row>
    <row r="9" spans="1:6">
      <c r="A9" s="135">
        <v>4</v>
      </c>
      <c r="B9" s="71" t="s">
        <v>31</v>
      </c>
      <c r="C9" s="267">
        <v>396459</v>
      </c>
    </row>
    <row r="10" spans="1:6">
      <c r="A10" s="135">
        <v>5</v>
      </c>
      <c r="B10" s="71" t="s">
        <v>32</v>
      </c>
      <c r="C10" s="267"/>
    </row>
    <row r="11" spans="1:6">
      <c r="A11" s="135">
        <v>6</v>
      </c>
      <c r="B11" s="78" t="s">
        <v>33</v>
      </c>
      <c r="C11" s="267">
        <v>163689014.45999995</v>
      </c>
    </row>
    <row r="12" spans="1:6" s="4" customFormat="1">
      <c r="A12" s="135">
        <v>7</v>
      </c>
      <c r="B12" s="80" t="s">
        <v>34</v>
      </c>
      <c r="C12" s="268">
        <f>SUM(C13:C27)</f>
        <v>13603826.84</v>
      </c>
    </row>
    <row r="13" spans="1:6" s="4" customFormat="1">
      <c r="A13" s="135">
        <v>8</v>
      </c>
      <c r="B13" s="79" t="s">
        <v>35</v>
      </c>
      <c r="C13" s="269">
        <v>396459</v>
      </c>
    </row>
    <row r="14" spans="1:6" s="4" customFormat="1" ht="25.5">
      <c r="A14" s="135">
        <v>9</v>
      </c>
      <c r="B14" s="72" t="s">
        <v>36</v>
      </c>
      <c r="C14" s="269"/>
    </row>
    <row r="15" spans="1:6" s="4" customFormat="1">
      <c r="A15" s="135">
        <v>10</v>
      </c>
      <c r="B15" s="73" t="s">
        <v>37</v>
      </c>
      <c r="C15" s="269">
        <v>13207367.84</v>
      </c>
    </row>
    <row r="16" spans="1:6" s="4" customFormat="1">
      <c r="A16" s="135">
        <v>11</v>
      </c>
      <c r="B16" s="74" t="s">
        <v>38</v>
      </c>
      <c r="C16" s="269"/>
    </row>
    <row r="17" spans="1:3" s="4" customFormat="1">
      <c r="A17" s="135">
        <v>12</v>
      </c>
      <c r="B17" s="73" t="s">
        <v>39</v>
      </c>
      <c r="C17" s="269"/>
    </row>
    <row r="18" spans="1:3" s="4" customFormat="1">
      <c r="A18" s="135">
        <v>13</v>
      </c>
      <c r="B18" s="73" t="s">
        <v>40</v>
      </c>
      <c r="C18" s="269"/>
    </row>
    <row r="19" spans="1:3" s="4" customFormat="1">
      <c r="A19" s="135">
        <v>14</v>
      </c>
      <c r="B19" s="73" t="s">
        <v>41</v>
      </c>
      <c r="C19" s="269"/>
    </row>
    <row r="20" spans="1:3" s="4" customFormat="1" ht="25.5">
      <c r="A20" s="135">
        <v>15</v>
      </c>
      <c r="B20" s="73" t="s">
        <v>42</v>
      </c>
      <c r="C20" s="269"/>
    </row>
    <row r="21" spans="1:3" s="4" customFormat="1" ht="25.5">
      <c r="A21" s="135">
        <v>16</v>
      </c>
      <c r="B21" s="72" t="s">
        <v>43</v>
      </c>
      <c r="C21" s="269"/>
    </row>
    <row r="22" spans="1:3" s="4" customFormat="1">
      <c r="A22" s="135">
        <v>17</v>
      </c>
      <c r="B22" s="136" t="s">
        <v>44</v>
      </c>
      <c r="C22" s="269"/>
    </row>
    <row r="23" spans="1:3" s="4" customFormat="1" ht="25.5">
      <c r="A23" s="135">
        <v>18</v>
      </c>
      <c r="B23" s="72" t="s">
        <v>45</v>
      </c>
      <c r="C23" s="269"/>
    </row>
    <row r="24" spans="1:3" s="4" customFormat="1" ht="25.5">
      <c r="A24" s="135">
        <v>19</v>
      </c>
      <c r="B24" s="72" t="s">
        <v>46</v>
      </c>
      <c r="C24" s="269"/>
    </row>
    <row r="25" spans="1:3" s="4" customFormat="1" ht="25.5">
      <c r="A25" s="135">
        <v>20</v>
      </c>
      <c r="B25" s="75" t="s">
        <v>47</v>
      </c>
      <c r="C25" s="269"/>
    </row>
    <row r="26" spans="1:3" s="4" customFormat="1">
      <c r="A26" s="135">
        <v>21</v>
      </c>
      <c r="B26" s="75" t="s">
        <v>48</v>
      </c>
      <c r="C26" s="269"/>
    </row>
    <row r="27" spans="1:3" s="4" customFormat="1" ht="25.5">
      <c r="A27" s="135">
        <v>22</v>
      </c>
      <c r="B27" s="75" t="s">
        <v>49</v>
      </c>
      <c r="C27" s="269"/>
    </row>
    <row r="28" spans="1:3" s="4" customFormat="1">
      <c r="A28" s="135">
        <v>23</v>
      </c>
      <c r="B28" s="81" t="s">
        <v>23</v>
      </c>
      <c r="C28" s="268">
        <f>C6-C12</f>
        <v>190970466.01999995</v>
      </c>
    </row>
    <row r="29" spans="1:3" s="4" customFormat="1">
      <c r="A29" s="137"/>
      <c r="B29" s="76"/>
      <c r="C29" s="269"/>
    </row>
    <row r="30" spans="1:3" s="4" customFormat="1">
      <c r="A30" s="137">
        <v>24</v>
      </c>
      <c r="B30" s="81" t="s">
        <v>50</v>
      </c>
      <c r="C30" s="268">
        <f>C31+C34</f>
        <v>0</v>
      </c>
    </row>
    <row r="31" spans="1:3" s="4" customFormat="1">
      <c r="A31" s="137">
        <v>25</v>
      </c>
      <c r="B31" s="71" t="s">
        <v>51</v>
      </c>
      <c r="C31" s="270">
        <f>C32+C33</f>
        <v>0</v>
      </c>
    </row>
    <row r="32" spans="1:3" s="4" customFormat="1">
      <c r="A32" s="137">
        <v>26</v>
      </c>
      <c r="B32" s="177" t="s">
        <v>52</v>
      </c>
      <c r="C32" s="269"/>
    </row>
    <row r="33" spans="1:3" s="4" customFormat="1">
      <c r="A33" s="137">
        <v>27</v>
      </c>
      <c r="B33" s="177" t="s">
        <v>53</v>
      </c>
      <c r="C33" s="269"/>
    </row>
    <row r="34" spans="1:3" s="4" customFormat="1">
      <c r="A34" s="137">
        <v>28</v>
      </c>
      <c r="B34" s="71" t="s">
        <v>54</v>
      </c>
      <c r="C34" s="269"/>
    </row>
    <row r="35" spans="1:3" s="4" customFormat="1">
      <c r="A35" s="137">
        <v>29</v>
      </c>
      <c r="B35" s="81" t="s">
        <v>55</v>
      </c>
      <c r="C35" s="268">
        <f>SUM(C36:C40)</f>
        <v>0</v>
      </c>
    </row>
    <row r="36" spans="1:3" s="4" customFormat="1">
      <c r="A36" s="137">
        <v>30</v>
      </c>
      <c r="B36" s="72" t="s">
        <v>56</v>
      </c>
      <c r="C36" s="269"/>
    </row>
    <row r="37" spans="1:3" s="4" customFormat="1">
      <c r="A37" s="137">
        <v>31</v>
      </c>
      <c r="B37" s="73" t="s">
        <v>57</v>
      </c>
      <c r="C37" s="269"/>
    </row>
    <row r="38" spans="1:3" s="4" customFormat="1" ht="25.5">
      <c r="A38" s="137">
        <v>32</v>
      </c>
      <c r="B38" s="72" t="s">
        <v>58</v>
      </c>
      <c r="C38" s="269"/>
    </row>
    <row r="39" spans="1:3" s="4" customFormat="1" ht="25.5">
      <c r="A39" s="137">
        <v>33</v>
      </c>
      <c r="B39" s="72" t="s">
        <v>46</v>
      </c>
      <c r="C39" s="269"/>
    </row>
    <row r="40" spans="1:3" s="4" customFormat="1" ht="25.5">
      <c r="A40" s="137">
        <v>34</v>
      </c>
      <c r="B40" s="75" t="s">
        <v>59</v>
      </c>
      <c r="C40" s="269"/>
    </row>
    <row r="41" spans="1:3" s="4" customFormat="1">
      <c r="A41" s="137">
        <v>35</v>
      </c>
      <c r="B41" s="81" t="s">
        <v>24</v>
      </c>
      <c r="C41" s="268">
        <f>C30-C35</f>
        <v>0</v>
      </c>
    </row>
    <row r="42" spans="1:3" s="4" customFormat="1">
      <c r="A42" s="137"/>
      <c r="B42" s="76"/>
      <c r="C42" s="269"/>
    </row>
    <row r="43" spans="1:3" s="4" customFormat="1">
      <c r="A43" s="137">
        <v>36</v>
      </c>
      <c r="B43" s="82" t="s">
        <v>60</v>
      </c>
      <c r="C43" s="268">
        <f>SUM(C44:C46)</f>
        <v>84949087.93755646</v>
      </c>
    </row>
    <row r="44" spans="1:3" s="4" customFormat="1">
      <c r="A44" s="137">
        <v>37</v>
      </c>
      <c r="B44" s="71" t="s">
        <v>61</v>
      </c>
      <c r="C44" s="269">
        <v>68664856</v>
      </c>
    </row>
    <row r="45" spans="1:3" s="4" customFormat="1">
      <c r="A45" s="137">
        <v>38</v>
      </c>
      <c r="B45" s="71" t="s">
        <v>62</v>
      </c>
      <c r="C45" s="269"/>
    </row>
    <row r="46" spans="1:3" s="4" customFormat="1">
      <c r="A46" s="137">
        <v>39</v>
      </c>
      <c r="B46" s="71" t="s">
        <v>63</v>
      </c>
      <c r="C46" s="269">
        <v>16284231.937556464</v>
      </c>
    </row>
    <row r="47" spans="1:3" s="4" customFormat="1">
      <c r="A47" s="137">
        <v>40</v>
      </c>
      <c r="B47" s="82" t="s">
        <v>64</v>
      </c>
      <c r="C47" s="268">
        <f>SUM(C48:C51)</f>
        <v>0</v>
      </c>
    </row>
    <row r="48" spans="1:3" s="4" customFormat="1">
      <c r="A48" s="137">
        <v>41</v>
      </c>
      <c r="B48" s="72" t="s">
        <v>65</v>
      </c>
      <c r="C48" s="269"/>
    </row>
    <row r="49" spans="1:3" s="4" customFormat="1">
      <c r="A49" s="137">
        <v>42</v>
      </c>
      <c r="B49" s="73" t="s">
        <v>66</v>
      </c>
      <c r="C49" s="269"/>
    </row>
    <row r="50" spans="1:3" s="4" customFormat="1" ht="25.5">
      <c r="A50" s="137">
        <v>43</v>
      </c>
      <c r="B50" s="72" t="s">
        <v>67</v>
      </c>
      <c r="C50" s="269"/>
    </row>
    <row r="51" spans="1:3" s="4" customFormat="1" ht="25.5">
      <c r="A51" s="137">
        <v>44</v>
      </c>
      <c r="B51" s="72" t="s">
        <v>46</v>
      </c>
      <c r="C51" s="269"/>
    </row>
    <row r="52" spans="1:3" s="4" customFormat="1" ht="15.75" thickBot="1">
      <c r="A52" s="138">
        <v>45</v>
      </c>
      <c r="B52" s="139" t="s">
        <v>25</v>
      </c>
      <c r="C52" s="271">
        <f>C43-C47</f>
        <v>84949087.93755646</v>
      </c>
    </row>
    <row r="55" spans="1:3">
      <c r="B55" s="2"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7" sqref="C17"/>
    </sheetView>
  </sheetViews>
  <sheetFormatPr defaultColWidth="9.140625" defaultRowHeight="12.75"/>
  <cols>
    <col min="1" max="1" width="10.85546875" style="338" bestFit="1" customWidth="1"/>
    <col min="2" max="2" width="59" style="338" customWidth="1"/>
    <col min="3" max="3" width="16.7109375" style="338" bestFit="1" customWidth="1"/>
    <col min="4" max="4" width="22.140625" style="338" customWidth="1"/>
    <col min="5" max="16384" width="9.140625" style="338"/>
  </cols>
  <sheetData>
    <row r="1" spans="1:4" ht="15">
      <c r="A1" s="17" t="s">
        <v>188</v>
      </c>
      <c r="B1" s="16" t="str">
        <f>Info!C2</f>
        <v>სს "კრედო ბანკი"</v>
      </c>
    </row>
    <row r="2" spans="1:4" s="21" customFormat="1" ht="15.75" customHeight="1">
      <c r="A2" s="21" t="s">
        <v>189</v>
      </c>
      <c r="B2" s="472">
        <f>'1. key ratios'!B2</f>
        <v>44561</v>
      </c>
    </row>
    <row r="3" spans="1:4" s="21" customFormat="1" ht="15.75" customHeight="1"/>
    <row r="4" spans="1:4" ht="13.5" thickBot="1">
      <c r="A4" s="339" t="s">
        <v>396</v>
      </c>
      <c r="B4" s="376" t="s">
        <v>397</v>
      </c>
    </row>
    <row r="5" spans="1:4" s="377" customFormat="1">
      <c r="A5" s="716" t="s">
        <v>398</v>
      </c>
      <c r="B5" s="717"/>
      <c r="C5" s="366" t="s">
        <v>399</v>
      </c>
      <c r="D5" s="367" t="s">
        <v>400</v>
      </c>
    </row>
    <row r="6" spans="1:4" s="378" customFormat="1">
      <c r="A6" s="368">
        <v>1</v>
      </c>
      <c r="B6" s="369" t="s">
        <v>401</v>
      </c>
      <c r="C6" s="369"/>
      <c r="D6" s="370"/>
    </row>
    <row r="7" spans="1:4" s="378" customFormat="1">
      <c r="A7" s="371" t="s">
        <v>402</v>
      </c>
      <c r="B7" s="372" t="s">
        <v>403</v>
      </c>
      <c r="C7" s="427">
        <v>4.4999999999999998E-2</v>
      </c>
      <c r="D7" s="612">
        <f>C7*'5. RWA'!$C$13</f>
        <v>74517977.860524014</v>
      </c>
    </row>
    <row r="8" spans="1:4" s="378" customFormat="1">
      <c r="A8" s="371" t="s">
        <v>404</v>
      </c>
      <c r="B8" s="372" t="s">
        <v>405</v>
      </c>
      <c r="C8" s="428">
        <v>0.06</v>
      </c>
      <c r="D8" s="612">
        <f>C8*'5. RWA'!$C$13</f>
        <v>99357303.814032018</v>
      </c>
    </row>
    <row r="9" spans="1:4" s="378" customFormat="1">
      <c r="A9" s="371" t="s">
        <v>406</v>
      </c>
      <c r="B9" s="372" t="s">
        <v>407</v>
      </c>
      <c r="C9" s="428">
        <v>0.08</v>
      </c>
      <c r="D9" s="612">
        <f>C9*'5. RWA'!$C$13</f>
        <v>132476405.08537604</v>
      </c>
    </row>
    <row r="10" spans="1:4" s="378" customFormat="1">
      <c r="A10" s="368" t="s">
        <v>408</v>
      </c>
      <c r="B10" s="369" t="s">
        <v>409</v>
      </c>
      <c r="C10" s="429"/>
      <c r="D10" s="425"/>
    </row>
    <row r="11" spans="1:4" s="379" customFormat="1">
      <c r="A11" s="373" t="s">
        <v>410</v>
      </c>
      <c r="B11" s="374" t="s">
        <v>472</v>
      </c>
      <c r="C11" s="430">
        <v>2.5000000000000001E-2</v>
      </c>
      <c r="D11" s="613">
        <f>C11*'5. RWA'!$C$13</f>
        <v>41398876.589180015</v>
      </c>
    </row>
    <row r="12" spans="1:4" s="379" customFormat="1">
      <c r="A12" s="373" t="s">
        <v>411</v>
      </c>
      <c r="B12" s="374" t="s">
        <v>412</v>
      </c>
      <c r="C12" s="430">
        <v>0</v>
      </c>
      <c r="D12" s="613">
        <f>C12*'5. RWA'!$C$13</f>
        <v>0</v>
      </c>
    </row>
    <row r="13" spans="1:4" s="379" customFormat="1">
      <c r="A13" s="373" t="s">
        <v>413</v>
      </c>
      <c r="B13" s="374" t="s">
        <v>414</v>
      </c>
      <c r="C13" s="430">
        <v>0</v>
      </c>
      <c r="D13" s="613">
        <f>C13*'5. RWA'!$C$13</f>
        <v>0</v>
      </c>
    </row>
    <row r="14" spans="1:4" s="378" customFormat="1">
      <c r="A14" s="368" t="s">
        <v>415</v>
      </c>
      <c r="B14" s="369" t="s">
        <v>470</v>
      </c>
      <c r="C14" s="431"/>
      <c r="D14" s="425"/>
    </row>
    <row r="15" spans="1:4" s="378" customFormat="1">
      <c r="A15" s="390" t="s">
        <v>418</v>
      </c>
      <c r="B15" s="374" t="s">
        <v>471</v>
      </c>
      <c r="C15" s="430">
        <v>1.1053792287214398E-2</v>
      </c>
      <c r="D15" s="613">
        <f>C15*'5. RWA'!$C$13</f>
        <v>18304583.309632748</v>
      </c>
    </row>
    <row r="16" spans="1:4" s="378" customFormat="1">
      <c r="A16" s="390" t="s">
        <v>419</v>
      </c>
      <c r="B16" s="374" t="s">
        <v>421</v>
      </c>
      <c r="C16" s="430">
        <v>1.4754186098947856E-2</v>
      </c>
      <c r="D16" s="613">
        <f>C16*'5. RWA'!$C$13</f>
        <v>24432269.179365501</v>
      </c>
    </row>
    <row r="17" spans="1:6" s="378" customFormat="1">
      <c r="A17" s="390" t="s">
        <v>420</v>
      </c>
      <c r="B17" s="374" t="s">
        <v>468</v>
      </c>
      <c r="C17" s="430">
        <v>3.2821079125998701E-2</v>
      </c>
      <c r="D17" s="613">
        <f>C17*'5. RWA'!$C$13</f>
        <v>54350232.170437291</v>
      </c>
    </row>
    <row r="18" spans="1:6" s="377" customFormat="1">
      <c r="A18" s="718" t="s">
        <v>469</v>
      </c>
      <c r="B18" s="719"/>
      <c r="C18" s="432" t="s">
        <v>399</v>
      </c>
      <c r="D18" s="426" t="s">
        <v>400</v>
      </c>
    </row>
    <row r="19" spans="1:6" s="378" customFormat="1">
      <c r="A19" s="375">
        <v>4</v>
      </c>
      <c r="B19" s="374" t="s">
        <v>23</v>
      </c>
      <c r="C19" s="430">
        <f>C7+C11+C12+C13+C15</f>
        <v>8.1053792287214405E-2</v>
      </c>
      <c r="D19" s="612">
        <f>C19*'5. RWA'!$C$13</f>
        <v>134221437.7593368</v>
      </c>
    </row>
    <row r="20" spans="1:6" s="378" customFormat="1">
      <c r="A20" s="375">
        <v>5</v>
      </c>
      <c r="B20" s="374" t="s">
        <v>89</v>
      </c>
      <c r="C20" s="430">
        <f>C8+C11+C12+C13+C16</f>
        <v>9.9754186098947845E-2</v>
      </c>
      <c r="D20" s="612">
        <f>C20*'5. RWA'!$C$13</f>
        <v>165188449.58257753</v>
      </c>
    </row>
    <row r="21" spans="1:6" s="378" customFormat="1" ht="13.5" thickBot="1">
      <c r="A21" s="380" t="s">
        <v>416</v>
      </c>
      <c r="B21" s="381" t="s">
        <v>88</v>
      </c>
      <c r="C21" s="433">
        <f>C9+C11+C12+C13+C17</f>
        <v>0.13782107912599872</v>
      </c>
      <c r="D21" s="614">
        <f>C21*'5. RWA'!$C$13</f>
        <v>228225513.84499338</v>
      </c>
    </row>
    <row r="22" spans="1:6">
      <c r="F22" s="339"/>
    </row>
    <row r="23" spans="1:6" ht="63.75">
      <c r="B23" s="23"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13" activePane="bottomRight" state="frozen"/>
      <selection pane="topRight" activeCell="B1" sqref="B1"/>
      <selection pane="bottomLeft" activeCell="A5" sqref="A5"/>
      <selection pane="bottomRight" activeCell="C24" sqref="C24"/>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7" t="s">
        <v>188</v>
      </c>
      <c r="B1" s="19" t="str">
        <f>Info!C2</f>
        <v>სს "კრედო ბანკი"</v>
      </c>
      <c r="E1" s="2"/>
      <c r="F1" s="2"/>
    </row>
    <row r="2" spans="1:6" s="21" customFormat="1" ht="15.75" customHeight="1">
      <c r="A2" s="21" t="s">
        <v>189</v>
      </c>
      <c r="B2" s="472">
        <f>'1. key ratios'!B2</f>
        <v>44561</v>
      </c>
    </row>
    <row r="3" spans="1:6" s="21" customFormat="1" ht="15.75" customHeight="1">
      <c r="A3" s="26"/>
    </row>
    <row r="4" spans="1:6" s="21" customFormat="1" ht="15.75" customHeight="1" thickBot="1">
      <c r="A4" s="21" t="s">
        <v>336</v>
      </c>
      <c r="B4" s="200" t="s">
        <v>268</v>
      </c>
      <c r="D4" s="202" t="s">
        <v>93</v>
      </c>
    </row>
    <row r="5" spans="1:6" ht="38.25">
      <c r="A5" s="150" t="s">
        <v>26</v>
      </c>
      <c r="B5" s="151" t="s">
        <v>231</v>
      </c>
      <c r="C5" s="152" t="s">
        <v>236</v>
      </c>
      <c r="D5" s="201" t="s">
        <v>269</v>
      </c>
    </row>
    <row r="6" spans="1:6">
      <c r="A6" s="140">
        <v>1</v>
      </c>
      <c r="B6" s="83" t="s">
        <v>154</v>
      </c>
      <c r="C6" s="272">
        <v>92017203.320000008</v>
      </c>
      <c r="D6" s="141"/>
      <c r="E6" s="8"/>
    </row>
    <row r="7" spans="1:6">
      <c r="A7" s="140">
        <v>2</v>
      </c>
      <c r="B7" s="84" t="s">
        <v>155</v>
      </c>
      <c r="C7" s="273">
        <v>59797351.900000006</v>
      </c>
      <c r="D7" s="142"/>
      <c r="E7" s="8"/>
    </row>
    <row r="8" spans="1:6">
      <c r="A8" s="140">
        <v>3</v>
      </c>
      <c r="B8" s="84" t="s">
        <v>156</v>
      </c>
      <c r="C8" s="273">
        <v>52443457</v>
      </c>
      <c r="D8" s="142"/>
      <c r="E8" s="8"/>
    </row>
    <row r="9" spans="1:6">
      <c r="A9" s="140">
        <v>4</v>
      </c>
      <c r="B9" s="84" t="s">
        <v>185</v>
      </c>
      <c r="C9" s="273">
        <v>0</v>
      </c>
      <c r="D9" s="142"/>
      <c r="E9" s="8"/>
    </row>
    <row r="10" spans="1:6">
      <c r="A10" s="140">
        <v>5</v>
      </c>
      <c r="B10" s="84" t="s">
        <v>157</v>
      </c>
      <c r="C10" s="273">
        <v>52158677.649999999</v>
      </c>
      <c r="D10" s="142"/>
      <c r="E10" s="8"/>
    </row>
    <row r="11" spans="1:6">
      <c r="A11" s="140">
        <v>6.1</v>
      </c>
      <c r="B11" s="84" t="s">
        <v>158</v>
      </c>
      <c r="C11" s="274">
        <v>1492789998.3731005</v>
      </c>
      <c r="D11" s="143"/>
      <c r="E11" s="9"/>
    </row>
    <row r="12" spans="1:6">
      <c r="A12" s="140">
        <v>6.2</v>
      </c>
      <c r="B12" s="85" t="s">
        <v>159</v>
      </c>
      <c r="C12" s="274">
        <v>-64175272.738700002</v>
      </c>
      <c r="D12" s="143"/>
      <c r="E12" s="9"/>
    </row>
    <row r="13" spans="1:6">
      <c r="A13" s="140" t="s">
        <v>368</v>
      </c>
      <c r="B13" s="86" t="s">
        <v>369</v>
      </c>
      <c r="C13" s="274">
        <v>-26507591.300000001</v>
      </c>
      <c r="D13" s="228" t="s">
        <v>743</v>
      </c>
      <c r="E13" s="9"/>
    </row>
    <row r="14" spans="1:6">
      <c r="A14" s="140" t="s">
        <v>492</v>
      </c>
      <c r="B14" s="86" t="s">
        <v>481</v>
      </c>
      <c r="C14" s="274"/>
      <c r="D14" s="143"/>
      <c r="E14" s="9"/>
    </row>
    <row r="15" spans="1:6">
      <c r="A15" s="140">
        <v>6</v>
      </c>
      <c r="B15" s="84" t="s">
        <v>160</v>
      </c>
      <c r="C15" s="280">
        <f>C11+C12</f>
        <v>1428614725.6344006</v>
      </c>
      <c r="D15" s="143"/>
      <c r="E15" s="8"/>
    </row>
    <row r="16" spans="1:6">
      <c r="A16" s="140">
        <v>7</v>
      </c>
      <c r="B16" s="84" t="s">
        <v>161</v>
      </c>
      <c r="C16" s="273">
        <v>25461818.989999995</v>
      </c>
      <c r="D16" s="142"/>
      <c r="E16" s="8"/>
    </row>
    <row r="17" spans="1:5">
      <c r="A17" s="140">
        <v>8</v>
      </c>
      <c r="B17" s="84" t="s">
        <v>162</v>
      </c>
      <c r="C17" s="273">
        <v>1744358.73</v>
      </c>
      <c r="D17" s="142"/>
      <c r="E17" s="8"/>
    </row>
    <row r="18" spans="1:5">
      <c r="A18" s="140">
        <v>9</v>
      </c>
      <c r="B18" s="84" t="s">
        <v>163</v>
      </c>
      <c r="C18" s="273">
        <v>0</v>
      </c>
      <c r="D18" s="142"/>
      <c r="E18" s="8"/>
    </row>
    <row r="19" spans="1:5">
      <c r="A19" s="140">
        <v>9.1</v>
      </c>
      <c r="B19" s="86" t="s">
        <v>245</v>
      </c>
      <c r="C19" s="274"/>
      <c r="D19" s="142"/>
      <c r="E19" s="8"/>
    </row>
    <row r="20" spans="1:5">
      <c r="A20" s="140">
        <v>9.1999999999999993</v>
      </c>
      <c r="B20" s="86" t="s">
        <v>235</v>
      </c>
      <c r="C20" s="274"/>
      <c r="D20" s="142"/>
      <c r="E20" s="8"/>
    </row>
    <row r="21" spans="1:5">
      <c r="A21" s="140">
        <v>9.3000000000000007</v>
      </c>
      <c r="B21" s="86" t="s">
        <v>234</v>
      </c>
      <c r="C21" s="274"/>
      <c r="D21" s="142"/>
      <c r="E21" s="8"/>
    </row>
    <row r="22" spans="1:5">
      <c r="A22" s="140">
        <v>10</v>
      </c>
      <c r="B22" s="84" t="s">
        <v>164</v>
      </c>
      <c r="C22" s="273">
        <v>36653888.449999996</v>
      </c>
      <c r="D22" s="142"/>
      <c r="E22" s="8"/>
    </row>
    <row r="23" spans="1:5">
      <c r="A23" s="140">
        <v>10.1</v>
      </c>
      <c r="B23" s="86" t="s">
        <v>233</v>
      </c>
      <c r="C23" s="273">
        <v>13207367.84</v>
      </c>
      <c r="D23" s="228" t="s">
        <v>744</v>
      </c>
      <c r="E23" s="8"/>
    </row>
    <row r="24" spans="1:5">
      <c r="A24" s="140">
        <v>11</v>
      </c>
      <c r="B24" s="87" t="s">
        <v>165</v>
      </c>
      <c r="C24" s="273">
        <v>38947802.200000003</v>
      </c>
      <c r="D24" s="144"/>
      <c r="E24" s="8"/>
    </row>
    <row r="25" spans="1:5">
      <c r="A25" s="140">
        <v>12</v>
      </c>
      <c r="B25" s="89" t="s">
        <v>166</v>
      </c>
      <c r="C25" s="276">
        <f>SUM(C6:C10,C15:C18,C22,C24)</f>
        <v>1787839283.8744009</v>
      </c>
      <c r="D25" s="145"/>
      <c r="E25" s="7"/>
    </row>
    <row r="26" spans="1:5">
      <c r="A26" s="140">
        <v>13</v>
      </c>
      <c r="B26" s="84" t="s">
        <v>167</v>
      </c>
      <c r="C26" s="277">
        <v>0</v>
      </c>
      <c r="D26" s="146"/>
      <c r="E26" s="8"/>
    </row>
    <row r="27" spans="1:5">
      <c r="A27" s="140">
        <v>14</v>
      </c>
      <c r="B27" s="84" t="s">
        <v>168</v>
      </c>
      <c r="C27" s="273">
        <v>96085613.757599995</v>
      </c>
      <c r="D27" s="142"/>
      <c r="E27" s="8"/>
    </row>
    <row r="28" spans="1:5">
      <c r="A28" s="140">
        <v>15</v>
      </c>
      <c r="B28" s="84" t="s">
        <v>169</v>
      </c>
      <c r="C28" s="273">
        <v>29222820.608100001</v>
      </c>
      <c r="D28" s="142"/>
      <c r="E28" s="8"/>
    </row>
    <row r="29" spans="1:5">
      <c r="A29" s="140">
        <v>16</v>
      </c>
      <c r="B29" s="84" t="s">
        <v>170</v>
      </c>
      <c r="C29" s="273">
        <v>317547130.81709999</v>
      </c>
      <c r="D29" s="142"/>
      <c r="E29" s="8"/>
    </row>
    <row r="30" spans="1:5">
      <c r="A30" s="140">
        <v>17</v>
      </c>
      <c r="B30" s="84" t="s">
        <v>171</v>
      </c>
      <c r="C30" s="273">
        <v>0</v>
      </c>
      <c r="D30" s="142"/>
      <c r="E30" s="8"/>
    </row>
    <row r="31" spans="1:5">
      <c r="A31" s="140">
        <v>18</v>
      </c>
      <c r="B31" s="84" t="s">
        <v>172</v>
      </c>
      <c r="C31" s="273">
        <v>955281207.92340183</v>
      </c>
      <c r="D31" s="142"/>
      <c r="E31" s="8"/>
    </row>
    <row r="32" spans="1:5">
      <c r="A32" s="140">
        <v>19</v>
      </c>
      <c r="B32" s="84" t="s">
        <v>173</v>
      </c>
      <c r="C32" s="273">
        <v>26030421.030000001</v>
      </c>
      <c r="D32" s="142"/>
      <c r="E32" s="8"/>
    </row>
    <row r="33" spans="1:5">
      <c r="A33" s="140">
        <v>20</v>
      </c>
      <c r="B33" s="84" t="s">
        <v>95</v>
      </c>
      <c r="C33" s="273">
        <v>81762067.390000015</v>
      </c>
      <c r="D33" s="142"/>
      <c r="E33" s="8"/>
    </row>
    <row r="34" spans="1:5">
      <c r="A34" s="598">
        <v>20.100000000000001</v>
      </c>
      <c r="B34" s="88" t="s">
        <v>715</v>
      </c>
      <c r="C34" s="275"/>
      <c r="D34" s="144"/>
      <c r="E34" s="8"/>
    </row>
    <row r="35" spans="1:5">
      <c r="A35" s="140">
        <v>21</v>
      </c>
      <c r="B35" s="87" t="s">
        <v>174</v>
      </c>
      <c r="C35" s="275">
        <v>77335730</v>
      </c>
      <c r="D35" s="144"/>
      <c r="E35" s="8"/>
    </row>
    <row r="36" spans="1:5">
      <c r="A36" s="140">
        <v>21.1</v>
      </c>
      <c r="B36" s="88" t="s">
        <v>714</v>
      </c>
      <c r="C36" s="278">
        <v>68664856</v>
      </c>
      <c r="D36" s="228" t="s">
        <v>745</v>
      </c>
      <c r="E36" s="8"/>
    </row>
    <row r="37" spans="1:5">
      <c r="A37" s="140">
        <v>22</v>
      </c>
      <c r="B37" s="89" t="s">
        <v>175</v>
      </c>
      <c r="C37" s="276">
        <f>SUM(C26:C35)</f>
        <v>1583264991.526202</v>
      </c>
      <c r="D37" s="145"/>
      <c r="E37" s="7"/>
    </row>
    <row r="38" spans="1:5">
      <c r="A38" s="140">
        <v>23</v>
      </c>
      <c r="B38" s="87" t="s">
        <v>176</v>
      </c>
      <c r="C38" s="273">
        <v>5176780</v>
      </c>
      <c r="D38" s="228" t="s">
        <v>746</v>
      </c>
      <c r="E38" s="8"/>
    </row>
    <row r="39" spans="1:5">
      <c r="A39" s="140">
        <v>24</v>
      </c>
      <c r="B39" s="87" t="s">
        <v>177</v>
      </c>
      <c r="C39" s="273">
        <v>0</v>
      </c>
      <c r="D39" s="142"/>
      <c r="E39" s="8"/>
    </row>
    <row r="40" spans="1:5">
      <c r="A40" s="140">
        <v>25</v>
      </c>
      <c r="B40" s="87" t="s">
        <v>232</v>
      </c>
      <c r="C40" s="273">
        <v>0</v>
      </c>
      <c r="D40" s="142"/>
      <c r="E40" s="8"/>
    </row>
    <row r="41" spans="1:5">
      <c r="A41" s="140">
        <v>26</v>
      </c>
      <c r="B41" s="87" t="s">
        <v>179</v>
      </c>
      <c r="C41" s="273">
        <v>35312039.400000006</v>
      </c>
      <c r="D41" s="142"/>
      <c r="E41" s="8"/>
    </row>
    <row r="42" spans="1:5">
      <c r="A42" s="140">
        <v>27</v>
      </c>
      <c r="B42" s="87" t="s">
        <v>180</v>
      </c>
      <c r="C42" s="273">
        <v>0</v>
      </c>
      <c r="D42" s="142"/>
      <c r="E42" s="8"/>
    </row>
    <row r="43" spans="1:5">
      <c r="A43" s="140">
        <v>28</v>
      </c>
      <c r="B43" s="87" t="s">
        <v>181</v>
      </c>
      <c r="C43" s="273">
        <v>163689014.45999995</v>
      </c>
      <c r="D43" s="228" t="s">
        <v>747</v>
      </c>
      <c r="E43" s="8"/>
    </row>
    <row r="44" spans="1:5">
      <c r="A44" s="140">
        <v>29</v>
      </c>
      <c r="B44" s="87" t="s">
        <v>35</v>
      </c>
      <c r="C44" s="273">
        <v>396459</v>
      </c>
      <c r="D44" s="228" t="s">
        <v>748</v>
      </c>
      <c r="E44" s="8"/>
    </row>
    <row r="45" spans="1:5" ht="16.5" thickBot="1">
      <c r="A45" s="147">
        <v>30</v>
      </c>
      <c r="B45" s="148" t="s">
        <v>182</v>
      </c>
      <c r="C45" s="279">
        <f>SUM(C38:C44)</f>
        <v>204574292.85999995</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workbookViewId="0">
      <pane xSplit="2" ySplit="7" topLeftCell="C8" activePane="bottomRight" state="frozen"/>
      <selection pane="topRight" activeCell="C1" sqref="C1"/>
      <selection pane="bottomLeft" activeCell="A8" sqref="A8"/>
      <selection pane="bottomRight" activeCell="S26" sqref="S26"/>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188</v>
      </c>
      <c r="B1" s="338" t="str">
        <f>Info!C2</f>
        <v>სს "კრედო ბანკი"</v>
      </c>
    </row>
    <row r="2" spans="1:19">
      <c r="A2" s="2" t="s">
        <v>189</v>
      </c>
      <c r="B2" s="472">
        <f>'1. key ratios'!B2</f>
        <v>44561</v>
      </c>
    </row>
    <row r="4" spans="1:19" ht="39" thickBot="1">
      <c r="A4" s="66" t="s">
        <v>337</v>
      </c>
      <c r="B4" s="308" t="s">
        <v>358</v>
      </c>
    </row>
    <row r="5" spans="1:19">
      <c r="A5" s="129"/>
      <c r="B5" s="131"/>
      <c r="C5" s="115" t="s">
        <v>0</v>
      </c>
      <c r="D5" s="115" t="s">
        <v>1</v>
      </c>
      <c r="E5" s="115" t="s">
        <v>2</v>
      </c>
      <c r="F5" s="115" t="s">
        <v>3</v>
      </c>
      <c r="G5" s="115" t="s">
        <v>4</v>
      </c>
      <c r="H5" s="115" t="s">
        <v>5</v>
      </c>
      <c r="I5" s="115" t="s">
        <v>237</v>
      </c>
      <c r="J5" s="115" t="s">
        <v>238</v>
      </c>
      <c r="K5" s="115" t="s">
        <v>239</v>
      </c>
      <c r="L5" s="115" t="s">
        <v>240</v>
      </c>
      <c r="M5" s="115" t="s">
        <v>241</v>
      </c>
      <c r="N5" s="115" t="s">
        <v>242</v>
      </c>
      <c r="O5" s="115" t="s">
        <v>345</v>
      </c>
      <c r="P5" s="115" t="s">
        <v>346</v>
      </c>
      <c r="Q5" s="115" t="s">
        <v>347</v>
      </c>
      <c r="R5" s="299" t="s">
        <v>348</v>
      </c>
      <c r="S5" s="116" t="s">
        <v>349</v>
      </c>
    </row>
    <row r="6" spans="1:19" ht="46.5" customHeight="1">
      <c r="A6" s="154"/>
      <c r="B6" s="724" t="s">
        <v>350</v>
      </c>
      <c r="C6" s="722">
        <v>0</v>
      </c>
      <c r="D6" s="723"/>
      <c r="E6" s="722">
        <v>0.2</v>
      </c>
      <c r="F6" s="723"/>
      <c r="G6" s="722">
        <v>0.35</v>
      </c>
      <c r="H6" s="723"/>
      <c r="I6" s="722">
        <v>0.5</v>
      </c>
      <c r="J6" s="723"/>
      <c r="K6" s="722">
        <v>0.75</v>
      </c>
      <c r="L6" s="723"/>
      <c r="M6" s="722">
        <v>1</v>
      </c>
      <c r="N6" s="723"/>
      <c r="O6" s="722">
        <v>1.5</v>
      </c>
      <c r="P6" s="723"/>
      <c r="Q6" s="722">
        <v>2.5</v>
      </c>
      <c r="R6" s="723"/>
      <c r="S6" s="720" t="s">
        <v>250</v>
      </c>
    </row>
    <row r="7" spans="1:19">
      <c r="A7" s="154"/>
      <c r="B7" s="725"/>
      <c r="C7" s="307" t="s">
        <v>343</v>
      </c>
      <c r="D7" s="307" t="s">
        <v>344</v>
      </c>
      <c r="E7" s="307" t="s">
        <v>343</v>
      </c>
      <c r="F7" s="307" t="s">
        <v>344</v>
      </c>
      <c r="G7" s="307" t="s">
        <v>343</v>
      </c>
      <c r="H7" s="307" t="s">
        <v>344</v>
      </c>
      <c r="I7" s="307" t="s">
        <v>343</v>
      </c>
      <c r="J7" s="307" t="s">
        <v>344</v>
      </c>
      <c r="K7" s="307" t="s">
        <v>343</v>
      </c>
      <c r="L7" s="307" t="s">
        <v>344</v>
      </c>
      <c r="M7" s="307" t="s">
        <v>343</v>
      </c>
      <c r="N7" s="307" t="s">
        <v>344</v>
      </c>
      <c r="O7" s="307" t="s">
        <v>343</v>
      </c>
      <c r="P7" s="307" t="s">
        <v>344</v>
      </c>
      <c r="Q7" s="307" t="s">
        <v>343</v>
      </c>
      <c r="R7" s="307" t="s">
        <v>344</v>
      </c>
      <c r="S7" s="721"/>
    </row>
    <row r="8" spans="1:19" s="158" customFormat="1">
      <c r="A8" s="119">
        <v>1</v>
      </c>
      <c r="B8" s="176" t="s">
        <v>216</v>
      </c>
      <c r="C8" s="281">
        <v>67353971.710000008</v>
      </c>
      <c r="D8" s="281"/>
      <c r="E8" s="281"/>
      <c r="F8" s="300"/>
      <c r="G8" s="281"/>
      <c r="H8" s="281"/>
      <c r="I8" s="281"/>
      <c r="J8" s="281"/>
      <c r="K8" s="281"/>
      <c r="L8" s="281"/>
      <c r="M8" s="281">
        <v>19420040.77</v>
      </c>
      <c r="N8" s="281"/>
      <c r="O8" s="281"/>
      <c r="P8" s="281"/>
      <c r="Q8" s="281"/>
      <c r="R8" s="300"/>
      <c r="S8" s="312">
        <f>$C$6*SUM(C8:D8)+$E$6*SUM(E8:F8)+$G$6*SUM(G8:H8)+$I$6*SUM(I8:J8)+$K$6*SUM(K8:L8)+$M$6*SUM(M8:N8)+$O$6*SUM(O8:P8)+$Q$6*SUM(Q8:R8)</f>
        <v>19420040.77</v>
      </c>
    </row>
    <row r="9" spans="1:19" s="158" customFormat="1">
      <c r="A9" s="119">
        <v>2</v>
      </c>
      <c r="B9" s="176" t="s">
        <v>217</v>
      </c>
      <c r="C9" s="615"/>
      <c r="D9" s="281"/>
      <c r="E9" s="281"/>
      <c r="F9" s="281"/>
      <c r="G9" s="281"/>
      <c r="H9" s="281"/>
      <c r="I9" s="281"/>
      <c r="J9" s="281"/>
      <c r="K9" s="281"/>
      <c r="L9" s="281"/>
      <c r="M9" s="281"/>
      <c r="N9" s="281"/>
      <c r="O9" s="281"/>
      <c r="P9" s="281"/>
      <c r="Q9" s="281"/>
      <c r="R9" s="300"/>
      <c r="S9" s="312">
        <f t="shared" ref="S9:S21" si="0">$C$6*SUM(C9:D9)+$E$6*SUM(E9:F9)+$G$6*SUM(G9:H9)+$I$6*SUM(I9:J9)+$K$6*SUM(K9:L9)+$M$6*SUM(M9:N9)+$O$6*SUM(O9:P9)+$Q$6*SUM(Q9:R9)</f>
        <v>0</v>
      </c>
    </row>
    <row r="10" spans="1:19" s="158" customFormat="1">
      <c r="A10" s="119">
        <v>3</v>
      </c>
      <c r="B10" s="176" t="s">
        <v>218</v>
      </c>
      <c r="C10" s="281"/>
      <c r="D10" s="281"/>
      <c r="E10" s="281"/>
      <c r="F10" s="281"/>
      <c r="G10" s="281"/>
      <c r="H10" s="281"/>
      <c r="I10" s="281"/>
      <c r="J10" s="281"/>
      <c r="K10" s="281"/>
      <c r="L10" s="281"/>
      <c r="M10" s="281"/>
      <c r="N10" s="281"/>
      <c r="O10" s="281"/>
      <c r="P10" s="281"/>
      <c r="Q10" s="281"/>
      <c r="R10" s="300"/>
      <c r="S10" s="312">
        <f t="shared" si="0"/>
        <v>0</v>
      </c>
    </row>
    <row r="11" spans="1:19" s="158" customFormat="1">
      <c r="A11" s="119">
        <v>4</v>
      </c>
      <c r="B11" s="176" t="s">
        <v>219</v>
      </c>
      <c r="C11" s="281">
        <v>26128276.16</v>
      </c>
      <c r="D11" s="281"/>
      <c r="E11" s="281"/>
      <c r="F11" s="281"/>
      <c r="G11" s="281"/>
      <c r="H11" s="281"/>
      <c r="I11" s="281"/>
      <c r="J11" s="281"/>
      <c r="K11" s="281"/>
      <c r="L11" s="281"/>
      <c r="M11" s="281"/>
      <c r="N11" s="281"/>
      <c r="O11" s="281"/>
      <c r="P11" s="281"/>
      <c r="Q11" s="281"/>
      <c r="R11" s="300"/>
      <c r="S11" s="312">
        <f t="shared" si="0"/>
        <v>0</v>
      </c>
    </row>
    <row r="12" spans="1:19" s="158" customFormat="1">
      <c r="A12" s="119">
        <v>5</v>
      </c>
      <c r="B12" s="176" t="s">
        <v>220</v>
      </c>
      <c r="C12" s="281"/>
      <c r="D12" s="281"/>
      <c r="E12" s="281"/>
      <c r="F12" s="281"/>
      <c r="G12" s="281"/>
      <c r="H12" s="281"/>
      <c r="I12" s="281"/>
      <c r="J12" s="281"/>
      <c r="K12" s="281"/>
      <c r="L12" s="281"/>
      <c r="M12" s="281"/>
      <c r="N12" s="281"/>
      <c r="O12" s="281"/>
      <c r="P12" s="281"/>
      <c r="Q12" s="281"/>
      <c r="R12" s="300"/>
      <c r="S12" s="312">
        <f t="shared" si="0"/>
        <v>0</v>
      </c>
    </row>
    <row r="13" spans="1:19" s="158" customFormat="1">
      <c r="A13" s="119">
        <v>6</v>
      </c>
      <c r="B13" s="176" t="s">
        <v>221</v>
      </c>
      <c r="C13" s="281"/>
      <c r="D13" s="281"/>
      <c r="E13" s="281">
        <v>1039438.4199999999</v>
      </c>
      <c r="F13" s="281"/>
      <c r="G13" s="281"/>
      <c r="H13" s="281"/>
      <c r="I13" s="281">
        <v>51187682.969999999</v>
      </c>
      <c r="J13" s="281"/>
      <c r="K13" s="281"/>
      <c r="L13" s="281"/>
      <c r="M13" s="281">
        <v>210295.62</v>
      </c>
      <c r="N13" s="281"/>
      <c r="O13" s="281"/>
      <c r="P13" s="281"/>
      <c r="Q13" s="281"/>
      <c r="R13" s="300"/>
      <c r="S13" s="312">
        <f t="shared" si="0"/>
        <v>26012024.789000001</v>
      </c>
    </row>
    <row r="14" spans="1:19" s="158" customFormat="1">
      <c r="A14" s="119">
        <v>7</v>
      </c>
      <c r="B14" s="176" t="s">
        <v>73</v>
      </c>
      <c r="C14" s="281"/>
      <c r="D14" s="281"/>
      <c r="E14" s="281"/>
      <c r="F14" s="281"/>
      <c r="G14" s="281"/>
      <c r="H14" s="281"/>
      <c r="I14" s="281"/>
      <c r="J14" s="281"/>
      <c r="K14" s="281"/>
      <c r="L14" s="281"/>
      <c r="M14" s="281">
        <v>4536803.2538578054</v>
      </c>
      <c r="N14" s="281"/>
      <c r="O14" s="281"/>
      <c r="P14" s="281"/>
      <c r="Q14" s="281"/>
      <c r="R14" s="300"/>
      <c r="S14" s="312">
        <f t="shared" si="0"/>
        <v>4536803.2538578054</v>
      </c>
    </row>
    <row r="15" spans="1:19" s="158" customFormat="1">
      <c r="A15" s="119">
        <v>8</v>
      </c>
      <c r="B15" s="176" t="s">
        <v>74</v>
      </c>
      <c r="C15" s="281"/>
      <c r="D15" s="281"/>
      <c r="E15" s="281"/>
      <c r="F15" s="281"/>
      <c r="G15" s="281"/>
      <c r="H15" s="281"/>
      <c r="I15" s="281"/>
      <c r="J15" s="281"/>
      <c r="K15" s="281">
        <v>1307522643.5218318</v>
      </c>
      <c r="L15" s="281">
        <v>33554504.450000003</v>
      </c>
      <c r="M15" s="281"/>
      <c r="N15" s="281"/>
      <c r="O15" s="281"/>
      <c r="P15" s="281"/>
      <c r="Q15" s="281"/>
      <c r="R15" s="300"/>
      <c r="S15" s="312">
        <f t="shared" si="0"/>
        <v>1005807860.9788738</v>
      </c>
    </row>
    <row r="16" spans="1:19" s="158" customFormat="1">
      <c r="A16" s="119">
        <v>9</v>
      </c>
      <c r="B16" s="176" t="s">
        <v>75</v>
      </c>
      <c r="C16" s="281"/>
      <c r="D16" s="281"/>
      <c r="E16" s="281"/>
      <c r="F16" s="281"/>
      <c r="G16" s="281"/>
      <c r="H16" s="281"/>
      <c r="I16" s="281"/>
      <c r="J16" s="281"/>
      <c r="K16" s="281"/>
      <c r="L16" s="281"/>
      <c r="M16" s="281"/>
      <c r="N16" s="281"/>
      <c r="O16" s="281"/>
      <c r="P16" s="281"/>
      <c r="Q16" s="281"/>
      <c r="R16" s="300"/>
      <c r="S16" s="312">
        <f t="shared" si="0"/>
        <v>0</v>
      </c>
    </row>
    <row r="17" spans="1:19" s="158" customFormat="1">
      <c r="A17" s="119">
        <v>10</v>
      </c>
      <c r="B17" s="176" t="s">
        <v>69</v>
      </c>
      <c r="C17" s="281"/>
      <c r="D17" s="281"/>
      <c r="E17" s="281"/>
      <c r="F17" s="281"/>
      <c r="G17" s="281"/>
      <c r="H17" s="281"/>
      <c r="I17" s="281"/>
      <c r="J17" s="281"/>
      <c r="K17" s="281"/>
      <c r="L17" s="281"/>
      <c r="M17" s="281">
        <v>8150540.170559288</v>
      </c>
      <c r="N17" s="281"/>
      <c r="O17" s="281">
        <v>752266.44186376594</v>
      </c>
      <c r="P17" s="281"/>
      <c r="Q17" s="281"/>
      <c r="R17" s="300"/>
      <c r="S17" s="312">
        <f t="shared" si="0"/>
        <v>9278939.8333549369</v>
      </c>
    </row>
    <row r="18" spans="1:19" s="158" customFormat="1">
      <c r="A18" s="119">
        <v>11</v>
      </c>
      <c r="B18" s="176" t="s">
        <v>70</v>
      </c>
      <c r="C18" s="281"/>
      <c r="D18" s="281"/>
      <c r="E18" s="281"/>
      <c r="F18" s="281"/>
      <c r="G18" s="281"/>
      <c r="H18" s="281"/>
      <c r="I18" s="281"/>
      <c r="J18" s="281"/>
      <c r="K18" s="281"/>
      <c r="L18" s="281"/>
      <c r="M18" s="281">
        <v>94844105.151041359</v>
      </c>
      <c r="N18" s="281"/>
      <c r="O18" s="281">
        <v>63837558.219759226</v>
      </c>
      <c r="P18" s="281"/>
      <c r="Q18" s="281"/>
      <c r="R18" s="300"/>
      <c r="S18" s="312">
        <f t="shared" si="0"/>
        <v>190600442.4806802</v>
      </c>
    </row>
    <row r="19" spans="1:19" s="158" customFormat="1">
      <c r="A19" s="119">
        <v>12</v>
      </c>
      <c r="B19" s="176" t="s">
        <v>71</v>
      </c>
      <c r="C19" s="281"/>
      <c r="D19" s="281"/>
      <c r="E19" s="281"/>
      <c r="F19" s="281"/>
      <c r="G19" s="281"/>
      <c r="H19" s="281"/>
      <c r="I19" s="281"/>
      <c r="J19" s="281"/>
      <c r="K19" s="281"/>
      <c r="L19" s="281"/>
      <c r="M19" s="281"/>
      <c r="N19" s="281"/>
      <c r="O19" s="281"/>
      <c r="P19" s="281"/>
      <c r="Q19" s="281"/>
      <c r="R19" s="300"/>
      <c r="S19" s="312">
        <f t="shared" si="0"/>
        <v>0</v>
      </c>
    </row>
    <row r="20" spans="1:19" s="158" customFormat="1">
      <c r="A20" s="119">
        <v>13</v>
      </c>
      <c r="B20" s="176" t="s">
        <v>72</v>
      </c>
      <c r="C20" s="281"/>
      <c r="D20" s="281"/>
      <c r="E20" s="281"/>
      <c r="F20" s="281"/>
      <c r="G20" s="281"/>
      <c r="H20" s="281"/>
      <c r="I20" s="281"/>
      <c r="J20" s="281"/>
      <c r="K20" s="281"/>
      <c r="L20" s="281"/>
      <c r="M20" s="281"/>
      <c r="N20" s="281"/>
      <c r="O20" s="281"/>
      <c r="P20" s="281"/>
      <c r="Q20" s="281"/>
      <c r="R20" s="300"/>
      <c r="S20" s="312">
        <f t="shared" si="0"/>
        <v>0</v>
      </c>
    </row>
    <row r="21" spans="1:19" s="158" customFormat="1">
      <c r="A21" s="119">
        <v>14</v>
      </c>
      <c r="B21" s="176" t="s">
        <v>248</v>
      </c>
      <c r="C21" s="281">
        <v>92017203.320000008</v>
      </c>
      <c r="D21" s="281"/>
      <c r="E21" s="281"/>
      <c r="F21" s="281"/>
      <c r="G21" s="281"/>
      <c r="H21" s="281"/>
      <c r="I21" s="281"/>
      <c r="J21" s="281"/>
      <c r="K21" s="281"/>
      <c r="L21" s="281"/>
      <c r="M21" s="281">
        <v>63328273.299999997</v>
      </c>
      <c r="N21" s="281"/>
      <c r="O21" s="281"/>
      <c r="P21" s="281"/>
      <c r="Q21" s="281">
        <v>810408.24</v>
      </c>
      <c r="R21" s="300"/>
      <c r="S21" s="312">
        <f t="shared" si="0"/>
        <v>65354293.899999999</v>
      </c>
    </row>
    <row r="22" spans="1:19" ht="13.5" thickBot="1">
      <c r="A22" s="101"/>
      <c r="B22" s="160" t="s">
        <v>68</v>
      </c>
      <c r="C22" s="282">
        <f>SUM(C8:C21)</f>
        <v>185499451.19</v>
      </c>
      <c r="D22" s="282">
        <f t="shared" ref="D22:S22" si="1">SUM(D8:D21)</f>
        <v>0</v>
      </c>
      <c r="E22" s="282">
        <f t="shared" si="1"/>
        <v>1039438.4199999999</v>
      </c>
      <c r="F22" s="282">
        <f t="shared" si="1"/>
        <v>0</v>
      </c>
      <c r="G22" s="282">
        <f t="shared" si="1"/>
        <v>0</v>
      </c>
      <c r="H22" s="282">
        <f t="shared" si="1"/>
        <v>0</v>
      </c>
      <c r="I22" s="282">
        <f t="shared" si="1"/>
        <v>51187682.969999999</v>
      </c>
      <c r="J22" s="282">
        <f t="shared" si="1"/>
        <v>0</v>
      </c>
      <c r="K22" s="282">
        <f t="shared" si="1"/>
        <v>1307522643.5218318</v>
      </c>
      <c r="L22" s="282">
        <f t="shared" si="1"/>
        <v>33554504.450000003</v>
      </c>
      <c r="M22" s="282">
        <f t="shared" si="1"/>
        <v>190490058.26545846</v>
      </c>
      <c r="N22" s="282">
        <f t="shared" si="1"/>
        <v>0</v>
      </c>
      <c r="O22" s="282">
        <f t="shared" si="1"/>
        <v>64589824.661622994</v>
      </c>
      <c r="P22" s="282">
        <f t="shared" si="1"/>
        <v>0</v>
      </c>
      <c r="Q22" s="282">
        <f t="shared" si="1"/>
        <v>810408.24</v>
      </c>
      <c r="R22" s="282">
        <f t="shared" si="1"/>
        <v>0</v>
      </c>
      <c r="S22" s="616">
        <f t="shared" si="1"/>
        <v>1321010406.0057669</v>
      </c>
    </row>
    <row r="24" spans="1:19">
      <c r="S24" s="697"/>
    </row>
    <row r="26" spans="1:19">
      <c r="S26" s="69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38" t="str">
        <f>Info!C2</f>
        <v>სს "კრედო ბანკი"</v>
      </c>
    </row>
    <row r="2" spans="1:22">
      <c r="A2" s="2" t="s">
        <v>189</v>
      </c>
      <c r="B2" s="472">
        <f>'1. key ratios'!B2</f>
        <v>44561</v>
      </c>
    </row>
    <row r="4" spans="1:22" ht="27.75" thickBot="1">
      <c r="A4" s="2" t="s">
        <v>338</v>
      </c>
      <c r="B4" s="309" t="s">
        <v>359</v>
      </c>
      <c r="V4" s="202" t="s">
        <v>93</v>
      </c>
    </row>
    <row r="5" spans="1:22">
      <c r="A5" s="99"/>
      <c r="B5" s="100"/>
      <c r="C5" s="726" t="s">
        <v>198</v>
      </c>
      <c r="D5" s="727"/>
      <c r="E5" s="727"/>
      <c r="F5" s="727"/>
      <c r="G5" s="727"/>
      <c r="H5" s="727"/>
      <c r="I5" s="727"/>
      <c r="J5" s="727"/>
      <c r="K5" s="727"/>
      <c r="L5" s="728"/>
      <c r="M5" s="726" t="s">
        <v>199</v>
      </c>
      <c r="N5" s="727"/>
      <c r="O5" s="727"/>
      <c r="P5" s="727"/>
      <c r="Q5" s="727"/>
      <c r="R5" s="727"/>
      <c r="S5" s="728"/>
      <c r="T5" s="731" t="s">
        <v>357</v>
      </c>
      <c r="U5" s="731" t="s">
        <v>356</v>
      </c>
      <c r="V5" s="729" t="s">
        <v>200</v>
      </c>
    </row>
    <row r="6" spans="1:22" s="66" customFormat="1" ht="140.25">
      <c r="A6" s="117"/>
      <c r="B6" s="178"/>
      <c r="C6" s="97" t="s">
        <v>201</v>
      </c>
      <c r="D6" s="96" t="s">
        <v>202</v>
      </c>
      <c r="E6" s="93" t="s">
        <v>203</v>
      </c>
      <c r="F6" s="310" t="s">
        <v>351</v>
      </c>
      <c r="G6" s="96" t="s">
        <v>204</v>
      </c>
      <c r="H6" s="96" t="s">
        <v>205</v>
      </c>
      <c r="I6" s="96" t="s">
        <v>206</v>
      </c>
      <c r="J6" s="96" t="s">
        <v>247</v>
      </c>
      <c r="K6" s="96" t="s">
        <v>207</v>
      </c>
      <c r="L6" s="98" t="s">
        <v>208</v>
      </c>
      <c r="M6" s="97" t="s">
        <v>209</v>
      </c>
      <c r="N6" s="96" t="s">
        <v>210</v>
      </c>
      <c r="O6" s="96" t="s">
        <v>211</v>
      </c>
      <c r="P6" s="96" t="s">
        <v>212</v>
      </c>
      <c r="Q6" s="96" t="s">
        <v>213</v>
      </c>
      <c r="R6" s="96" t="s">
        <v>214</v>
      </c>
      <c r="S6" s="98" t="s">
        <v>215</v>
      </c>
      <c r="T6" s="732"/>
      <c r="U6" s="732"/>
      <c r="V6" s="730"/>
    </row>
    <row r="7" spans="1:22" s="158" customFormat="1">
      <c r="A7" s="159">
        <v>1</v>
      </c>
      <c r="B7" s="157" t="s">
        <v>216</v>
      </c>
      <c r="C7" s="283"/>
      <c r="D7" s="281"/>
      <c r="E7" s="281"/>
      <c r="F7" s="281"/>
      <c r="G7" s="281"/>
      <c r="H7" s="281"/>
      <c r="I7" s="281"/>
      <c r="J7" s="281"/>
      <c r="K7" s="281"/>
      <c r="L7" s="284"/>
      <c r="M7" s="283"/>
      <c r="N7" s="281"/>
      <c r="O7" s="281"/>
      <c r="P7" s="281"/>
      <c r="Q7" s="281"/>
      <c r="R7" s="281"/>
      <c r="S7" s="284"/>
      <c r="T7" s="304"/>
      <c r="U7" s="303"/>
      <c r="V7" s="285">
        <f>SUM(C7:S7)</f>
        <v>0</v>
      </c>
    </row>
    <row r="8" spans="1:22" s="158" customFormat="1">
      <c r="A8" s="159">
        <v>2</v>
      </c>
      <c r="B8" s="157" t="s">
        <v>217</v>
      </c>
      <c r="C8" s="283"/>
      <c r="D8" s="281"/>
      <c r="E8" s="281"/>
      <c r="F8" s="281"/>
      <c r="G8" s="281"/>
      <c r="H8" s="281"/>
      <c r="I8" s="281"/>
      <c r="J8" s="281"/>
      <c r="K8" s="281"/>
      <c r="L8" s="284"/>
      <c r="M8" s="283"/>
      <c r="N8" s="281"/>
      <c r="O8" s="281"/>
      <c r="P8" s="281"/>
      <c r="Q8" s="281"/>
      <c r="R8" s="281"/>
      <c r="S8" s="284"/>
      <c r="T8" s="303"/>
      <c r="U8" s="303"/>
      <c r="V8" s="285">
        <f t="shared" ref="V8:V20" si="0">SUM(C8:S8)</f>
        <v>0</v>
      </c>
    </row>
    <row r="9" spans="1:22" s="158" customFormat="1">
      <c r="A9" s="159">
        <v>3</v>
      </c>
      <c r="B9" s="157" t="s">
        <v>218</v>
      </c>
      <c r="C9" s="283"/>
      <c r="D9" s="281"/>
      <c r="E9" s="281"/>
      <c r="F9" s="281"/>
      <c r="G9" s="281"/>
      <c r="H9" s="281"/>
      <c r="I9" s="281"/>
      <c r="J9" s="281"/>
      <c r="K9" s="281"/>
      <c r="L9" s="284"/>
      <c r="M9" s="283"/>
      <c r="N9" s="281"/>
      <c r="O9" s="281"/>
      <c r="P9" s="281"/>
      <c r="Q9" s="281"/>
      <c r="R9" s="281"/>
      <c r="S9" s="284"/>
      <c r="T9" s="303"/>
      <c r="U9" s="303"/>
      <c r="V9" s="285">
        <f>SUM(C9:S9)</f>
        <v>0</v>
      </c>
    </row>
    <row r="10" spans="1:22" s="158" customFormat="1">
      <c r="A10" s="159">
        <v>4</v>
      </c>
      <c r="B10" s="157" t="s">
        <v>219</v>
      </c>
      <c r="C10" s="283"/>
      <c r="D10" s="281"/>
      <c r="E10" s="281"/>
      <c r="F10" s="281"/>
      <c r="G10" s="281"/>
      <c r="H10" s="281"/>
      <c r="I10" s="281"/>
      <c r="J10" s="281"/>
      <c r="K10" s="281"/>
      <c r="L10" s="284"/>
      <c r="M10" s="283"/>
      <c r="N10" s="281"/>
      <c r="O10" s="281"/>
      <c r="P10" s="281"/>
      <c r="Q10" s="281"/>
      <c r="R10" s="281"/>
      <c r="S10" s="284"/>
      <c r="T10" s="303"/>
      <c r="U10" s="303"/>
      <c r="V10" s="285">
        <f t="shared" si="0"/>
        <v>0</v>
      </c>
    </row>
    <row r="11" spans="1:22" s="158" customFormat="1">
      <c r="A11" s="159">
        <v>5</v>
      </c>
      <c r="B11" s="157" t="s">
        <v>220</v>
      </c>
      <c r="C11" s="283"/>
      <c r="D11" s="281"/>
      <c r="E11" s="281"/>
      <c r="F11" s="281"/>
      <c r="G11" s="281"/>
      <c r="H11" s="281"/>
      <c r="I11" s="281"/>
      <c r="J11" s="281"/>
      <c r="K11" s="281"/>
      <c r="L11" s="284"/>
      <c r="M11" s="283"/>
      <c r="N11" s="281"/>
      <c r="O11" s="281"/>
      <c r="P11" s="281"/>
      <c r="Q11" s="281"/>
      <c r="R11" s="281"/>
      <c r="S11" s="284"/>
      <c r="T11" s="303"/>
      <c r="U11" s="303"/>
      <c r="V11" s="285">
        <f t="shared" si="0"/>
        <v>0</v>
      </c>
    </row>
    <row r="12" spans="1:22" s="158" customFormat="1">
      <c r="A12" s="159">
        <v>6</v>
      </c>
      <c r="B12" s="157" t="s">
        <v>221</v>
      </c>
      <c r="C12" s="283"/>
      <c r="D12" s="281"/>
      <c r="E12" s="281"/>
      <c r="F12" s="281"/>
      <c r="G12" s="281"/>
      <c r="H12" s="281"/>
      <c r="I12" s="281"/>
      <c r="J12" s="281"/>
      <c r="K12" s="281"/>
      <c r="L12" s="284"/>
      <c r="M12" s="283"/>
      <c r="N12" s="281"/>
      <c r="O12" s="281"/>
      <c r="P12" s="281"/>
      <c r="Q12" s="281"/>
      <c r="R12" s="281"/>
      <c r="S12" s="284"/>
      <c r="T12" s="303"/>
      <c r="U12" s="303"/>
      <c r="V12" s="285">
        <f t="shared" si="0"/>
        <v>0</v>
      </c>
    </row>
    <row r="13" spans="1:22" s="158" customFormat="1">
      <c r="A13" s="159">
        <v>7</v>
      </c>
      <c r="B13" s="157" t="s">
        <v>73</v>
      </c>
      <c r="C13" s="283"/>
      <c r="D13" s="281"/>
      <c r="E13" s="281"/>
      <c r="F13" s="281"/>
      <c r="G13" s="281"/>
      <c r="H13" s="281"/>
      <c r="I13" s="281"/>
      <c r="J13" s="281"/>
      <c r="K13" s="281"/>
      <c r="L13" s="284"/>
      <c r="M13" s="283"/>
      <c r="N13" s="281"/>
      <c r="O13" s="281"/>
      <c r="P13" s="281"/>
      <c r="Q13" s="281"/>
      <c r="R13" s="281"/>
      <c r="S13" s="284"/>
      <c r="T13" s="303"/>
      <c r="U13" s="303"/>
      <c r="V13" s="285">
        <f t="shared" si="0"/>
        <v>0</v>
      </c>
    </row>
    <row r="14" spans="1:22" s="158" customFormat="1">
      <c r="A14" s="159">
        <v>8</v>
      </c>
      <c r="B14" s="157" t="s">
        <v>74</v>
      </c>
      <c r="C14" s="283"/>
      <c r="D14" s="281"/>
      <c r="E14" s="281"/>
      <c r="F14" s="281"/>
      <c r="G14" s="281"/>
      <c r="H14" s="281"/>
      <c r="I14" s="281"/>
      <c r="J14" s="281"/>
      <c r="K14" s="281"/>
      <c r="L14" s="284"/>
      <c r="M14" s="283"/>
      <c r="N14" s="281"/>
      <c r="O14" s="281"/>
      <c r="P14" s="281"/>
      <c r="Q14" s="281"/>
      <c r="R14" s="281"/>
      <c r="S14" s="284"/>
      <c r="T14" s="303"/>
      <c r="U14" s="303"/>
      <c r="V14" s="285">
        <f t="shared" si="0"/>
        <v>0</v>
      </c>
    </row>
    <row r="15" spans="1:22" s="158" customFormat="1">
      <c r="A15" s="159">
        <v>9</v>
      </c>
      <c r="B15" s="157" t="s">
        <v>75</v>
      </c>
      <c r="C15" s="283"/>
      <c r="D15" s="281"/>
      <c r="E15" s="281"/>
      <c r="F15" s="281"/>
      <c r="G15" s="281"/>
      <c r="H15" s="281"/>
      <c r="I15" s="281"/>
      <c r="J15" s="281"/>
      <c r="K15" s="281"/>
      <c r="L15" s="284"/>
      <c r="M15" s="283"/>
      <c r="N15" s="281"/>
      <c r="O15" s="281"/>
      <c r="P15" s="281"/>
      <c r="Q15" s="281"/>
      <c r="R15" s="281"/>
      <c r="S15" s="284"/>
      <c r="T15" s="303"/>
      <c r="U15" s="303"/>
      <c r="V15" s="285">
        <f t="shared" si="0"/>
        <v>0</v>
      </c>
    </row>
    <row r="16" spans="1:22" s="158" customFormat="1">
      <c r="A16" s="159">
        <v>10</v>
      </c>
      <c r="B16" s="157" t="s">
        <v>69</v>
      </c>
      <c r="C16" s="283"/>
      <c r="D16" s="281"/>
      <c r="E16" s="281"/>
      <c r="F16" s="281"/>
      <c r="G16" s="281"/>
      <c r="H16" s="281"/>
      <c r="I16" s="281"/>
      <c r="J16" s="281"/>
      <c r="K16" s="281"/>
      <c r="L16" s="284"/>
      <c r="M16" s="283"/>
      <c r="N16" s="281"/>
      <c r="O16" s="281"/>
      <c r="P16" s="281"/>
      <c r="Q16" s="281"/>
      <c r="R16" s="281"/>
      <c r="S16" s="284"/>
      <c r="T16" s="303"/>
      <c r="U16" s="303"/>
      <c r="V16" s="285">
        <f t="shared" si="0"/>
        <v>0</v>
      </c>
    </row>
    <row r="17" spans="1:22" s="158" customFormat="1">
      <c r="A17" s="159">
        <v>11</v>
      </c>
      <c r="B17" s="157" t="s">
        <v>70</v>
      </c>
      <c r="C17" s="283"/>
      <c r="D17" s="281"/>
      <c r="E17" s="281"/>
      <c r="F17" s="281"/>
      <c r="G17" s="281"/>
      <c r="H17" s="281"/>
      <c r="I17" s="281"/>
      <c r="J17" s="281"/>
      <c r="K17" s="281"/>
      <c r="L17" s="284"/>
      <c r="M17" s="283"/>
      <c r="N17" s="281"/>
      <c r="O17" s="281"/>
      <c r="P17" s="281"/>
      <c r="Q17" s="281"/>
      <c r="R17" s="281"/>
      <c r="S17" s="284"/>
      <c r="T17" s="303"/>
      <c r="U17" s="303"/>
      <c r="V17" s="285">
        <f t="shared" si="0"/>
        <v>0</v>
      </c>
    </row>
    <row r="18" spans="1:22" s="158" customFormat="1">
      <c r="A18" s="159">
        <v>12</v>
      </c>
      <c r="B18" s="157" t="s">
        <v>71</v>
      </c>
      <c r="C18" s="283"/>
      <c r="D18" s="281"/>
      <c r="E18" s="281"/>
      <c r="F18" s="281"/>
      <c r="G18" s="281"/>
      <c r="H18" s="281"/>
      <c r="I18" s="281"/>
      <c r="J18" s="281"/>
      <c r="K18" s="281"/>
      <c r="L18" s="284"/>
      <c r="M18" s="283"/>
      <c r="N18" s="281"/>
      <c r="O18" s="281"/>
      <c r="P18" s="281"/>
      <c r="Q18" s="281"/>
      <c r="R18" s="281"/>
      <c r="S18" s="284"/>
      <c r="T18" s="303"/>
      <c r="U18" s="303"/>
      <c r="V18" s="285">
        <f t="shared" si="0"/>
        <v>0</v>
      </c>
    </row>
    <row r="19" spans="1:22" s="158" customFormat="1">
      <c r="A19" s="159">
        <v>13</v>
      </c>
      <c r="B19" s="157" t="s">
        <v>72</v>
      </c>
      <c r="C19" s="283"/>
      <c r="D19" s="281"/>
      <c r="E19" s="281"/>
      <c r="F19" s="281"/>
      <c r="G19" s="281"/>
      <c r="H19" s="281"/>
      <c r="I19" s="281"/>
      <c r="J19" s="281"/>
      <c r="K19" s="281"/>
      <c r="L19" s="284"/>
      <c r="M19" s="283"/>
      <c r="N19" s="281"/>
      <c r="O19" s="281"/>
      <c r="P19" s="281"/>
      <c r="Q19" s="281"/>
      <c r="R19" s="281"/>
      <c r="S19" s="284"/>
      <c r="T19" s="303"/>
      <c r="U19" s="303"/>
      <c r="V19" s="285">
        <f t="shared" si="0"/>
        <v>0</v>
      </c>
    </row>
    <row r="20" spans="1:22" s="158" customFormat="1">
      <c r="A20" s="159">
        <v>14</v>
      </c>
      <c r="B20" s="157" t="s">
        <v>248</v>
      </c>
      <c r="C20" s="283"/>
      <c r="D20" s="281"/>
      <c r="E20" s="281"/>
      <c r="F20" s="281"/>
      <c r="G20" s="281"/>
      <c r="H20" s="281"/>
      <c r="I20" s="281"/>
      <c r="J20" s="281"/>
      <c r="K20" s="281"/>
      <c r="L20" s="284"/>
      <c r="M20" s="283"/>
      <c r="N20" s="281"/>
      <c r="O20" s="281"/>
      <c r="P20" s="281"/>
      <c r="Q20" s="281"/>
      <c r="R20" s="281"/>
      <c r="S20" s="284"/>
      <c r="T20" s="303"/>
      <c r="U20" s="303"/>
      <c r="V20" s="285">
        <f t="shared" si="0"/>
        <v>0</v>
      </c>
    </row>
    <row r="21" spans="1:22" ht="13.5" thickBot="1">
      <c r="A21" s="101"/>
      <c r="B21" s="102" t="s">
        <v>68</v>
      </c>
      <c r="C21" s="286">
        <f>SUM(C7:C20)</f>
        <v>0</v>
      </c>
      <c r="D21" s="282">
        <f t="shared" ref="D21:V21" si="1">SUM(D7:D20)</f>
        <v>0</v>
      </c>
      <c r="E21" s="282">
        <f t="shared" si="1"/>
        <v>0</v>
      </c>
      <c r="F21" s="282">
        <f t="shared" si="1"/>
        <v>0</v>
      </c>
      <c r="G21" s="282">
        <f t="shared" si="1"/>
        <v>0</v>
      </c>
      <c r="H21" s="282">
        <f t="shared" si="1"/>
        <v>0</v>
      </c>
      <c r="I21" s="282">
        <f t="shared" si="1"/>
        <v>0</v>
      </c>
      <c r="J21" s="282">
        <f t="shared" si="1"/>
        <v>0</v>
      </c>
      <c r="K21" s="282">
        <f t="shared" si="1"/>
        <v>0</v>
      </c>
      <c r="L21" s="287">
        <f t="shared" si="1"/>
        <v>0</v>
      </c>
      <c r="M21" s="286">
        <f t="shared" si="1"/>
        <v>0</v>
      </c>
      <c r="N21" s="282">
        <f t="shared" si="1"/>
        <v>0</v>
      </c>
      <c r="O21" s="282">
        <f t="shared" si="1"/>
        <v>0</v>
      </c>
      <c r="P21" s="282">
        <f t="shared" si="1"/>
        <v>0</v>
      </c>
      <c r="Q21" s="282">
        <f t="shared" si="1"/>
        <v>0</v>
      </c>
      <c r="R21" s="282">
        <f t="shared" si="1"/>
        <v>0</v>
      </c>
      <c r="S21" s="287">
        <f t="shared" si="1"/>
        <v>0</v>
      </c>
      <c r="T21" s="287">
        <f>SUM(T7:T20)</f>
        <v>0</v>
      </c>
      <c r="U21" s="287">
        <f t="shared" si="1"/>
        <v>0</v>
      </c>
      <c r="V21" s="288">
        <f t="shared" si="1"/>
        <v>0</v>
      </c>
    </row>
    <row r="24" spans="1:22">
      <c r="A24" s="18"/>
      <c r="B24" s="18"/>
      <c r="C24" s="70"/>
      <c r="D24" s="70"/>
      <c r="E24" s="70"/>
    </row>
    <row r="25" spans="1:22">
      <c r="A25" s="94"/>
      <c r="B25" s="94"/>
      <c r="C25" s="18"/>
      <c r="D25" s="70"/>
      <c r="E25" s="70"/>
    </row>
    <row r="26" spans="1:22">
      <c r="A26" s="94"/>
      <c r="B26" s="95"/>
      <c r="C26" s="18"/>
      <c r="D26" s="70"/>
      <c r="E26" s="70"/>
    </row>
    <row r="27" spans="1:22">
      <c r="A27" s="94"/>
      <c r="B27" s="94"/>
      <c r="C27" s="18"/>
      <c r="D27" s="70"/>
      <c r="E27" s="70"/>
    </row>
    <row r="28" spans="1:22">
      <c r="A28" s="94"/>
      <c r="B28" s="95"/>
      <c r="C28" s="18"/>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C21" sqref="C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38" t="str">
        <f>Info!C2</f>
        <v>სს "კრედო ბანკი"</v>
      </c>
    </row>
    <row r="2" spans="1:9">
      <c r="A2" s="2" t="s">
        <v>189</v>
      </c>
      <c r="B2" s="472">
        <f>'1. key ratios'!B2</f>
        <v>44561</v>
      </c>
    </row>
    <row r="4" spans="1:9" ht="13.5" thickBot="1">
      <c r="A4" s="2" t="s">
        <v>339</v>
      </c>
      <c r="B4" s="306" t="s">
        <v>360</v>
      </c>
    </row>
    <row r="5" spans="1:9">
      <c r="A5" s="99"/>
      <c r="B5" s="155"/>
      <c r="C5" s="161" t="s">
        <v>0</v>
      </c>
      <c r="D5" s="161" t="s">
        <v>1</v>
      </c>
      <c r="E5" s="161" t="s">
        <v>2</v>
      </c>
      <c r="F5" s="161" t="s">
        <v>3</v>
      </c>
      <c r="G5" s="301" t="s">
        <v>4</v>
      </c>
      <c r="H5" s="162" t="s">
        <v>5</v>
      </c>
      <c r="I5" s="24"/>
    </row>
    <row r="6" spans="1:9" ht="15" customHeight="1">
      <c r="A6" s="154"/>
      <c r="B6" s="22"/>
      <c r="C6" s="733" t="s">
        <v>352</v>
      </c>
      <c r="D6" s="737" t="s">
        <v>362</v>
      </c>
      <c r="E6" s="738"/>
      <c r="F6" s="733" t="s">
        <v>363</v>
      </c>
      <c r="G6" s="733" t="s">
        <v>364</v>
      </c>
      <c r="H6" s="735" t="s">
        <v>354</v>
      </c>
      <c r="I6" s="24"/>
    </row>
    <row r="7" spans="1:9" ht="76.5">
      <c r="A7" s="154"/>
      <c r="B7" s="22"/>
      <c r="C7" s="734"/>
      <c r="D7" s="305" t="s">
        <v>355</v>
      </c>
      <c r="E7" s="305" t="s">
        <v>353</v>
      </c>
      <c r="F7" s="734"/>
      <c r="G7" s="734"/>
      <c r="H7" s="736"/>
      <c r="I7" s="24"/>
    </row>
    <row r="8" spans="1:9">
      <c r="A8" s="90">
        <v>1</v>
      </c>
      <c r="B8" s="72" t="s">
        <v>216</v>
      </c>
      <c r="C8" s="289">
        <v>86774012.480000004</v>
      </c>
      <c r="D8" s="290"/>
      <c r="E8" s="289"/>
      <c r="F8" s="289">
        <v>19420040.77</v>
      </c>
      <c r="G8" s="302">
        <v>19420040.77</v>
      </c>
      <c r="H8" s="311">
        <f>IFERROR(G8/(C8+E8),"")</f>
        <v>0.22380019334101903</v>
      </c>
    </row>
    <row r="9" spans="1:9" ht="21" customHeight="1">
      <c r="A9" s="90">
        <v>2</v>
      </c>
      <c r="B9" s="72" t="s">
        <v>217</v>
      </c>
      <c r="C9" s="289"/>
      <c r="D9" s="290"/>
      <c r="E9" s="289"/>
      <c r="F9" s="289"/>
      <c r="G9" s="302"/>
      <c r="H9" s="311" t="str">
        <f t="shared" ref="H9:H21" si="0">IFERROR(G9/(C9+E9),"")</f>
        <v/>
      </c>
    </row>
    <row r="10" spans="1:9">
      <c r="A10" s="90">
        <v>3</v>
      </c>
      <c r="B10" s="72" t="s">
        <v>218</v>
      </c>
      <c r="C10" s="289"/>
      <c r="D10" s="290"/>
      <c r="E10" s="289"/>
      <c r="F10" s="289"/>
      <c r="G10" s="302"/>
      <c r="H10" s="311" t="str">
        <f t="shared" si="0"/>
        <v/>
      </c>
    </row>
    <row r="11" spans="1:9">
      <c r="A11" s="90">
        <v>4</v>
      </c>
      <c r="B11" s="72" t="s">
        <v>219</v>
      </c>
      <c r="C11" s="289">
        <v>26128276.16</v>
      </c>
      <c r="D11" s="290"/>
      <c r="E11" s="289"/>
      <c r="F11" s="289"/>
      <c r="G11" s="302"/>
      <c r="H11" s="311">
        <f t="shared" si="0"/>
        <v>0</v>
      </c>
    </row>
    <row r="12" spans="1:9">
      <c r="A12" s="90">
        <v>5</v>
      </c>
      <c r="B12" s="72" t="s">
        <v>220</v>
      </c>
      <c r="C12" s="289"/>
      <c r="D12" s="290"/>
      <c r="E12" s="289"/>
      <c r="F12" s="289"/>
      <c r="G12" s="302"/>
      <c r="H12" s="311" t="str">
        <f t="shared" si="0"/>
        <v/>
      </c>
    </row>
    <row r="13" spans="1:9">
      <c r="A13" s="90">
        <v>6</v>
      </c>
      <c r="B13" s="72" t="s">
        <v>221</v>
      </c>
      <c r="C13" s="289">
        <v>52437417.009999998</v>
      </c>
      <c r="D13" s="290"/>
      <c r="E13" s="289"/>
      <c r="F13" s="289">
        <v>26012024.789000001</v>
      </c>
      <c r="G13" s="302">
        <v>26012024.789000001</v>
      </c>
      <c r="H13" s="311">
        <f t="shared" si="0"/>
        <v>0.49605846878459742</v>
      </c>
    </row>
    <row r="14" spans="1:9">
      <c r="A14" s="90">
        <v>7</v>
      </c>
      <c r="B14" s="72" t="s">
        <v>73</v>
      </c>
      <c r="C14" s="289">
        <v>4536803.2538578054</v>
      </c>
      <c r="D14" s="290"/>
      <c r="E14" s="289"/>
      <c r="F14" s="290">
        <v>4536803.2538578054</v>
      </c>
      <c r="G14" s="350">
        <v>4536803.2538578054</v>
      </c>
      <c r="H14" s="311">
        <f t="shared" si="0"/>
        <v>1</v>
      </c>
    </row>
    <row r="15" spans="1:9">
      <c r="A15" s="90">
        <v>8</v>
      </c>
      <c r="B15" s="72" t="s">
        <v>74</v>
      </c>
      <c r="C15" s="290">
        <v>1307522643.5218318</v>
      </c>
      <c r="D15" s="290">
        <v>33554504.450000003</v>
      </c>
      <c r="E15" s="289">
        <v>8779023.1150000002</v>
      </c>
      <c r="F15" s="290">
        <v>987688433.65262377</v>
      </c>
      <c r="G15" s="350">
        <v>987688433.65262377</v>
      </c>
      <c r="H15" s="311">
        <f t="shared" si="0"/>
        <v>0.75035112291256212</v>
      </c>
    </row>
    <row r="16" spans="1:9">
      <c r="A16" s="90">
        <v>9</v>
      </c>
      <c r="B16" s="72" t="s">
        <v>75</v>
      </c>
      <c r="C16" s="289"/>
      <c r="D16" s="290"/>
      <c r="E16" s="289"/>
      <c r="F16" s="290"/>
      <c r="G16" s="350"/>
      <c r="H16" s="311" t="str">
        <f t="shared" si="0"/>
        <v/>
      </c>
    </row>
    <row r="17" spans="1:8">
      <c r="A17" s="90">
        <v>10</v>
      </c>
      <c r="B17" s="72" t="s">
        <v>69</v>
      </c>
      <c r="C17" s="289">
        <v>8902806.6124230549</v>
      </c>
      <c r="D17" s="290"/>
      <c r="E17" s="289"/>
      <c r="F17" s="290">
        <v>9278939.8333549369</v>
      </c>
      <c r="G17" s="350">
        <v>9278939.8333549369</v>
      </c>
      <c r="H17" s="311">
        <f t="shared" si="0"/>
        <v>1.0422488364969114</v>
      </c>
    </row>
    <row r="18" spans="1:8">
      <c r="A18" s="90">
        <v>11</v>
      </c>
      <c r="B18" s="72" t="s">
        <v>70</v>
      </c>
      <c r="C18" s="289">
        <v>158681663.37080058</v>
      </c>
      <c r="D18" s="290"/>
      <c r="E18" s="289"/>
      <c r="F18" s="290">
        <v>190600442.4806802</v>
      </c>
      <c r="G18" s="350">
        <v>190600442.4806802</v>
      </c>
      <c r="H18" s="311">
        <f t="shared" si="0"/>
        <v>1.2011497638217541</v>
      </c>
    </row>
    <row r="19" spans="1:8">
      <c r="A19" s="90">
        <v>12</v>
      </c>
      <c r="B19" s="72" t="s">
        <v>71</v>
      </c>
      <c r="C19" s="289"/>
      <c r="D19" s="290"/>
      <c r="E19" s="289"/>
      <c r="F19" s="290"/>
      <c r="G19" s="350"/>
      <c r="H19" s="311" t="str">
        <f t="shared" si="0"/>
        <v/>
      </c>
    </row>
    <row r="20" spans="1:8">
      <c r="A20" s="90">
        <v>13</v>
      </c>
      <c r="B20" s="72" t="s">
        <v>72</v>
      </c>
      <c r="C20" s="289"/>
      <c r="D20" s="290"/>
      <c r="E20" s="289"/>
      <c r="F20" s="290"/>
      <c r="G20" s="350"/>
      <c r="H20" s="311" t="str">
        <f t="shared" si="0"/>
        <v/>
      </c>
    </row>
    <row r="21" spans="1:8">
      <c r="A21" s="90">
        <v>14</v>
      </c>
      <c r="B21" s="72" t="s">
        <v>248</v>
      </c>
      <c r="C21" s="289">
        <v>156155884.86000001</v>
      </c>
      <c r="D21" s="290"/>
      <c r="E21" s="289"/>
      <c r="F21" s="290">
        <v>64738049</v>
      </c>
      <c r="G21" s="350">
        <v>64738049</v>
      </c>
      <c r="H21" s="311">
        <f t="shared" si="0"/>
        <v>0.41457322635032451</v>
      </c>
    </row>
    <row r="22" spans="1:8" ht="13.5" thickBot="1">
      <c r="A22" s="156"/>
      <c r="B22" s="163" t="s">
        <v>68</v>
      </c>
      <c r="C22" s="282">
        <f>SUM(C8:C21)</f>
        <v>1801139507.2689128</v>
      </c>
      <c r="D22" s="282">
        <f>SUM(D8:D21)</f>
        <v>33554504.450000003</v>
      </c>
      <c r="E22" s="282">
        <f>SUM(E8:E21)</f>
        <v>8779023.1150000002</v>
      </c>
      <c r="F22" s="282">
        <f>SUM(F8:F21)</f>
        <v>1302274733.7795167</v>
      </c>
      <c r="G22" s="282">
        <f>SUM(G8:G21)</f>
        <v>1302274733.7795167</v>
      </c>
      <c r="H22" s="617">
        <f>G22/(C22+E22)</f>
        <v>0.71952118944452337</v>
      </c>
    </row>
    <row r="24" spans="1:8">
      <c r="F24" s="681"/>
    </row>
    <row r="25" spans="1:8">
      <c r="F25" s="681"/>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H27" sqref="H27"/>
    </sheetView>
  </sheetViews>
  <sheetFormatPr defaultColWidth="9.140625" defaultRowHeight="12.75"/>
  <cols>
    <col min="1" max="1" width="10.5703125" style="338" bestFit="1" customWidth="1"/>
    <col min="2" max="2" width="84" style="338" customWidth="1"/>
    <col min="3" max="11" width="12.7109375" style="338" customWidth="1"/>
    <col min="12" max="16384" width="9.140625" style="338"/>
  </cols>
  <sheetData>
    <row r="1" spans="1:11">
      <c r="A1" s="338" t="s">
        <v>188</v>
      </c>
      <c r="B1" s="338" t="str">
        <f>Info!C2</f>
        <v>სს "კრედო ბანკი"</v>
      </c>
    </row>
    <row r="2" spans="1:11">
      <c r="A2" s="338" t="s">
        <v>189</v>
      </c>
      <c r="B2" s="472">
        <f>'1. key ratios'!B2</f>
        <v>44561</v>
      </c>
      <c r="C2" s="339"/>
      <c r="D2" s="339"/>
    </row>
    <row r="3" spans="1:11">
      <c r="B3" s="339"/>
      <c r="C3" s="339"/>
      <c r="D3" s="339"/>
    </row>
    <row r="4" spans="1:11" ht="13.5" thickBot="1">
      <c r="A4" s="338" t="s">
        <v>392</v>
      </c>
      <c r="B4" s="306" t="s">
        <v>391</v>
      </c>
      <c r="C4" s="339"/>
      <c r="D4" s="339"/>
    </row>
    <row r="5" spans="1:11" ht="30" customHeight="1">
      <c r="A5" s="742"/>
      <c r="B5" s="743"/>
      <c r="C5" s="740" t="s">
        <v>423</v>
      </c>
      <c r="D5" s="740"/>
      <c r="E5" s="740"/>
      <c r="F5" s="740" t="s">
        <v>424</v>
      </c>
      <c r="G5" s="740"/>
      <c r="H5" s="740"/>
      <c r="I5" s="740" t="s">
        <v>425</v>
      </c>
      <c r="J5" s="740"/>
      <c r="K5" s="741"/>
    </row>
    <row r="6" spans="1:11">
      <c r="A6" s="336"/>
      <c r="B6" s="337"/>
      <c r="C6" s="340" t="s">
        <v>27</v>
      </c>
      <c r="D6" s="340" t="s">
        <v>96</v>
      </c>
      <c r="E6" s="340" t="s">
        <v>68</v>
      </c>
      <c r="F6" s="340" t="s">
        <v>27</v>
      </c>
      <c r="G6" s="340" t="s">
        <v>96</v>
      </c>
      <c r="H6" s="340" t="s">
        <v>68</v>
      </c>
      <c r="I6" s="340" t="s">
        <v>27</v>
      </c>
      <c r="J6" s="340" t="s">
        <v>96</v>
      </c>
      <c r="K6" s="341" t="s">
        <v>68</v>
      </c>
    </row>
    <row r="7" spans="1:11">
      <c r="A7" s="342" t="s">
        <v>371</v>
      </c>
      <c r="B7" s="335"/>
      <c r="C7" s="335"/>
      <c r="D7" s="335"/>
      <c r="E7" s="335"/>
      <c r="F7" s="335"/>
      <c r="G7" s="335"/>
      <c r="H7" s="335"/>
      <c r="I7" s="335"/>
      <c r="J7" s="335"/>
      <c r="K7" s="343"/>
    </row>
    <row r="8" spans="1:11">
      <c r="A8" s="334">
        <v>1</v>
      </c>
      <c r="B8" s="318" t="s">
        <v>371</v>
      </c>
      <c r="C8" s="316"/>
      <c r="D8" s="316"/>
      <c r="E8" s="316"/>
      <c r="F8" s="620">
        <v>98067066.261501357</v>
      </c>
      <c r="G8" s="620">
        <v>109098273.07861023</v>
      </c>
      <c r="H8" s="620">
        <f>F8+G8</f>
        <v>207165339.34011158</v>
      </c>
      <c r="I8" s="620">
        <v>100056503.41660933</v>
      </c>
      <c r="J8" s="620">
        <v>37135769.187904567</v>
      </c>
      <c r="K8" s="621">
        <f>I8+J8</f>
        <v>137192272.60451388</v>
      </c>
    </row>
    <row r="9" spans="1:11">
      <c r="A9" s="342" t="s">
        <v>372</v>
      </c>
      <c r="B9" s="335"/>
      <c r="C9" s="335"/>
      <c r="D9" s="335"/>
      <c r="E9" s="335"/>
      <c r="F9" s="335"/>
      <c r="G9" s="335"/>
      <c r="H9" s="620"/>
      <c r="I9" s="335"/>
      <c r="J9" s="335"/>
      <c r="K9" s="621"/>
    </row>
    <row r="10" spans="1:11">
      <c r="A10" s="344">
        <v>2</v>
      </c>
      <c r="B10" s="319" t="s">
        <v>373</v>
      </c>
      <c r="C10" s="501">
        <v>144892320.30617321</v>
      </c>
      <c r="D10" s="618">
        <v>62808328.174405791</v>
      </c>
      <c r="E10" s="618">
        <f>C10+D10</f>
        <v>207700648.48057899</v>
      </c>
      <c r="F10" s="618">
        <v>43467696.091851957</v>
      </c>
      <c r="G10" s="618">
        <v>18842498.452321738</v>
      </c>
      <c r="H10" s="620">
        <f t="shared" ref="H10:H19" si="0">F10+G10</f>
        <v>62310194.544173695</v>
      </c>
      <c r="I10" s="618">
        <v>7244616.0153086605</v>
      </c>
      <c r="J10" s="618">
        <v>3140416.4087202898</v>
      </c>
      <c r="K10" s="621">
        <f t="shared" ref="K10:K19" si="1">I10+J10</f>
        <v>10385032.42402895</v>
      </c>
    </row>
    <row r="11" spans="1:11">
      <c r="A11" s="344">
        <v>3</v>
      </c>
      <c r="B11" s="319" t="s">
        <v>374</v>
      </c>
      <c r="C11" s="501">
        <v>143336681.0823088</v>
      </c>
      <c r="D11" s="618">
        <v>17166141.025815208</v>
      </c>
      <c r="E11" s="618">
        <f t="shared" ref="E11:E19" si="2">C11+D11</f>
        <v>160502822.10812402</v>
      </c>
      <c r="F11" s="618">
        <v>62381521.584965117</v>
      </c>
      <c r="G11" s="618">
        <v>14560974.867208218</v>
      </c>
      <c r="H11" s="620">
        <f t="shared" si="0"/>
        <v>76942496.452173337</v>
      </c>
      <c r="I11" s="618">
        <v>44840731.710629202</v>
      </c>
      <c r="J11" s="618">
        <v>13909683.32755647</v>
      </c>
      <c r="K11" s="621">
        <f t="shared" si="1"/>
        <v>58750415.038185671</v>
      </c>
    </row>
    <row r="12" spans="1:11">
      <c r="A12" s="344">
        <v>4</v>
      </c>
      <c r="B12" s="319" t="s">
        <v>375</v>
      </c>
      <c r="C12" s="501">
        <v>40000000</v>
      </c>
      <c r="D12" s="618"/>
      <c r="E12" s="618">
        <f t="shared" si="2"/>
        <v>40000000</v>
      </c>
      <c r="F12" s="618"/>
      <c r="G12" s="618"/>
      <c r="H12" s="620"/>
      <c r="I12" s="618"/>
      <c r="J12" s="618"/>
      <c r="K12" s="621"/>
    </row>
    <row r="13" spans="1:11">
      <c r="A13" s="344">
        <v>5</v>
      </c>
      <c r="B13" s="319" t="s">
        <v>376</v>
      </c>
      <c r="C13" s="501">
        <v>17643743.365343686</v>
      </c>
      <c r="D13" s="618">
        <v>0</v>
      </c>
      <c r="E13" s="618">
        <f t="shared" si="2"/>
        <v>17643743.365343686</v>
      </c>
      <c r="F13" s="618">
        <v>5293123.0096031055</v>
      </c>
      <c r="G13" s="618">
        <v>0</v>
      </c>
      <c r="H13" s="620">
        <f t="shared" si="0"/>
        <v>5293123.0096031055</v>
      </c>
      <c r="I13" s="618">
        <v>882187.1682671844</v>
      </c>
      <c r="J13" s="618">
        <v>0</v>
      </c>
      <c r="K13" s="621">
        <f t="shared" si="1"/>
        <v>882187.1682671844</v>
      </c>
    </row>
    <row r="14" spans="1:11">
      <c r="A14" s="344">
        <v>6</v>
      </c>
      <c r="B14" s="319" t="s">
        <v>390</v>
      </c>
      <c r="C14" s="501"/>
      <c r="D14" s="618"/>
      <c r="E14" s="618"/>
      <c r="F14" s="618"/>
      <c r="G14" s="618"/>
      <c r="H14" s="620"/>
      <c r="I14" s="618"/>
      <c r="J14" s="618"/>
      <c r="K14" s="621"/>
    </row>
    <row r="15" spans="1:11">
      <c r="A15" s="344">
        <v>7</v>
      </c>
      <c r="B15" s="319" t="s">
        <v>377</v>
      </c>
      <c r="C15" s="501">
        <v>7589478.8878895789</v>
      </c>
      <c r="D15" s="618">
        <v>2949868.1984523945</v>
      </c>
      <c r="E15" s="618">
        <f t="shared" si="2"/>
        <v>10539347.086341973</v>
      </c>
      <c r="F15" s="618">
        <v>7589478.8878895789</v>
      </c>
      <c r="G15" s="618">
        <v>2949868.1984523945</v>
      </c>
      <c r="H15" s="620">
        <f t="shared" si="0"/>
        <v>10539347.086341973</v>
      </c>
      <c r="I15" s="618">
        <v>7589478.8878895789</v>
      </c>
      <c r="J15" s="618">
        <v>2949868.1984523945</v>
      </c>
      <c r="K15" s="621">
        <f t="shared" si="1"/>
        <v>10539347.086341973</v>
      </c>
    </row>
    <row r="16" spans="1:11">
      <c r="A16" s="344">
        <v>8</v>
      </c>
      <c r="B16" s="321" t="s">
        <v>378</v>
      </c>
      <c r="C16" s="622">
        <f t="shared" ref="C16:K16" si="3">SUM(C10:C15)</f>
        <v>353462223.64171523</v>
      </c>
      <c r="D16" s="622">
        <f t="shared" si="3"/>
        <v>82924337.3986734</v>
      </c>
      <c r="E16" s="622">
        <f t="shared" si="3"/>
        <v>436386561.0403887</v>
      </c>
      <c r="F16" s="622">
        <f t="shared" si="3"/>
        <v>118731819.57430975</v>
      </c>
      <c r="G16" s="622">
        <f t="shared" si="3"/>
        <v>36353341.517982349</v>
      </c>
      <c r="H16" s="622">
        <f t="shared" si="3"/>
        <v>155085161.09229213</v>
      </c>
      <c r="I16" s="622">
        <f t="shared" si="3"/>
        <v>60557013.782094628</v>
      </c>
      <c r="J16" s="622">
        <f t="shared" si="3"/>
        <v>19999967.934729155</v>
      </c>
      <c r="K16" s="622">
        <f t="shared" si="3"/>
        <v>80556981.716823786</v>
      </c>
    </row>
    <row r="17" spans="1:11">
      <c r="A17" s="342" t="s">
        <v>379</v>
      </c>
      <c r="B17" s="335"/>
      <c r="C17" s="619"/>
      <c r="D17" s="619"/>
      <c r="E17" s="618"/>
      <c r="F17" s="619"/>
      <c r="G17" s="619"/>
      <c r="H17" s="620"/>
      <c r="I17" s="619"/>
      <c r="J17" s="619"/>
      <c r="K17" s="621"/>
    </row>
    <row r="18" spans="1:11">
      <c r="A18" s="344">
        <v>9</v>
      </c>
      <c r="B18" s="319" t="s">
        <v>380</v>
      </c>
      <c r="C18" s="501"/>
      <c r="D18" s="618"/>
      <c r="E18" s="618"/>
      <c r="F18" s="618"/>
      <c r="G18" s="618"/>
      <c r="H18" s="620"/>
      <c r="I18" s="618"/>
      <c r="J18" s="618"/>
      <c r="K18" s="621"/>
    </row>
    <row r="19" spans="1:11">
      <c r="A19" s="344">
        <v>10</v>
      </c>
      <c r="B19" s="319" t="s">
        <v>381</v>
      </c>
      <c r="C19" s="501">
        <v>71972866.275312856</v>
      </c>
      <c r="D19" s="618">
        <v>763091.97058886068</v>
      </c>
      <c r="E19" s="618">
        <f t="shared" si="2"/>
        <v>72735958.245901719</v>
      </c>
      <c r="F19" s="618">
        <v>35986433.137656428</v>
      </c>
      <c r="G19" s="618">
        <v>381545.98529443034</v>
      </c>
      <c r="H19" s="620">
        <f t="shared" si="0"/>
        <v>36367979.122950859</v>
      </c>
      <c r="I19" s="618">
        <v>74233246.415678859</v>
      </c>
      <c r="J19" s="618">
        <v>72546773.088899672</v>
      </c>
      <c r="K19" s="621">
        <f t="shared" si="1"/>
        <v>146780019.50457853</v>
      </c>
    </row>
    <row r="20" spans="1:11">
      <c r="A20" s="344">
        <v>11</v>
      </c>
      <c r="B20" s="319" t="s">
        <v>382</v>
      </c>
      <c r="C20" s="319"/>
      <c r="D20" s="320"/>
      <c r="E20" s="320"/>
      <c r="F20" s="320"/>
      <c r="G20" s="320"/>
      <c r="H20" s="320"/>
      <c r="I20" s="320"/>
      <c r="J20" s="320"/>
      <c r="K20" s="345"/>
    </row>
    <row r="21" spans="1:11" ht="13.5" thickBot="1">
      <c r="A21" s="221">
        <v>12</v>
      </c>
      <c r="B21" s="346" t="s">
        <v>383</v>
      </c>
      <c r="C21" s="623">
        <f>SUM(C18:C20)</f>
        <v>71972866.275312856</v>
      </c>
      <c r="D21" s="623">
        <f t="shared" ref="D21:K21" si="4">SUM(D18:D20)</f>
        <v>763091.97058886068</v>
      </c>
      <c r="E21" s="623">
        <f t="shared" si="4"/>
        <v>72735958.245901719</v>
      </c>
      <c r="F21" s="623">
        <f t="shared" si="4"/>
        <v>35986433.137656428</v>
      </c>
      <c r="G21" s="623">
        <f t="shared" si="4"/>
        <v>381545.98529443034</v>
      </c>
      <c r="H21" s="623">
        <f t="shared" si="4"/>
        <v>36367979.122950859</v>
      </c>
      <c r="I21" s="623">
        <f t="shared" si="4"/>
        <v>74233246.415678859</v>
      </c>
      <c r="J21" s="623">
        <f t="shared" si="4"/>
        <v>72546773.088899672</v>
      </c>
      <c r="K21" s="623">
        <f t="shared" si="4"/>
        <v>146780019.50457853</v>
      </c>
    </row>
    <row r="22" spans="1:11" ht="38.25" customHeight="1" thickBot="1">
      <c r="A22" s="332"/>
      <c r="B22" s="333"/>
      <c r="C22" s="333"/>
      <c r="D22" s="333"/>
      <c r="E22" s="333"/>
      <c r="F22" s="739" t="s">
        <v>384</v>
      </c>
      <c r="G22" s="740"/>
      <c r="H22" s="740"/>
      <c r="I22" s="739" t="s">
        <v>385</v>
      </c>
      <c r="J22" s="740"/>
      <c r="K22" s="741"/>
    </row>
    <row r="23" spans="1:11" ht="13.5" thickBot="1">
      <c r="A23" s="325">
        <v>13</v>
      </c>
      <c r="B23" s="322" t="s">
        <v>371</v>
      </c>
      <c r="C23" s="331"/>
      <c r="D23" s="331"/>
      <c r="E23" s="331"/>
      <c r="F23" s="624">
        <f>F8</f>
        <v>98067066.261501357</v>
      </c>
      <c r="G23" s="624">
        <f>G8</f>
        <v>109098273.07861023</v>
      </c>
      <c r="H23" s="625">
        <f>F23+G23</f>
        <v>207165339.34011158</v>
      </c>
      <c r="I23" s="624">
        <f>I8</f>
        <v>100056503.41660933</v>
      </c>
      <c r="J23" s="624">
        <f>J8</f>
        <v>37135769.187904567</v>
      </c>
      <c r="K23" s="626">
        <f>I23+J23</f>
        <v>137192272.60451388</v>
      </c>
    </row>
    <row r="24" spans="1:11" ht="13.5" thickBot="1">
      <c r="A24" s="326">
        <v>14</v>
      </c>
      <c r="B24" s="323" t="s">
        <v>386</v>
      </c>
      <c r="C24" s="347"/>
      <c r="D24" s="329"/>
      <c r="E24" s="330"/>
      <c r="F24" s="627">
        <f>MAX(F16-F21,F16*0.25)</f>
        <v>82745386.436653316</v>
      </c>
      <c r="G24" s="627">
        <f>MAX(G16-G21,G16*0.25)</f>
        <v>35971795.532687917</v>
      </c>
      <c r="H24" s="625">
        <f>F24+G24</f>
        <v>118717181.96934123</v>
      </c>
      <c r="I24" s="627">
        <f>MAX(I16-I21,I16*0.25)</f>
        <v>15139253.445523657</v>
      </c>
      <c r="J24" s="627">
        <f>MAX(J16-J21,J16*0.25)</f>
        <v>4999991.9836822888</v>
      </c>
      <c r="K24" s="626">
        <f>I24+J24</f>
        <v>20139245.429205947</v>
      </c>
    </row>
    <row r="25" spans="1:11" ht="13.5" thickBot="1">
      <c r="A25" s="327">
        <v>15</v>
      </c>
      <c r="B25" s="324" t="s">
        <v>387</v>
      </c>
      <c r="C25" s="328"/>
      <c r="D25" s="328"/>
      <c r="E25" s="328"/>
      <c r="F25" s="628">
        <f t="shared" ref="F25:K25" si="5">F23/F24</f>
        <v>1.1851665752576759</v>
      </c>
      <c r="G25" s="628">
        <f t="shared" si="5"/>
        <v>3.0328837207881816</v>
      </c>
      <c r="H25" s="628">
        <f t="shared" si="5"/>
        <v>1.7450324873244727</v>
      </c>
      <c r="I25" s="628">
        <f t="shared" si="5"/>
        <v>6.6090777710174233</v>
      </c>
      <c r="J25" s="628">
        <f t="shared" si="5"/>
        <v>7.4271657452849746</v>
      </c>
      <c r="K25" s="629">
        <f t="shared" si="5"/>
        <v>6.8121853466047719</v>
      </c>
    </row>
    <row r="28" spans="1:11" ht="38.25">
      <c r="B28" s="23"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188</v>
      </c>
      <c r="B1" s="67" t="str">
        <f>Info!C2</f>
        <v>სს "კრედო ბანკი"</v>
      </c>
    </row>
    <row r="2" spans="1:14" ht="14.25" customHeight="1">
      <c r="A2" s="67" t="s">
        <v>189</v>
      </c>
      <c r="B2" s="472">
        <f>'1. key ratios'!B2</f>
        <v>44561</v>
      </c>
    </row>
    <row r="3" spans="1:14" ht="14.25" customHeight="1"/>
    <row r="4" spans="1:14" ht="15.75" thickBot="1">
      <c r="A4" s="2" t="s">
        <v>340</v>
      </c>
      <c r="B4" s="92" t="s">
        <v>77</v>
      </c>
    </row>
    <row r="5" spans="1:14" s="25" customFormat="1" ht="12.75">
      <c r="A5" s="172"/>
      <c r="B5" s="173"/>
      <c r="C5" s="174" t="s">
        <v>0</v>
      </c>
      <c r="D5" s="174" t="s">
        <v>1</v>
      </c>
      <c r="E5" s="174" t="s">
        <v>2</v>
      </c>
      <c r="F5" s="174" t="s">
        <v>3</v>
      </c>
      <c r="G5" s="174" t="s">
        <v>4</v>
      </c>
      <c r="H5" s="174" t="s">
        <v>5</v>
      </c>
      <c r="I5" s="174" t="s">
        <v>237</v>
      </c>
      <c r="J5" s="174" t="s">
        <v>238</v>
      </c>
      <c r="K5" s="174" t="s">
        <v>239</v>
      </c>
      <c r="L5" s="174" t="s">
        <v>240</v>
      </c>
      <c r="M5" s="174" t="s">
        <v>241</v>
      </c>
      <c r="N5" s="175" t="s">
        <v>242</v>
      </c>
    </row>
    <row r="6" spans="1:14" ht="45">
      <c r="A6" s="164"/>
      <c r="B6" s="104"/>
      <c r="C6" s="105" t="s">
        <v>87</v>
      </c>
      <c r="D6" s="106" t="s">
        <v>76</v>
      </c>
      <c r="E6" s="107" t="s">
        <v>86</v>
      </c>
      <c r="F6" s="108">
        <v>0</v>
      </c>
      <c r="G6" s="108">
        <v>0.2</v>
      </c>
      <c r="H6" s="108">
        <v>0.35</v>
      </c>
      <c r="I6" s="108">
        <v>0.5</v>
      </c>
      <c r="J6" s="108">
        <v>0.75</v>
      </c>
      <c r="K6" s="108">
        <v>1</v>
      </c>
      <c r="L6" s="108">
        <v>1.5</v>
      </c>
      <c r="M6" s="108">
        <v>2.5</v>
      </c>
      <c r="N6" s="165" t="s">
        <v>77</v>
      </c>
    </row>
    <row r="7" spans="1:14">
      <c r="A7" s="166">
        <v>1</v>
      </c>
      <c r="B7" s="109" t="s">
        <v>78</v>
      </c>
      <c r="C7" s="291">
        <f>SUM(C8:C13)</f>
        <v>15488000</v>
      </c>
      <c r="D7" s="104"/>
      <c r="E7" s="294">
        <f t="shared" ref="E7:M7" si="0">SUM(E8:E13)</f>
        <v>309760</v>
      </c>
      <c r="F7" s="291">
        <f>SUM(F8:F13)</f>
        <v>0</v>
      </c>
      <c r="G7" s="291">
        <f t="shared" si="0"/>
        <v>0</v>
      </c>
      <c r="H7" s="291">
        <f t="shared" si="0"/>
        <v>0</v>
      </c>
      <c r="I7" s="291">
        <f t="shared" si="0"/>
        <v>0</v>
      </c>
      <c r="J7" s="291">
        <f t="shared" si="0"/>
        <v>0</v>
      </c>
      <c r="K7" s="291">
        <f t="shared" si="0"/>
        <v>309760</v>
      </c>
      <c r="L7" s="291">
        <f t="shared" si="0"/>
        <v>0</v>
      </c>
      <c r="M7" s="291">
        <f t="shared" si="0"/>
        <v>0</v>
      </c>
      <c r="N7" s="167">
        <f>SUM(N8:N13)</f>
        <v>309760</v>
      </c>
    </row>
    <row r="8" spans="1:14">
      <c r="A8" s="166">
        <v>1.1000000000000001</v>
      </c>
      <c r="B8" s="110" t="s">
        <v>79</v>
      </c>
      <c r="C8" s="292">
        <v>15488000</v>
      </c>
      <c r="D8" s="111">
        <v>0.02</v>
      </c>
      <c r="E8" s="294">
        <f>C8*D8</f>
        <v>309760</v>
      </c>
      <c r="F8" s="292"/>
      <c r="G8" s="292"/>
      <c r="H8" s="292"/>
      <c r="I8" s="292"/>
      <c r="J8" s="292"/>
      <c r="K8" s="292">
        <v>309760</v>
      </c>
      <c r="L8" s="292"/>
      <c r="M8" s="292"/>
      <c r="N8" s="167">
        <f>SUMPRODUCT($F$6:$M$6,F8:M8)</f>
        <v>309760</v>
      </c>
    </row>
    <row r="9" spans="1:14">
      <c r="A9" s="166">
        <v>1.2</v>
      </c>
      <c r="B9" s="110" t="s">
        <v>80</v>
      </c>
      <c r="C9" s="292"/>
      <c r="D9" s="111">
        <v>0.05</v>
      </c>
      <c r="E9" s="294">
        <f>C9*D9</f>
        <v>0</v>
      </c>
      <c r="F9" s="292"/>
      <c r="G9" s="292"/>
      <c r="H9" s="292"/>
      <c r="I9" s="292"/>
      <c r="J9" s="292"/>
      <c r="K9" s="292"/>
      <c r="L9" s="292"/>
      <c r="M9" s="292"/>
      <c r="N9" s="167">
        <f t="shared" ref="N9:N12" si="1">SUMPRODUCT($F$6:$M$6,F9:M9)</f>
        <v>0</v>
      </c>
    </row>
    <row r="10" spans="1:14">
      <c r="A10" s="166">
        <v>1.3</v>
      </c>
      <c r="B10" s="110" t="s">
        <v>81</v>
      </c>
      <c r="C10" s="292">
        <v>0</v>
      </c>
      <c r="D10" s="111">
        <v>0.08</v>
      </c>
      <c r="E10" s="294">
        <f>C10*D10</f>
        <v>0</v>
      </c>
      <c r="F10" s="292"/>
      <c r="G10" s="292"/>
      <c r="H10" s="292"/>
      <c r="I10" s="292"/>
      <c r="J10" s="292"/>
      <c r="K10" s="292"/>
      <c r="L10" s="292"/>
      <c r="M10" s="292"/>
      <c r="N10" s="167">
        <f>SUMPRODUCT($F$6:$M$6,F10:M10)</f>
        <v>0</v>
      </c>
    </row>
    <row r="11" spans="1:14">
      <c r="A11" s="166">
        <v>1.4</v>
      </c>
      <c r="B11" s="110" t="s">
        <v>82</v>
      </c>
      <c r="C11" s="292">
        <v>0</v>
      </c>
      <c r="D11" s="111">
        <v>0.11</v>
      </c>
      <c r="E11" s="294">
        <f>C11*D11</f>
        <v>0</v>
      </c>
      <c r="F11" s="292"/>
      <c r="G11" s="292"/>
      <c r="H11" s="292"/>
      <c r="I11" s="292"/>
      <c r="J11" s="292"/>
      <c r="K11" s="292"/>
      <c r="L11" s="292"/>
      <c r="M11" s="292"/>
      <c r="N11" s="167">
        <f t="shared" si="1"/>
        <v>0</v>
      </c>
    </row>
    <row r="12" spans="1:14">
      <c r="A12" s="166">
        <v>1.5</v>
      </c>
      <c r="B12" s="110" t="s">
        <v>83</v>
      </c>
      <c r="C12" s="292">
        <v>0</v>
      </c>
      <c r="D12" s="111">
        <v>0.14000000000000001</v>
      </c>
      <c r="E12" s="294">
        <f>C12*D12</f>
        <v>0</v>
      </c>
      <c r="F12" s="292"/>
      <c r="G12" s="292"/>
      <c r="H12" s="292"/>
      <c r="I12" s="292"/>
      <c r="J12" s="292"/>
      <c r="K12" s="292"/>
      <c r="L12" s="292"/>
      <c r="M12" s="292"/>
      <c r="N12" s="167">
        <f t="shared" si="1"/>
        <v>0</v>
      </c>
    </row>
    <row r="13" spans="1:14">
      <c r="A13" s="166">
        <v>1.6</v>
      </c>
      <c r="B13" s="112" t="s">
        <v>84</v>
      </c>
      <c r="C13" s="292">
        <v>0</v>
      </c>
      <c r="D13" s="113"/>
      <c r="E13" s="292"/>
      <c r="F13" s="292"/>
      <c r="G13" s="292"/>
      <c r="H13" s="292"/>
      <c r="I13" s="292"/>
      <c r="J13" s="292"/>
      <c r="K13" s="292"/>
      <c r="L13" s="292"/>
      <c r="M13" s="292"/>
      <c r="N13" s="167">
        <f>SUMPRODUCT($F$6:$M$6,F13:M13)</f>
        <v>0</v>
      </c>
    </row>
    <row r="14" spans="1:14">
      <c r="A14" s="166">
        <v>2</v>
      </c>
      <c r="B14" s="114" t="s">
        <v>85</v>
      </c>
      <c r="C14" s="291">
        <f>SUM(C15:C20)</f>
        <v>0</v>
      </c>
      <c r="D14" s="104"/>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7">
        <f>SUM(N15:N20)</f>
        <v>0</v>
      </c>
    </row>
    <row r="15" spans="1:14">
      <c r="A15" s="166">
        <v>2.1</v>
      </c>
      <c r="B15" s="112" t="s">
        <v>79</v>
      </c>
      <c r="C15" s="292"/>
      <c r="D15" s="111">
        <v>5.0000000000000001E-3</v>
      </c>
      <c r="E15" s="294">
        <f>C15*D15</f>
        <v>0</v>
      </c>
      <c r="F15" s="292"/>
      <c r="G15" s="292"/>
      <c r="H15" s="292"/>
      <c r="I15" s="292"/>
      <c r="J15" s="292"/>
      <c r="K15" s="292"/>
      <c r="L15" s="292"/>
      <c r="M15" s="292"/>
      <c r="N15" s="167">
        <f>SUMPRODUCT($F$6:$M$6,F15:M15)</f>
        <v>0</v>
      </c>
    </row>
    <row r="16" spans="1:14">
      <c r="A16" s="166">
        <v>2.2000000000000002</v>
      </c>
      <c r="B16" s="112" t="s">
        <v>80</v>
      </c>
      <c r="C16" s="292"/>
      <c r="D16" s="111">
        <v>0.01</v>
      </c>
      <c r="E16" s="294">
        <f>C16*D16</f>
        <v>0</v>
      </c>
      <c r="F16" s="292"/>
      <c r="G16" s="292"/>
      <c r="H16" s="292"/>
      <c r="I16" s="292"/>
      <c r="J16" s="292"/>
      <c r="K16" s="292"/>
      <c r="L16" s="292"/>
      <c r="M16" s="292"/>
      <c r="N16" s="167">
        <f t="shared" ref="N16:N20" si="3">SUMPRODUCT($F$6:$M$6,F16:M16)</f>
        <v>0</v>
      </c>
    </row>
    <row r="17" spans="1:14">
      <c r="A17" s="166">
        <v>2.2999999999999998</v>
      </c>
      <c r="B17" s="112" t="s">
        <v>81</v>
      </c>
      <c r="C17" s="292"/>
      <c r="D17" s="111">
        <v>0.02</v>
      </c>
      <c r="E17" s="294">
        <f>C17*D17</f>
        <v>0</v>
      </c>
      <c r="F17" s="292"/>
      <c r="G17" s="292"/>
      <c r="H17" s="292"/>
      <c r="I17" s="292"/>
      <c r="J17" s="292"/>
      <c r="K17" s="292"/>
      <c r="L17" s="292"/>
      <c r="M17" s="292"/>
      <c r="N17" s="167">
        <f t="shared" si="3"/>
        <v>0</v>
      </c>
    </row>
    <row r="18" spans="1:14">
      <c r="A18" s="166">
        <v>2.4</v>
      </c>
      <c r="B18" s="112" t="s">
        <v>82</v>
      </c>
      <c r="C18" s="292"/>
      <c r="D18" s="111">
        <v>0.03</v>
      </c>
      <c r="E18" s="294">
        <f>C18*D18</f>
        <v>0</v>
      </c>
      <c r="F18" s="292"/>
      <c r="G18" s="292"/>
      <c r="H18" s="292"/>
      <c r="I18" s="292"/>
      <c r="J18" s="292"/>
      <c r="K18" s="292"/>
      <c r="L18" s="292"/>
      <c r="M18" s="292"/>
      <c r="N18" s="167">
        <f t="shared" si="3"/>
        <v>0</v>
      </c>
    </row>
    <row r="19" spans="1:14">
      <c r="A19" s="166">
        <v>2.5</v>
      </c>
      <c r="B19" s="112" t="s">
        <v>83</v>
      </c>
      <c r="C19" s="292"/>
      <c r="D19" s="111">
        <v>0.04</v>
      </c>
      <c r="E19" s="294">
        <f>C19*D19</f>
        <v>0</v>
      </c>
      <c r="F19" s="292"/>
      <c r="G19" s="292"/>
      <c r="H19" s="292"/>
      <c r="I19" s="292"/>
      <c r="J19" s="292"/>
      <c r="K19" s="292"/>
      <c r="L19" s="292"/>
      <c r="M19" s="292"/>
      <c r="N19" s="167">
        <f t="shared" si="3"/>
        <v>0</v>
      </c>
    </row>
    <row r="20" spans="1:14">
      <c r="A20" s="166">
        <v>2.6</v>
      </c>
      <c r="B20" s="112" t="s">
        <v>84</v>
      </c>
      <c r="C20" s="292"/>
      <c r="D20" s="113"/>
      <c r="E20" s="295"/>
      <c r="F20" s="292"/>
      <c r="G20" s="292"/>
      <c r="H20" s="292"/>
      <c r="I20" s="292"/>
      <c r="J20" s="292"/>
      <c r="K20" s="292"/>
      <c r="L20" s="292"/>
      <c r="M20" s="292"/>
      <c r="N20" s="167">
        <f t="shared" si="3"/>
        <v>0</v>
      </c>
    </row>
    <row r="21" spans="1:14" ht="15.75" thickBot="1">
      <c r="A21" s="168">
        <v>3</v>
      </c>
      <c r="B21" s="169" t="s">
        <v>68</v>
      </c>
      <c r="C21" s="293">
        <f>C14+C7</f>
        <v>15488000</v>
      </c>
      <c r="D21" s="170"/>
      <c r="E21" s="296">
        <f>E14+E7</f>
        <v>309760</v>
      </c>
      <c r="F21" s="297">
        <f>F7+F14</f>
        <v>0</v>
      </c>
      <c r="G21" s="297">
        <f t="shared" ref="G21:L21" si="4">G7+G14</f>
        <v>0</v>
      </c>
      <c r="H21" s="297">
        <f t="shared" si="4"/>
        <v>0</v>
      </c>
      <c r="I21" s="297">
        <f t="shared" si="4"/>
        <v>0</v>
      </c>
      <c r="J21" s="297">
        <f t="shared" si="4"/>
        <v>0</v>
      </c>
      <c r="K21" s="297">
        <f t="shared" si="4"/>
        <v>309760</v>
      </c>
      <c r="L21" s="297">
        <f t="shared" si="4"/>
        <v>0</v>
      </c>
      <c r="M21" s="297">
        <f>M7+M14</f>
        <v>0</v>
      </c>
      <c r="N21" s="171">
        <f>N14+N7</f>
        <v>309760</v>
      </c>
    </row>
    <row r="22" spans="1:14">
      <c r="E22" s="298"/>
      <c r="F22" s="298"/>
      <c r="G22" s="298"/>
      <c r="H22" s="298"/>
      <c r="I22" s="298"/>
      <c r="J22" s="298"/>
      <c r="K22" s="298"/>
      <c r="L22" s="298"/>
      <c r="M22" s="29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3" workbookViewId="0">
      <selection activeCell="C28" sqref="C28:C29"/>
    </sheetView>
  </sheetViews>
  <sheetFormatPr defaultRowHeight="15"/>
  <cols>
    <col min="1" max="1" width="11.42578125" customWidth="1"/>
    <col min="2" max="2" width="76.85546875" style="4" customWidth="1"/>
    <col min="3" max="3" width="22.85546875" customWidth="1"/>
  </cols>
  <sheetData>
    <row r="1" spans="1:3">
      <c r="A1" s="338" t="s">
        <v>188</v>
      </c>
      <c r="B1" t="str">
        <f>Info!C2</f>
        <v>სს "კრედო ბანკი"</v>
      </c>
    </row>
    <row r="2" spans="1:3">
      <c r="A2" s="338" t="s">
        <v>189</v>
      </c>
      <c r="B2" s="472">
        <f>'1. key ratios'!B2</f>
        <v>44561</v>
      </c>
    </row>
    <row r="3" spans="1:3">
      <c r="A3" s="338"/>
      <c r="B3"/>
    </row>
    <row r="4" spans="1:3">
      <c r="A4" s="338" t="s">
        <v>467</v>
      </c>
      <c r="B4" t="s">
        <v>426</v>
      </c>
    </row>
    <row r="5" spans="1:3">
      <c r="A5" s="400"/>
      <c r="B5" s="400" t="s">
        <v>427</v>
      </c>
      <c r="C5" s="412"/>
    </row>
    <row r="6" spans="1:3">
      <c r="A6" s="401">
        <v>1</v>
      </c>
      <c r="B6" s="413" t="s">
        <v>479</v>
      </c>
      <c r="C6" s="414">
        <v>1814346875.1089134</v>
      </c>
    </row>
    <row r="7" spans="1:3">
      <c r="A7" s="401">
        <v>2</v>
      </c>
      <c r="B7" s="413" t="s">
        <v>428</v>
      </c>
      <c r="C7" s="414">
        <v>-13603826.84</v>
      </c>
    </row>
    <row r="8" spans="1:3">
      <c r="A8" s="402">
        <v>3</v>
      </c>
      <c r="B8" s="415" t="s">
        <v>429</v>
      </c>
      <c r="C8" s="416">
        <f>C6+C7</f>
        <v>1800743048.2689135</v>
      </c>
    </row>
    <row r="9" spans="1:3">
      <c r="A9" s="403"/>
      <c r="B9" s="403" t="s">
        <v>430</v>
      </c>
      <c r="C9" s="417"/>
    </row>
    <row r="10" spans="1:3">
      <c r="A10" s="404">
        <v>4</v>
      </c>
      <c r="B10" s="418" t="s">
        <v>431</v>
      </c>
      <c r="C10" s="414"/>
    </row>
    <row r="11" spans="1:3">
      <c r="A11" s="404">
        <v>5</v>
      </c>
      <c r="B11" s="419" t="s">
        <v>432</v>
      </c>
      <c r="C11" s="414"/>
    </row>
    <row r="12" spans="1:3">
      <c r="A12" s="404" t="s">
        <v>433</v>
      </c>
      <c r="B12" s="413" t="s">
        <v>434</v>
      </c>
      <c r="C12" s="416">
        <f>'15. CCR'!E21</f>
        <v>309760</v>
      </c>
    </row>
    <row r="13" spans="1:3">
      <c r="A13" s="405">
        <v>6</v>
      </c>
      <c r="B13" s="420" t="s">
        <v>435</v>
      </c>
      <c r="C13" s="414"/>
    </row>
    <row r="14" spans="1:3">
      <c r="A14" s="405">
        <v>7</v>
      </c>
      <c r="B14" s="421" t="s">
        <v>436</v>
      </c>
      <c r="C14" s="414"/>
    </row>
    <row r="15" spans="1:3">
      <c r="A15" s="406">
        <v>8</v>
      </c>
      <c r="B15" s="413" t="s">
        <v>437</v>
      </c>
      <c r="C15" s="414"/>
    </row>
    <row r="16" spans="1:3" ht="24">
      <c r="A16" s="405">
        <v>9</v>
      </c>
      <c r="B16" s="421" t="s">
        <v>438</v>
      </c>
      <c r="C16" s="414"/>
    </row>
    <row r="17" spans="1:3">
      <c r="A17" s="405">
        <v>10</v>
      </c>
      <c r="B17" s="421" t="s">
        <v>439</v>
      </c>
      <c r="C17" s="414"/>
    </row>
    <row r="18" spans="1:3">
      <c r="A18" s="407">
        <v>11</v>
      </c>
      <c r="B18" s="422" t="s">
        <v>440</v>
      </c>
      <c r="C18" s="416">
        <f>SUM(C10:C17)</f>
        <v>309760</v>
      </c>
    </row>
    <row r="19" spans="1:3">
      <c r="A19" s="403"/>
      <c r="B19" s="403" t="s">
        <v>441</v>
      </c>
      <c r="C19" s="423"/>
    </row>
    <row r="20" spans="1:3">
      <c r="A20" s="405">
        <v>12</v>
      </c>
      <c r="B20" s="418" t="s">
        <v>442</v>
      </c>
      <c r="C20" s="414"/>
    </row>
    <row r="21" spans="1:3">
      <c r="A21" s="405">
        <v>13</v>
      </c>
      <c r="B21" s="418" t="s">
        <v>443</v>
      </c>
      <c r="C21" s="414"/>
    </row>
    <row r="22" spans="1:3">
      <c r="A22" s="405">
        <v>14</v>
      </c>
      <c r="B22" s="418" t="s">
        <v>444</v>
      </c>
      <c r="C22" s="414"/>
    </row>
    <row r="23" spans="1:3" ht="24">
      <c r="A23" s="405" t="s">
        <v>445</v>
      </c>
      <c r="B23" s="418" t="s">
        <v>446</v>
      </c>
      <c r="C23" s="414"/>
    </row>
    <row r="24" spans="1:3">
      <c r="A24" s="405">
        <v>15</v>
      </c>
      <c r="B24" s="418" t="s">
        <v>447</v>
      </c>
      <c r="C24" s="414"/>
    </row>
    <row r="25" spans="1:3">
      <c r="A25" s="405" t="s">
        <v>448</v>
      </c>
      <c r="B25" s="413" t="s">
        <v>449</v>
      </c>
      <c r="C25" s="414"/>
    </row>
    <row r="26" spans="1:3">
      <c r="A26" s="407">
        <v>16</v>
      </c>
      <c r="B26" s="422" t="s">
        <v>450</v>
      </c>
      <c r="C26" s="416">
        <f>SUM(C20:C25)</f>
        <v>0</v>
      </c>
    </row>
    <row r="27" spans="1:3">
      <c r="A27" s="403"/>
      <c r="B27" s="403" t="s">
        <v>451</v>
      </c>
      <c r="C27" s="417"/>
    </row>
    <row r="28" spans="1:3">
      <c r="A28" s="404">
        <v>17</v>
      </c>
      <c r="B28" s="413" t="s">
        <v>452</v>
      </c>
      <c r="C28" s="414">
        <v>33554504.450000003</v>
      </c>
    </row>
    <row r="29" spans="1:3">
      <c r="A29" s="404">
        <v>18</v>
      </c>
      <c r="B29" s="413" t="s">
        <v>453</v>
      </c>
      <c r="C29" s="414">
        <v>-24775481.335000001</v>
      </c>
    </row>
    <row r="30" spans="1:3">
      <c r="A30" s="407">
        <v>19</v>
      </c>
      <c r="B30" s="422" t="s">
        <v>454</v>
      </c>
      <c r="C30" s="416">
        <f>C28+C29</f>
        <v>8779023.1150000021</v>
      </c>
    </row>
    <row r="31" spans="1:3">
      <c r="A31" s="408"/>
      <c r="B31" s="403" t="s">
        <v>455</v>
      </c>
      <c r="C31" s="417"/>
    </row>
    <row r="32" spans="1:3">
      <c r="A32" s="404" t="s">
        <v>456</v>
      </c>
      <c r="B32" s="418" t="s">
        <v>457</v>
      </c>
      <c r="C32" s="424"/>
    </row>
    <row r="33" spans="1:3">
      <c r="A33" s="404" t="s">
        <v>458</v>
      </c>
      <c r="B33" s="419" t="s">
        <v>459</v>
      </c>
      <c r="C33" s="424"/>
    </row>
    <row r="34" spans="1:3">
      <c r="A34" s="403"/>
      <c r="B34" s="403" t="s">
        <v>460</v>
      </c>
      <c r="C34" s="417"/>
    </row>
    <row r="35" spans="1:3">
      <c r="A35" s="407">
        <v>20</v>
      </c>
      <c r="B35" s="422" t="s">
        <v>89</v>
      </c>
      <c r="C35" s="416">
        <f>'1. key ratios'!C9</f>
        <v>190970466.01999995</v>
      </c>
    </row>
    <row r="36" spans="1:3">
      <c r="A36" s="407">
        <v>21</v>
      </c>
      <c r="B36" s="422" t="s">
        <v>461</v>
      </c>
      <c r="C36" s="416">
        <f>C8+C18+C26+C30</f>
        <v>1809831831.3839135</v>
      </c>
    </row>
    <row r="37" spans="1:3">
      <c r="A37" s="409"/>
      <c r="B37" s="409" t="s">
        <v>426</v>
      </c>
      <c r="C37" s="417"/>
    </row>
    <row r="38" spans="1:3">
      <c r="A38" s="407">
        <v>22</v>
      </c>
      <c r="B38" s="422" t="s">
        <v>426</v>
      </c>
      <c r="C38" s="630">
        <f>IFERROR(C35/C36,0)</f>
        <v>0.10551834856057962</v>
      </c>
    </row>
    <row r="39" spans="1:3">
      <c r="A39" s="409"/>
      <c r="B39" s="409" t="s">
        <v>462</v>
      </c>
      <c r="C39" s="417"/>
    </row>
    <row r="40" spans="1:3">
      <c r="A40" s="410" t="s">
        <v>463</v>
      </c>
      <c r="B40" s="418" t="s">
        <v>464</v>
      </c>
      <c r="C40" s="424"/>
    </row>
    <row r="41" spans="1:3">
      <c r="A41" s="411" t="s">
        <v>465</v>
      </c>
      <c r="B41" s="419" t="s">
        <v>466</v>
      </c>
      <c r="C41" s="424"/>
    </row>
    <row r="43" spans="1:3">
      <c r="B43" s="435"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6" activePane="bottomRight" state="frozen"/>
      <selection pane="topRight" activeCell="C1" sqref="C1"/>
      <selection pane="bottomLeft" activeCell="A7" sqref="A7"/>
      <selection pane="bottomRight" activeCell="D35" sqref="D35"/>
    </sheetView>
  </sheetViews>
  <sheetFormatPr defaultRowHeight="15"/>
  <cols>
    <col min="1" max="1" width="9.85546875" style="338" bestFit="1" customWidth="1"/>
    <col min="2" max="2" width="82.5703125" style="23" customWidth="1"/>
    <col min="3" max="7" width="17.5703125" style="338" customWidth="1"/>
  </cols>
  <sheetData>
    <row r="1" spans="1:7">
      <c r="A1" s="338" t="s">
        <v>188</v>
      </c>
      <c r="B1" s="338" t="str">
        <f>Info!C2</f>
        <v>სს "კრედო ბანკი"</v>
      </c>
    </row>
    <row r="2" spans="1:7">
      <c r="A2" s="338" t="s">
        <v>189</v>
      </c>
      <c r="B2" s="472">
        <f>'1. key ratios'!B2</f>
        <v>44561</v>
      </c>
    </row>
    <row r="3" spans="1:7">
      <c r="B3" s="472"/>
    </row>
    <row r="4" spans="1:7" ht="15.75" thickBot="1">
      <c r="A4" s="338" t="s">
        <v>529</v>
      </c>
      <c r="B4" s="475" t="s">
        <v>494</v>
      </c>
    </row>
    <row r="5" spans="1:7">
      <c r="A5" s="476"/>
      <c r="B5" s="477"/>
      <c r="C5" s="744" t="s">
        <v>495</v>
      </c>
      <c r="D5" s="744"/>
      <c r="E5" s="744"/>
      <c r="F5" s="744"/>
      <c r="G5" s="745" t="s">
        <v>496</v>
      </c>
    </row>
    <row r="6" spans="1:7">
      <c r="A6" s="478"/>
      <c r="B6" s="479"/>
      <c r="C6" s="480" t="s">
        <v>497</v>
      </c>
      <c r="D6" s="481" t="s">
        <v>498</v>
      </c>
      <c r="E6" s="481" t="s">
        <v>499</v>
      </c>
      <c r="F6" s="481" t="s">
        <v>500</v>
      </c>
      <c r="G6" s="746"/>
    </row>
    <row r="7" spans="1:7">
      <c r="A7" s="482"/>
      <c r="B7" s="483" t="s">
        <v>501</v>
      </c>
      <c r="C7" s="484"/>
      <c r="D7" s="484"/>
      <c r="E7" s="484"/>
      <c r="F7" s="484"/>
      <c r="G7" s="485"/>
    </row>
    <row r="8" spans="1:7">
      <c r="A8" s="486">
        <v>1</v>
      </c>
      <c r="B8" s="487" t="s">
        <v>502</v>
      </c>
      <c r="C8" s="682">
        <f>SUM(C9:C10)</f>
        <v>190970466.01999995</v>
      </c>
      <c r="D8" s="682">
        <f>SUM(D9:D10)</f>
        <v>0</v>
      </c>
      <c r="E8" s="682">
        <f>SUM(E9:E10)</f>
        <v>0</v>
      </c>
      <c r="F8" s="682">
        <f>SUM(F9:F10)</f>
        <v>797009389</v>
      </c>
      <c r="G8" s="495">
        <f>SUM(G9:G10)</f>
        <v>987979855.01999998</v>
      </c>
    </row>
    <row r="9" spans="1:7">
      <c r="A9" s="486">
        <v>2</v>
      </c>
      <c r="B9" s="490" t="s">
        <v>88</v>
      </c>
      <c r="C9" s="488">
        <v>190970466.01999995</v>
      </c>
      <c r="D9" s="488"/>
      <c r="E9" s="488"/>
      <c r="F9" s="488">
        <v>68664856</v>
      </c>
      <c r="G9" s="489">
        <f>SUM(C9:F9)</f>
        <v>259635322.01999995</v>
      </c>
    </row>
    <row r="10" spans="1:7">
      <c r="A10" s="486">
        <v>3</v>
      </c>
      <c r="B10" s="490" t="s">
        <v>503</v>
      </c>
      <c r="C10" s="491"/>
      <c r="D10" s="491"/>
      <c r="E10" s="491"/>
      <c r="F10" s="488">
        <f>662811835+56861824+8670874</f>
        <v>728344533</v>
      </c>
      <c r="G10" s="489">
        <f>SUM(C10:F10)</f>
        <v>728344533</v>
      </c>
    </row>
    <row r="11" spans="1:7" ht="26.25">
      <c r="A11" s="486">
        <v>4</v>
      </c>
      <c r="B11" s="487" t="s">
        <v>504</v>
      </c>
      <c r="C11" s="682">
        <f t="shared" ref="C11:F11" si="0">SUM(C12:C13)</f>
        <v>89184061</v>
      </c>
      <c r="D11" s="682">
        <f t="shared" si="0"/>
        <v>101034623</v>
      </c>
      <c r="E11" s="682">
        <f t="shared" si="0"/>
        <v>51312268</v>
      </c>
      <c r="F11" s="682">
        <f t="shared" si="0"/>
        <v>10030886</v>
      </c>
      <c r="G11" s="495">
        <f>SUM(G12:G13)</f>
        <v>237665356.79999998</v>
      </c>
    </row>
    <row r="12" spans="1:7">
      <c r="A12" s="486">
        <v>5</v>
      </c>
      <c r="B12" s="490" t="s">
        <v>505</v>
      </c>
      <c r="C12" s="488">
        <v>89184061</v>
      </c>
      <c r="D12" s="501">
        <v>98830085</v>
      </c>
      <c r="E12" s="500">
        <v>50616836</v>
      </c>
      <c r="F12" s="500">
        <v>10001102</v>
      </c>
      <c r="G12" s="489">
        <f>SUM(C12:F12)*0.95</f>
        <v>236200479.79999998</v>
      </c>
    </row>
    <row r="13" spans="1:7">
      <c r="A13" s="486">
        <v>6</v>
      </c>
      <c r="B13" s="490" t="s">
        <v>506</v>
      </c>
      <c r="C13" s="488"/>
      <c r="D13" s="501">
        <v>2204538</v>
      </c>
      <c r="E13" s="500">
        <v>695432</v>
      </c>
      <c r="F13" s="500">
        <v>29784</v>
      </c>
      <c r="G13" s="489">
        <f>SUM(C13:F13)*0.5</f>
        <v>1464877</v>
      </c>
    </row>
    <row r="14" spans="1:7">
      <c r="A14" s="486">
        <v>7</v>
      </c>
      <c r="B14" s="487" t="s">
        <v>507</v>
      </c>
      <c r="C14" s="682">
        <f t="shared" ref="C14:F14" si="1">SUM(C15:C16)</f>
        <v>36124373</v>
      </c>
      <c r="D14" s="682">
        <f t="shared" si="1"/>
        <v>193996913</v>
      </c>
      <c r="E14" s="682">
        <f t="shared" si="1"/>
        <v>185729010</v>
      </c>
      <c r="F14" s="682">
        <f t="shared" si="1"/>
        <v>11045980</v>
      </c>
      <c r="G14" s="495">
        <f>SUM(G15:G16)</f>
        <v>213448138</v>
      </c>
    </row>
    <row r="15" spans="1:7" ht="51.75">
      <c r="A15" s="486">
        <v>8</v>
      </c>
      <c r="B15" s="490" t="s">
        <v>508</v>
      </c>
      <c r="C15" s="488">
        <f>36124373</f>
        <v>36124373</v>
      </c>
      <c r="D15" s="631">
        <f>38781042+622+19666946</f>
        <v>58448610</v>
      </c>
      <c r="E15" s="488">
        <f>48474886+54856231</f>
        <v>103331117</v>
      </c>
      <c r="F15" s="488">
        <v>11045980</v>
      </c>
      <c r="G15" s="489">
        <f>SUM(C15:F15)*0.5</f>
        <v>104475040</v>
      </c>
    </row>
    <row r="16" spans="1:7" ht="26.25">
      <c r="A16" s="486">
        <v>9</v>
      </c>
      <c r="B16" s="490" t="s">
        <v>509</v>
      </c>
      <c r="C16" s="488"/>
      <c r="D16" s="631">
        <v>135548303</v>
      </c>
      <c r="E16" s="631">
        <v>82397893</v>
      </c>
      <c r="F16" s="488"/>
      <c r="G16" s="489">
        <f>SUM(C16:F16)*0.5</f>
        <v>108973098</v>
      </c>
    </row>
    <row r="17" spans="1:7">
      <c r="A17" s="486">
        <v>10</v>
      </c>
      <c r="B17" s="487" t="s">
        <v>510</v>
      </c>
      <c r="C17" s="488"/>
      <c r="D17" s="492"/>
      <c r="E17" s="488"/>
      <c r="F17" s="488"/>
      <c r="G17" s="489"/>
    </row>
    <row r="18" spans="1:7">
      <c r="A18" s="486">
        <v>11</v>
      </c>
      <c r="B18" s="487" t="s">
        <v>95</v>
      </c>
      <c r="C18" s="682">
        <f>SUM(C19:C20)</f>
        <v>72838474.390000001</v>
      </c>
      <c r="D18" s="683">
        <f t="shared" ref="D18:G18" si="2">SUM(D19:D20)</f>
        <v>26351715.609999999</v>
      </c>
      <c r="E18" s="682">
        <f t="shared" si="2"/>
        <v>482542.08767837286</v>
      </c>
      <c r="F18" s="682">
        <f t="shared" si="2"/>
        <v>8131700</v>
      </c>
      <c r="G18" s="489">
        <f t="shared" si="2"/>
        <v>0</v>
      </c>
    </row>
    <row r="19" spans="1:7">
      <c r="A19" s="486">
        <v>12</v>
      </c>
      <c r="B19" s="490" t="s">
        <v>511</v>
      </c>
      <c r="C19" s="491"/>
      <c r="D19" s="492">
        <v>6943</v>
      </c>
      <c r="E19" s="488"/>
      <c r="F19" s="488"/>
      <c r="G19" s="489">
        <f>SUM(C19:F19)*0</f>
        <v>0</v>
      </c>
    </row>
    <row r="20" spans="1:7" ht="26.25">
      <c r="A20" s="486">
        <v>13</v>
      </c>
      <c r="B20" s="490" t="s">
        <v>512</v>
      </c>
      <c r="C20" s="488">
        <v>72838474.390000001</v>
      </c>
      <c r="D20" s="488">
        <v>26344772.609999999</v>
      </c>
      <c r="E20" s="488">
        <v>482542.08767837286</v>
      </c>
      <c r="F20" s="488">
        <v>8131700</v>
      </c>
      <c r="G20" s="489">
        <f>SUM(C20:F20)*0</f>
        <v>0</v>
      </c>
    </row>
    <row r="21" spans="1:7">
      <c r="A21" s="493">
        <v>14</v>
      </c>
      <c r="B21" s="494" t="s">
        <v>513</v>
      </c>
      <c r="C21" s="491"/>
      <c r="D21" s="491"/>
      <c r="E21" s="491"/>
      <c r="F21" s="491"/>
      <c r="G21" s="495">
        <f>SUM(G8,G11,G14,G17,G18)</f>
        <v>1439093349.8199999</v>
      </c>
    </row>
    <row r="22" spans="1:7">
      <c r="A22" s="496"/>
      <c r="B22" s="515" t="s">
        <v>514</v>
      </c>
      <c r="C22" s="497"/>
      <c r="D22" s="498"/>
      <c r="E22" s="497"/>
      <c r="F22" s="497"/>
      <c r="G22" s="499"/>
    </row>
    <row r="23" spans="1:7">
      <c r="A23" s="486">
        <v>15</v>
      </c>
      <c r="B23" s="487" t="s">
        <v>371</v>
      </c>
      <c r="C23" s="684">
        <v>204047716.60000002</v>
      </c>
      <c r="D23" s="685">
        <f>52296000*0.95</f>
        <v>49681200</v>
      </c>
      <c r="E23" s="500"/>
      <c r="F23" s="500"/>
      <c r="G23" s="489">
        <f>(D23+52233161)*0.05</f>
        <v>5095718.0500000007</v>
      </c>
    </row>
    <row r="24" spans="1:7">
      <c r="A24" s="486">
        <v>16</v>
      </c>
      <c r="B24" s="487" t="s">
        <v>515</v>
      </c>
      <c r="C24" s="682">
        <f>SUM(C25:C27,C29,C31)</f>
        <v>210295.62</v>
      </c>
      <c r="D24" s="683">
        <f t="shared" ref="D24:G24" si="3">SUM(D25:D27,D29,D31)</f>
        <v>374267146.80334473</v>
      </c>
      <c r="E24" s="682">
        <f t="shared" si="3"/>
        <v>265649735.80419454</v>
      </c>
      <c r="F24" s="682">
        <f t="shared" si="3"/>
        <v>654178597.38720167</v>
      </c>
      <c r="G24" s="489">
        <f t="shared" si="3"/>
        <v>876117918.42589104</v>
      </c>
    </row>
    <row r="25" spans="1:7" ht="26.25">
      <c r="A25" s="486">
        <v>17</v>
      </c>
      <c r="B25" s="490" t="s">
        <v>516</v>
      </c>
      <c r="C25" s="488"/>
      <c r="D25" s="492"/>
      <c r="E25" s="488"/>
      <c r="F25" s="488"/>
      <c r="G25" s="489"/>
    </row>
    <row r="26" spans="1:7" ht="39">
      <c r="A26" s="486">
        <v>18</v>
      </c>
      <c r="B26" s="490" t="s">
        <v>517</v>
      </c>
      <c r="C26" s="631">
        <v>210295.62</v>
      </c>
      <c r="D26" s="631"/>
      <c r="E26" s="631"/>
      <c r="F26" s="631"/>
      <c r="G26" s="695">
        <f>C26*0.15+D26*0.05</f>
        <v>31544.342999999997</v>
      </c>
    </row>
    <row r="27" spans="1:7">
      <c r="A27" s="486">
        <v>19</v>
      </c>
      <c r="B27" s="490" t="s">
        <v>518</v>
      </c>
      <c r="C27" s="488"/>
      <c r="D27" s="492">
        <v>374049646.80334473</v>
      </c>
      <c r="E27" s="488">
        <v>265649735.80419454</v>
      </c>
      <c r="F27" s="488">
        <v>651781297.38720167</v>
      </c>
      <c r="G27" s="696">
        <f>(D27+E27)*0.5+F27*0.85</f>
        <v>873863794.08289099</v>
      </c>
    </row>
    <row r="28" spans="1:7">
      <c r="A28" s="486">
        <v>20</v>
      </c>
      <c r="B28" s="502" t="s">
        <v>519</v>
      </c>
      <c r="C28" s="488"/>
      <c r="D28" s="492"/>
      <c r="E28" s="488"/>
      <c r="F28" s="488"/>
      <c r="G28" s="696"/>
    </row>
    <row r="29" spans="1:7">
      <c r="A29" s="486">
        <v>21</v>
      </c>
      <c r="B29" s="490" t="s">
        <v>520</v>
      </c>
      <c r="C29" s="488"/>
      <c r="D29" s="492"/>
      <c r="E29" s="488"/>
      <c r="F29" s="488"/>
      <c r="G29" s="696"/>
    </row>
    <row r="30" spans="1:7">
      <c r="A30" s="486">
        <v>22</v>
      </c>
      <c r="B30" s="502" t="s">
        <v>519</v>
      </c>
      <c r="C30" s="488"/>
      <c r="D30" s="492"/>
      <c r="E30" s="488"/>
      <c r="F30" s="488"/>
      <c r="G30" s="696"/>
    </row>
    <row r="31" spans="1:7" ht="26.25">
      <c r="A31" s="486">
        <v>23</v>
      </c>
      <c r="B31" s="490" t="s">
        <v>521</v>
      </c>
      <c r="C31" s="488"/>
      <c r="D31" s="492">
        <f>4350000*0.05</f>
        <v>217500</v>
      </c>
      <c r="E31" s="488"/>
      <c r="F31" s="488">
        <f>(52296000-4350000)*0.05</f>
        <v>2397300</v>
      </c>
      <c r="G31" s="696">
        <f>SUM(C31:F31)*0.85</f>
        <v>2222580</v>
      </c>
    </row>
    <row r="32" spans="1:7">
      <c r="A32" s="486">
        <v>24</v>
      </c>
      <c r="B32" s="487" t="s">
        <v>522</v>
      </c>
      <c r="C32" s="488"/>
      <c r="D32" s="492"/>
      <c r="E32" s="488"/>
      <c r="F32" s="488"/>
      <c r="G32" s="489"/>
    </row>
    <row r="33" spans="1:7">
      <c r="A33" s="486">
        <v>25</v>
      </c>
      <c r="B33" s="487" t="s">
        <v>165</v>
      </c>
      <c r="C33" s="682">
        <f>SUM(C34:C35)</f>
        <v>61778077</v>
      </c>
      <c r="D33" s="682">
        <f>SUM(D34:D35)</f>
        <v>48726682.976655267</v>
      </c>
      <c r="E33" s="682">
        <f>SUM(E34:E35)</f>
        <v>21031535.072184592</v>
      </c>
      <c r="F33" s="682">
        <f>SUM(F34:F35)</f>
        <v>94664470.736419082</v>
      </c>
      <c r="G33" s="489">
        <f>SUM(G34:G35)</f>
        <v>226200765.78525895</v>
      </c>
    </row>
    <row r="34" spans="1:7">
      <c r="A34" s="486">
        <v>26</v>
      </c>
      <c r="B34" s="490" t="s">
        <v>523</v>
      </c>
      <c r="C34" s="491"/>
      <c r="D34" s="492"/>
      <c r="E34" s="488"/>
      <c r="F34" s="488"/>
      <c r="G34" s="489">
        <f>D34</f>
        <v>0</v>
      </c>
    </row>
    <row r="35" spans="1:7">
      <c r="A35" s="486">
        <v>27</v>
      </c>
      <c r="B35" s="490" t="s">
        <v>524</v>
      </c>
      <c r="C35" s="488">
        <v>61778077</v>
      </c>
      <c r="D35" s="492">
        <v>48726682.976655267</v>
      </c>
      <c r="E35" s="488">
        <v>21031535.072184592</v>
      </c>
      <c r="F35" s="488">
        <v>94664470.736419082</v>
      </c>
      <c r="G35" s="489">
        <f>SUM(C35:F35)</f>
        <v>226200765.78525895</v>
      </c>
    </row>
    <row r="36" spans="1:7">
      <c r="A36" s="486">
        <v>28</v>
      </c>
      <c r="B36" s="487" t="s">
        <v>525</v>
      </c>
      <c r="C36" s="488">
        <v>15996458.220000001</v>
      </c>
      <c r="D36" s="492">
        <v>17528046.23</v>
      </c>
      <c r="E36" s="488"/>
      <c r="F36" s="488"/>
      <c r="G36" s="489">
        <f>(C36+D36)*0.05</f>
        <v>1676225.2225000001</v>
      </c>
    </row>
    <row r="37" spans="1:7">
      <c r="A37" s="493">
        <v>29</v>
      </c>
      <c r="B37" s="494" t="s">
        <v>526</v>
      </c>
      <c r="C37" s="491"/>
      <c r="D37" s="491"/>
      <c r="E37" s="491"/>
      <c r="F37" s="491"/>
      <c r="G37" s="495">
        <f>SUM(G23:G24,G32:G33,G36)</f>
        <v>1109090627.48365</v>
      </c>
    </row>
    <row r="38" spans="1:7">
      <c r="A38" s="482"/>
      <c r="B38" s="503"/>
      <c r="C38" s="504"/>
      <c r="D38" s="504"/>
      <c r="E38" s="504"/>
      <c r="F38" s="504"/>
      <c r="G38" s="505"/>
    </row>
    <row r="39" spans="1:7" ht="15.75" thickBot="1">
      <c r="A39" s="506">
        <v>30</v>
      </c>
      <c r="B39" s="507" t="s">
        <v>494</v>
      </c>
      <c r="C39" s="347"/>
      <c r="D39" s="329"/>
      <c r="E39" s="329"/>
      <c r="F39" s="508"/>
      <c r="G39" s="509">
        <f>IFERROR(G21/G37,0)</f>
        <v>1.2975435137208522</v>
      </c>
    </row>
    <row r="42" spans="1:7" ht="39">
      <c r="B42" s="23" t="s">
        <v>527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zoomScaleNormal="100" workbookViewId="0">
      <pane xSplit="1" ySplit="5" topLeftCell="B14" activePane="bottomRight" state="frozen"/>
      <selection pane="topRight" activeCell="B1" sqref="B1"/>
      <selection pane="bottomLeft" activeCell="A6" sqref="A6"/>
      <selection pane="bottomRight" activeCell="C18" sqref="C18:C23"/>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188</v>
      </c>
      <c r="B1" s="434" t="str">
        <f>Info!C2</f>
        <v>სს "კრედო ბანკი"</v>
      </c>
    </row>
    <row r="2" spans="1:8">
      <c r="A2" s="17" t="s">
        <v>189</v>
      </c>
      <c r="B2" s="456">
        <v>44561</v>
      </c>
      <c r="C2" s="28"/>
      <c r="D2" s="18"/>
      <c r="E2" s="18"/>
      <c r="F2" s="18"/>
      <c r="G2" s="18"/>
      <c r="H2" s="1"/>
    </row>
    <row r="3" spans="1:8">
      <c r="A3" s="17"/>
      <c r="C3" s="28"/>
      <c r="D3" s="18"/>
      <c r="E3" s="18"/>
      <c r="F3" s="18"/>
      <c r="G3" s="18"/>
      <c r="H3" s="1"/>
    </row>
    <row r="4" spans="1:8" ht="16.5" thickBot="1">
      <c r="A4" s="68" t="s">
        <v>327</v>
      </c>
      <c r="B4" s="205" t="s">
        <v>223</v>
      </c>
      <c r="C4" s="206"/>
      <c r="D4" s="207"/>
      <c r="E4" s="207"/>
      <c r="F4" s="207"/>
      <c r="G4" s="207"/>
      <c r="H4" s="1"/>
    </row>
    <row r="5" spans="1:8" ht="15">
      <c r="A5" s="314" t="s">
        <v>26</v>
      </c>
      <c r="B5" s="315"/>
      <c r="C5" s="457" t="str">
        <f>INT((MONTH($B$2))/3)&amp;"Q"&amp;"-"&amp;YEAR($B$2)</f>
        <v>4Q-2021</v>
      </c>
      <c r="D5" s="457" t="str">
        <f>IF(INT(MONTH($B$2))=3, "4"&amp;"Q"&amp;"-"&amp;YEAR($B$2)-1, IF(INT(MONTH($B$2))=6, "1"&amp;"Q"&amp;"-"&amp;YEAR($B$2), IF(INT(MONTH($B$2))=9, "2"&amp;"Q"&amp;"-"&amp;YEAR($B$2),IF(INT(MONTH($B$2))=12, "3"&amp;"Q"&amp;"-"&amp;YEAR($B$2), 0))))</f>
        <v>3Q-2021</v>
      </c>
      <c r="E5" s="457" t="str">
        <f>IF(INT(MONTH($B$2))=3, "3"&amp;"Q"&amp;"-"&amp;YEAR($B$2)-1, IF(INT(MONTH($B$2))=6, "4"&amp;"Q"&amp;"-"&amp;YEAR($B$2)-1, IF(INT(MONTH($B$2))=9, "1"&amp;"Q"&amp;"-"&amp;YEAR($B$2),IF(INT(MONTH($B$2))=12, "2"&amp;"Q"&amp;"-"&amp;YEAR($B$2), 0))))</f>
        <v>2Q-2021</v>
      </c>
      <c r="F5" s="457" t="str">
        <f>IF(INT(MONTH($B$2))=3, "2"&amp;"Q"&amp;"-"&amp;YEAR($B$2)-1, IF(INT(MONTH($B$2))=6, "3"&amp;"Q"&amp;"-"&amp;YEAR($B$2)-1, IF(INT(MONTH($B$2))=9, "4"&amp;"Q"&amp;"-"&amp;YEAR($B$2)-1,IF(INT(MONTH($B$2))=12, "1"&amp;"Q"&amp;"-"&amp;YEAR($B$2), 0))))</f>
        <v>1Q-2021</v>
      </c>
      <c r="G5" s="458" t="str">
        <f>IF(INT(MONTH($B$2))=3, "1"&amp;"Q"&amp;"-"&amp;YEAR($B$2)-1, IF(INT(MONTH($B$2))=6, "2"&amp;"Q"&amp;"-"&amp;YEAR($B$2)-1, IF(INT(MONTH($B$2))=9, "3"&amp;"Q"&amp;"-"&amp;YEAR($B$2)-1,IF(INT(MONTH($B$2))=12, "4"&amp;"Q"&amp;"-"&amp;YEAR($B$2)-1, 0))))</f>
        <v>4Q-2020</v>
      </c>
    </row>
    <row r="6" spans="1:8" ht="15">
      <c r="A6" s="459"/>
      <c r="B6" s="460" t="s">
        <v>186</v>
      </c>
      <c r="C6" s="316"/>
      <c r="D6" s="316"/>
      <c r="E6" s="316"/>
      <c r="F6" s="316"/>
      <c r="G6" s="317"/>
    </row>
    <row r="7" spans="1:8" ht="15">
      <c r="A7" s="459"/>
      <c r="B7" s="461" t="s">
        <v>190</v>
      </c>
      <c r="C7" s="316"/>
      <c r="D7" s="316"/>
      <c r="E7" s="316"/>
      <c r="F7" s="316"/>
      <c r="G7" s="317"/>
    </row>
    <row r="8" spans="1:8" ht="15">
      <c r="A8" s="439">
        <v>1</v>
      </c>
      <c r="B8" s="440" t="s">
        <v>23</v>
      </c>
      <c r="C8" s="462">
        <v>190970466.01999995</v>
      </c>
      <c r="D8" s="463">
        <v>170545936.60499954</v>
      </c>
      <c r="E8" s="463">
        <v>159516402.39999977</v>
      </c>
      <c r="F8" s="463">
        <v>151702892.47</v>
      </c>
      <c r="G8" s="464">
        <v>143907195.28999963</v>
      </c>
    </row>
    <row r="9" spans="1:8" ht="15">
      <c r="A9" s="439">
        <v>2</v>
      </c>
      <c r="B9" s="440" t="s">
        <v>89</v>
      </c>
      <c r="C9" s="462">
        <v>190970466.01999995</v>
      </c>
      <c r="D9" s="463">
        <v>170545936.60499954</v>
      </c>
      <c r="E9" s="463">
        <v>159516402.39999977</v>
      </c>
      <c r="F9" s="463">
        <v>151702892.47</v>
      </c>
      <c r="G9" s="464">
        <v>143907195.28999963</v>
      </c>
    </row>
    <row r="10" spans="1:8" ht="15">
      <c r="A10" s="439">
        <v>3</v>
      </c>
      <c r="B10" s="440" t="s">
        <v>88</v>
      </c>
      <c r="C10" s="462">
        <v>275919553.95755643</v>
      </c>
      <c r="D10" s="463">
        <v>238148092.37380791</v>
      </c>
      <c r="E10" s="463">
        <v>220503390.8101269</v>
      </c>
      <c r="F10" s="463">
        <v>208474378.55370051</v>
      </c>
      <c r="G10" s="464">
        <v>189392744.52843872</v>
      </c>
    </row>
    <row r="11" spans="1:8" ht="15">
      <c r="A11" s="439">
        <v>4</v>
      </c>
      <c r="B11" s="440" t="s">
        <v>485</v>
      </c>
      <c r="C11" s="462">
        <v>134297631.60237971</v>
      </c>
      <c r="D11" s="463">
        <v>109872576.48518217</v>
      </c>
      <c r="E11" s="463">
        <v>104154177.3230308</v>
      </c>
      <c r="F11" s="463">
        <v>67662721.97703366</v>
      </c>
      <c r="G11" s="464">
        <v>61877855.567255847</v>
      </c>
    </row>
    <row r="12" spans="1:8" ht="15">
      <c r="A12" s="439">
        <v>5</v>
      </c>
      <c r="B12" s="440" t="s">
        <v>486</v>
      </c>
      <c r="C12" s="462">
        <v>165290494.90808144</v>
      </c>
      <c r="D12" s="463">
        <v>135229184.71478793</v>
      </c>
      <c r="E12" s="463">
        <v>128029747.38348642</v>
      </c>
      <c r="F12" s="463">
        <v>90224248.275642887</v>
      </c>
      <c r="G12" s="464">
        <v>82510802.514234364</v>
      </c>
    </row>
    <row r="13" spans="1:8" ht="15">
      <c r="A13" s="439">
        <v>6</v>
      </c>
      <c r="B13" s="440" t="s">
        <v>487</v>
      </c>
      <c r="C13" s="462">
        <v>228225513.84499338</v>
      </c>
      <c r="D13" s="463">
        <v>186717948.58043131</v>
      </c>
      <c r="E13" s="463">
        <v>174443344.48956314</v>
      </c>
      <c r="F13" s="463">
        <v>134554051.85172278</v>
      </c>
      <c r="G13" s="464">
        <v>131997266.97875273</v>
      </c>
    </row>
    <row r="14" spans="1:8" ht="15">
      <c r="A14" s="459"/>
      <c r="B14" s="460" t="s">
        <v>489</v>
      </c>
      <c r="C14" s="316"/>
      <c r="D14" s="316"/>
      <c r="E14" s="316"/>
      <c r="F14" s="316"/>
      <c r="G14" s="317"/>
    </row>
    <row r="15" spans="1:8" ht="15" customHeight="1">
      <c r="A15" s="439">
        <v>7</v>
      </c>
      <c r="B15" s="440" t="s">
        <v>488</v>
      </c>
      <c r="C15" s="465">
        <v>1655955063.5672004</v>
      </c>
      <c r="D15" s="463">
        <v>1354725836.7705703</v>
      </c>
      <c r="E15" s="463">
        <v>1303609759.8539195</v>
      </c>
      <c r="F15" s="463">
        <v>1272772692.0415695</v>
      </c>
      <c r="G15" s="464">
        <v>1249026342.4113774</v>
      </c>
    </row>
    <row r="16" spans="1:8" ht="15">
      <c r="A16" s="459"/>
      <c r="B16" s="460" t="s">
        <v>493</v>
      </c>
      <c r="C16" s="316"/>
      <c r="D16" s="316"/>
      <c r="E16" s="316"/>
      <c r="F16" s="316"/>
      <c r="G16" s="317"/>
    </row>
    <row r="17" spans="1:7" s="3" customFormat="1" ht="15">
      <c r="A17" s="439"/>
      <c r="B17" s="461" t="s">
        <v>474</v>
      </c>
      <c r="C17" s="316"/>
      <c r="D17" s="316"/>
      <c r="E17" s="316"/>
      <c r="F17" s="316"/>
      <c r="G17" s="317"/>
    </row>
    <row r="18" spans="1:7" ht="15">
      <c r="A18" s="438">
        <v>8</v>
      </c>
      <c r="B18" s="466" t="s">
        <v>483</v>
      </c>
      <c r="C18" s="473">
        <v>0.11532345908506603</v>
      </c>
      <c r="D18" s="473">
        <v>0.12588963167008851</v>
      </c>
      <c r="E18" s="474">
        <v>0.12236514892146476</v>
      </c>
      <c r="F18" s="474">
        <v>0.11919087628024415</v>
      </c>
      <c r="G18" s="474">
        <v>0.11521550058918019</v>
      </c>
    </row>
    <row r="19" spans="1:7" ht="15" customHeight="1">
      <c r="A19" s="438">
        <v>9</v>
      </c>
      <c r="B19" s="466" t="s">
        <v>482</v>
      </c>
      <c r="C19" s="473">
        <v>0.11532345908506603</v>
      </c>
      <c r="D19" s="473">
        <v>0.12588963167008851</v>
      </c>
      <c r="E19" s="474">
        <v>0.12236514892146476</v>
      </c>
      <c r="F19" s="474">
        <v>0.11919087628024415</v>
      </c>
      <c r="G19" s="474">
        <v>0.11521550058918019</v>
      </c>
    </row>
    <row r="20" spans="1:7" ht="15">
      <c r="A20" s="438">
        <v>10</v>
      </c>
      <c r="B20" s="466" t="s">
        <v>484</v>
      </c>
      <c r="C20" s="473">
        <v>0.16662260953094957</v>
      </c>
      <c r="D20" s="473">
        <v>0.17579061822686673</v>
      </c>
      <c r="E20" s="474">
        <v>0.16914831232533589</v>
      </c>
      <c r="F20" s="474">
        <v>0.16379545213159838</v>
      </c>
      <c r="G20" s="474">
        <v>0.15163230597906846</v>
      </c>
    </row>
    <row r="21" spans="1:7" ht="15">
      <c r="A21" s="438">
        <v>11</v>
      </c>
      <c r="B21" s="440" t="s">
        <v>485</v>
      </c>
      <c r="C21" s="473">
        <v>8.1054040642183592E-2</v>
      </c>
      <c r="D21" s="473">
        <v>8.1103182284541941E-2</v>
      </c>
      <c r="E21" s="474">
        <v>7.9896745583357826E-2</v>
      </c>
      <c r="F21" s="474">
        <v>5.3161670108195377E-2</v>
      </c>
      <c r="G21" s="474">
        <v>4.9540873131461827E-2</v>
      </c>
    </row>
    <row r="22" spans="1:7" ht="15">
      <c r="A22" s="438">
        <v>12</v>
      </c>
      <c r="B22" s="440" t="s">
        <v>486</v>
      </c>
      <c r="C22" s="473">
        <v>9.9754518717210167E-2</v>
      </c>
      <c r="D22" s="473">
        <v>9.9820333416797219E-2</v>
      </c>
      <c r="E22" s="474">
        <v>9.821171283485422E-2</v>
      </c>
      <c r="F22" s="474">
        <v>7.0887951037761673E-2</v>
      </c>
      <c r="G22" s="474">
        <v>6.6060097943922091E-2</v>
      </c>
    </row>
    <row r="23" spans="1:7" ht="15">
      <c r="A23" s="438">
        <v>13</v>
      </c>
      <c r="B23" s="440" t="s">
        <v>487</v>
      </c>
      <c r="C23" s="473">
        <v>0.13782107912599872</v>
      </c>
      <c r="D23" s="473">
        <v>0.13782711122239633</v>
      </c>
      <c r="E23" s="474">
        <v>0.13381561711313897</v>
      </c>
      <c r="F23" s="474">
        <v>0.10571726805034889</v>
      </c>
      <c r="G23" s="474">
        <v>0.10568013059189613</v>
      </c>
    </row>
    <row r="24" spans="1:7" ht="15">
      <c r="A24" s="459"/>
      <c r="B24" s="460" t="s">
        <v>6</v>
      </c>
      <c r="C24" s="316"/>
      <c r="D24" s="316"/>
      <c r="E24" s="316"/>
      <c r="F24" s="316"/>
      <c r="G24" s="317"/>
    </row>
    <row r="25" spans="1:7" ht="15" customHeight="1">
      <c r="A25" s="467">
        <v>14</v>
      </c>
      <c r="B25" s="468" t="s">
        <v>7</v>
      </c>
      <c r="C25" s="604">
        <v>0.17906126754806295</v>
      </c>
      <c r="D25" s="604">
        <v>0.16676073723122978</v>
      </c>
      <c r="E25" s="605">
        <v>0.16490591544310193</v>
      </c>
      <c r="F25" s="605">
        <v>0.16420464402205129</v>
      </c>
      <c r="G25" s="605">
        <v>0.16420737604838972</v>
      </c>
    </row>
    <row r="26" spans="1:7" ht="15">
      <c r="A26" s="467">
        <v>15</v>
      </c>
      <c r="B26" s="468" t="s">
        <v>8</v>
      </c>
      <c r="C26" s="604">
        <v>9.1761194423027714E-2</v>
      </c>
      <c r="D26" s="604">
        <v>8.5703202350992838E-2</v>
      </c>
      <c r="E26" s="605">
        <v>8.2510663276905469E-2</v>
      </c>
      <c r="F26" s="605">
        <v>8.0441019149516221E-2</v>
      </c>
      <c r="G26" s="605">
        <v>8.61720096087078E-2</v>
      </c>
    </row>
    <row r="27" spans="1:7" ht="15">
      <c r="A27" s="467">
        <v>16</v>
      </c>
      <c r="B27" s="468" t="s">
        <v>9</v>
      </c>
      <c r="C27" s="604">
        <v>4.3632615790773571E-2</v>
      </c>
      <c r="D27" s="604">
        <v>4.2393594816898507E-2</v>
      </c>
      <c r="E27" s="605">
        <v>4.4595100939298284E-2</v>
      </c>
      <c r="F27" s="605">
        <v>4.1424513920289049E-2</v>
      </c>
      <c r="G27" s="605">
        <v>3.4016918835750566E-2</v>
      </c>
    </row>
    <row r="28" spans="1:7" ht="15">
      <c r="A28" s="467">
        <v>17</v>
      </c>
      <c r="B28" s="468" t="s">
        <v>224</v>
      </c>
      <c r="C28" s="604">
        <v>8.7300073125035238E-2</v>
      </c>
      <c r="D28" s="604">
        <v>8.1057534880236912E-2</v>
      </c>
      <c r="E28" s="605">
        <v>8.2395252166196462E-2</v>
      </c>
      <c r="F28" s="605">
        <v>8.3763624872535053E-2</v>
      </c>
      <c r="G28" s="605">
        <v>7.8035366439681952E-2</v>
      </c>
    </row>
    <row r="29" spans="1:7" ht="15">
      <c r="A29" s="467">
        <v>18</v>
      </c>
      <c r="B29" s="468" t="s">
        <v>10</v>
      </c>
      <c r="C29" s="604">
        <v>1.7875156182373939E-2</v>
      </c>
      <c r="D29" s="604">
        <v>2.042410213898507E-2</v>
      </c>
      <c r="E29" s="605">
        <v>2.3207042180071493E-2</v>
      </c>
      <c r="F29" s="605">
        <v>2.1769455792221164E-2</v>
      </c>
      <c r="G29" s="605">
        <v>1.1729153857570951E-2</v>
      </c>
    </row>
    <row r="30" spans="1:7" ht="15">
      <c r="A30" s="467">
        <v>19</v>
      </c>
      <c r="B30" s="468" t="s">
        <v>11</v>
      </c>
      <c r="C30" s="604">
        <v>0.14944306531804341</v>
      </c>
      <c r="D30" s="604">
        <v>0.17001370928338166</v>
      </c>
      <c r="E30" s="605">
        <v>0.2051091874195872</v>
      </c>
      <c r="F30" s="605">
        <v>0.19207039542552393</v>
      </c>
      <c r="G30" s="605">
        <v>9.9399996651987718E-2</v>
      </c>
    </row>
    <row r="31" spans="1:7" ht="15">
      <c r="A31" s="459"/>
      <c r="B31" s="460" t="s">
        <v>12</v>
      </c>
      <c r="C31" s="316"/>
      <c r="D31" s="316"/>
      <c r="E31" s="316"/>
      <c r="F31" s="316"/>
      <c r="G31" s="317"/>
    </row>
    <row r="32" spans="1:7" ht="15">
      <c r="A32" s="467">
        <v>20</v>
      </c>
      <c r="B32" s="468" t="s">
        <v>13</v>
      </c>
      <c r="C32" s="604">
        <v>3.8736315714277547E-2</v>
      </c>
      <c r="D32" s="604">
        <v>2.3394146315303972E-2</v>
      </c>
      <c r="E32" s="605">
        <v>1.8721118429435246E-2</v>
      </c>
      <c r="F32" s="605">
        <v>2.0822403825060919E-2</v>
      </c>
      <c r="G32" s="605">
        <v>1.8321966877577089E-2</v>
      </c>
    </row>
    <row r="33" spans="1:7" ht="15" customHeight="1">
      <c r="A33" s="467">
        <v>21</v>
      </c>
      <c r="B33" s="468" t="s">
        <v>14</v>
      </c>
      <c r="C33" s="604">
        <v>4.2972414925792041E-2</v>
      </c>
      <c r="D33" s="604">
        <v>3.7030603577105303E-2</v>
      </c>
      <c r="E33" s="605">
        <v>3.5200000000000002E-2</v>
      </c>
      <c r="F33" s="605">
        <v>3.6187962041661199E-2</v>
      </c>
      <c r="G33" s="605">
        <v>3.6087926082905786E-2</v>
      </c>
    </row>
    <row r="34" spans="1:7" ht="15">
      <c r="A34" s="467">
        <v>22</v>
      </c>
      <c r="B34" s="468" t="s">
        <v>15</v>
      </c>
      <c r="C34" s="604">
        <v>9.1200000000000003E-2</v>
      </c>
      <c r="D34" s="604">
        <v>9.1551287193214675E-2</v>
      </c>
      <c r="E34" s="605">
        <v>9.149066023636318E-2</v>
      </c>
      <c r="F34" s="605">
        <v>9.6783736693314318E-2</v>
      </c>
      <c r="G34" s="605">
        <v>9.5857896605660076E-2</v>
      </c>
    </row>
    <row r="35" spans="1:7" ht="15" customHeight="1">
      <c r="A35" s="467">
        <v>23</v>
      </c>
      <c r="B35" s="468" t="s">
        <v>16</v>
      </c>
      <c r="C35" s="604">
        <v>0.12834595455243403</v>
      </c>
      <c r="D35" s="604">
        <v>0.13492248165465076</v>
      </c>
      <c r="E35" s="605">
        <v>0.14977465231554332</v>
      </c>
      <c r="F35" s="605">
        <v>0.16489806577974372</v>
      </c>
      <c r="G35" s="605">
        <v>0.17054484636504691</v>
      </c>
    </row>
    <row r="36" spans="1:7" ht="15">
      <c r="A36" s="467">
        <v>24</v>
      </c>
      <c r="B36" s="468" t="s">
        <v>17</v>
      </c>
      <c r="C36" s="604">
        <v>0.40130466436092099</v>
      </c>
      <c r="D36" s="604">
        <v>0.13508389064670023</v>
      </c>
      <c r="E36" s="605">
        <v>8.6800000000000002E-2</v>
      </c>
      <c r="F36" s="605">
        <v>2.1100000000000001E-2</v>
      </c>
      <c r="G36" s="605">
        <v>0.26032038042050143</v>
      </c>
    </row>
    <row r="37" spans="1:7" ht="15" customHeight="1">
      <c r="A37" s="459"/>
      <c r="B37" s="460" t="s">
        <v>18</v>
      </c>
      <c r="C37" s="316"/>
      <c r="D37" s="316"/>
      <c r="E37" s="316"/>
      <c r="F37" s="316"/>
      <c r="G37" s="317"/>
    </row>
    <row r="38" spans="1:7" ht="15" customHeight="1">
      <c r="A38" s="467">
        <v>25</v>
      </c>
      <c r="B38" s="468" t="s">
        <v>19</v>
      </c>
      <c r="C38" s="604">
        <v>0.12248576368474862</v>
      </c>
      <c r="D38" s="604">
        <v>0.14780529813254237</v>
      </c>
      <c r="E38" s="604">
        <v>0.16078716298516199</v>
      </c>
      <c r="F38" s="604">
        <v>0.16675064262590911</v>
      </c>
      <c r="G38" s="604">
        <v>0.187987283250416</v>
      </c>
    </row>
    <row r="39" spans="1:7" ht="15" customHeight="1">
      <c r="A39" s="467">
        <v>26</v>
      </c>
      <c r="B39" s="468" t="s">
        <v>20</v>
      </c>
      <c r="C39" s="604">
        <v>0.1589559058625058</v>
      </c>
      <c r="D39" s="604">
        <v>0.17003998457359173</v>
      </c>
      <c r="E39" s="604">
        <v>0.18094049013450156</v>
      </c>
      <c r="F39" s="604">
        <v>0.25273793537411621</v>
      </c>
      <c r="G39" s="604">
        <v>0.25784482166546513</v>
      </c>
    </row>
    <row r="40" spans="1:7" ht="15" customHeight="1">
      <c r="A40" s="467">
        <v>27</v>
      </c>
      <c r="B40" s="469" t="s">
        <v>21</v>
      </c>
      <c r="C40" s="604">
        <v>7.0089317029742138E-2</v>
      </c>
      <c r="D40" s="604">
        <v>4.7189690439026731E-2</v>
      </c>
      <c r="E40" s="604">
        <v>5.14726153104791E-2</v>
      </c>
      <c r="F40" s="604">
        <v>5.0901537786217151E-2</v>
      </c>
      <c r="G40" s="604">
        <v>5.9616186238940265E-2</v>
      </c>
    </row>
    <row r="41" spans="1:7" ht="15" customHeight="1">
      <c r="A41" s="471"/>
      <c r="B41" s="460" t="s">
        <v>395</v>
      </c>
      <c r="C41" s="316"/>
      <c r="D41" s="316"/>
      <c r="E41" s="316"/>
      <c r="F41" s="316"/>
      <c r="G41" s="317"/>
    </row>
    <row r="42" spans="1:7" ht="15" customHeight="1">
      <c r="A42" s="467">
        <v>28</v>
      </c>
      <c r="B42" s="514" t="s">
        <v>388</v>
      </c>
      <c r="C42" s="690">
        <v>207165339.34011158</v>
      </c>
      <c r="D42" s="606">
        <v>199077912.89091116</v>
      </c>
      <c r="E42" s="469">
        <v>214376794.77349353</v>
      </c>
      <c r="F42" s="469">
        <v>220144172.22217697</v>
      </c>
      <c r="G42" s="469">
        <v>176591304.296114</v>
      </c>
    </row>
    <row r="43" spans="1:7" ht="15">
      <c r="A43" s="467">
        <v>29</v>
      </c>
      <c r="B43" s="468" t="s">
        <v>389</v>
      </c>
      <c r="C43" s="690">
        <v>118717181.96934123</v>
      </c>
      <c r="D43" s="606">
        <v>83099386.974698663</v>
      </c>
      <c r="E43" s="470">
        <v>100930519.47576636</v>
      </c>
      <c r="F43" s="470">
        <v>66435210.961435787</v>
      </c>
      <c r="G43" s="470">
        <v>34877597.749489382</v>
      </c>
    </row>
    <row r="44" spans="1:7" ht="15">
      <c r="A44" s="510">
        <v>30</v>
      </c>
      <c r="B44" s="511" t="s">
        <v>387</v>
      </c>
      <c r="C44" s="691">
        <v>1.7450324873244727</v>
      </c>
      <c r="D44" s="607">
        <v>2.3956604270922548</v>
      </c>
      <c r="E44" s="604">
        <v>2.1240036798281401</v>
      </c>
      <c r="F44" s="604">
        <v>3.3136670906330972</v>
      </c>
      <c r="G44" s="604">
        <v>5.0631728011915422</v>
      </c>
    </row>
    <row r="45" spans="1:7" ht="15">
      <c r="A45" s="510"/>
      <c r="B45" s="460" t="s">
        <v>494</v>
      </c>
      <c r="C45" s="316"/>
      <c r="D45" s="316"/>
      <c r="E45" s="316"/>
      <c r="F45" s="316"/>
      <c r="G45" s="317"/>
    </row>
    <row r="46" spans="1:7" ht="15">
      <c r="A46" s="510">
        <v>31</v>
      </c>
      <c r="B46" s="511" t="s">
        <v>501</v>
      </c>
      <c r="C46" s="662">
        <v>1362648324.3199999</v>
      </c>
      <c r="D46" s="512">
        <v>1236728028.7499995</v>
      </c>
      <c r="E46" s="513">
        <v>1117305337.848695</v>
      </c>
      <c r="F46" s="513">
        <v>959459929.28716135</v>
      </c>
      <c r="G46" s="513">
        <v>970567426.34524727</v>
      </c>
    </row>
    <row r="47" spans="1:7" ht="15">
      <c r="A47" s="510">
        <v>32</v>
      </c>
      <c r="B47" s="511" t="s">
        <v>514</v>
      </c>
      <c r="C47" s="662">
        <v>1073684098.3064198</v>
      </c>
      <c r="D47" s="512">
        <v>920660974.02293551</v>
      </c>
      <c r="E47" s="513">
        <v>851634981.07405925</v>
      </c>
      <c r="F47" s="513">
        <v>794469701.77628505</v>
      </c>
      <c r="G47" s="513">
        <v>772625756.8957088</v>
      </c>
    </row>
    <row r="48" spans="1:7" thickBot="1">
      <c r="A48" s="120">
        <v>33</v>
      </c>
      <c r="B48" s="229" t="s">
        <v>528</v>
      </c>
      <c r="C48" s="680">
        <v>1.269133375887171</v>
      </c>
      <c r="D48" s="608">
        <v>1.3433044993163685</v>
      </c>
      <c r="E48" s="609">
        <v>1.3119533164778876</v>
      </c>
      <c r="F48" s="609">
        <v>1.2076734042116259</v>
      </c>
      <c r="G48" s="609">
        <v>1.2561934645368769</v>
      </c>
    </row>
    <row r="49" spans="1:7">
      <c r="A49" s="20"/>
    </row>
    <row r="50" spans="1:7" ht="39.75">
      <c r="B50" s="23" t="s">
        <v>473</v>
      </c>
    </row>
    <row r="51" spans="1:7" ht="65.25">
      <c r="B51" s="365" t="s">
        <v>394</v>
      </c>
      <c r="D51" s="338"/>
      <c r="E51" s="338"/>
      <c r="F51" s="338"/>
      <c r="G51" s="3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1" zoomScale="75" zoomScaleNormal="75" workbookViewId="0">
      <selection activeCell="D21" sqref="D21"/>
    </sheetView>
  </sheetViews>
  <sheetFormatPr defaultColWidth="9.140625" defaultRowHeight="12.75"/>
  <cols>
    <col min="1" max="1" width="10.85546875" style="517" customWidth="1"/>
    <col min="2" max="2" width="93.5703125" style="517" customWidth="1"/>
    <col min="3" max="8" width="24.7109375" style="517" customWidth="1"/>
    <col min="9" max="16384" width="9.140625" style="517"/>
  </cols>
  <sheetData>
    <row r="1" spans="1:8" ht="13.5">
      <c r="A1" s="516" t="s">
        <v>188</v>
      </c>
      <c r="B1" s="434" t="str">
        <f>Info!C2</f>
        <v>სს "კრედო ბანკი"</v>
      </c>
    </row>
    <row r="2" spans="1:8">
      <c r="A2" s="518" t="s">
        <v>189</v>
      </c>
      <c r="B2" s="520">
        <f>'1. key ratios'!B2</f>
        <v>44561</v>
      </c>
    </row>
    <row r="3" spans="1:8">
      <c r="A3" s="519" t="s">
        <v>530</v>
      </c>
    </row>
    <row r="5" spans="1:8">
      <c r="A5" s="747" t="s">
        <v>531</v>
      </c>
      <c r="B5" s="748"/>
      <c r="C5" s="753" t="s">
        <v>532</v>
      </c>
      <c r="D5" s="754"/>
      <c r="E5" s="754"/>
      <c r="F5" s="754"/>
      <c r="G5" s="754"/>
      <c r="H5" s="755"/>
    </row>
    <row r="6" spans="1:8">
      <c r="A6" s="749"/>
      <c r="B6" s="750"/>
      <c r="C6" s="756"/>
      <c r="D6" s="757"/>
      <c r="E6" s="757"/>
      <c r="F6" s="757"/>
      <c r="G6" s="757"/>
      <c r="H6" s="758"/>
    </row>
    <row r="7" spans="1:8" ht="25.5">
      <c r="A7" s="751"/>
      <c r="B7" s="752"/>
      <c r="C7" s="521" t="s">
        <v>533</v>
      </c>
      <c r="D7" s="521" t="s">
        <v>534</v>
      </c>
      <c r="E7" s="521" t="s">
        <v>535</v>
      </c>
      <c r="F7" s="521" t="s">
        <v>536</v>
      </c>
      <c r="G7" s="590" t="s">
        <v>708</v>
      </c>
      <c r="H7" s="521" t="s">
        <v>68</v>
      </c>
    </row>
    <row r="8" spans="1:8" ht="15" customHeight="1">
      <c r="A8" s="522">
        <v>1</v>
      </c>
      <c r="B8" s="523" t="s">
        <v>216</v>
      </c>
      <c r="C8" s="632">
        <v>59797351.900000006</v>
      </c>
      <c r="D8" s="632">
        <v>4273380</v>
      </c>
      <c r="E8" s="632">
        <v>2957997</v>
      </c>
      <c r="F8" s="632">
        <v>19745284</v>
      </c>
      <c r="G8" s="632"/>
      <c r="H8" s="632">
        <f>SUM(C8:G8)</f>
        <v>86774012.900000006</v>
      </c>
    </row>
    <row r="9" spans="1:8" ht="23.25" customHeight="1">
      <c r="A9" s="522">
        <v>2</v>
      </c>
      <c r="B9" s="523" t="s">
        <v>217</v>
      </c>
      <c r="C9" s="632"/>
      <c r="D9" s="632"/>
      <c r="E9" s="632"/>
      <c r="F9" s="632"/>
      <c r="G9" s="632"/>
      <c r="H9" s="632">
        <f t="shared" ref="H9:H21" si="0">SUM(C9:G9)</f>
        <v>0</v>
      </c>
    </row>
    <row r="10" spans="1:8" ht="15" customHeight="1">
      <c r="A10" s="522">
        <v>3</v>
      </c>
      <c r="B10" s="523" t="s">
        <v>218</v>
      </c>
      <c r="C10" s="632"/>
      <c r="D10" s="632"/>
      <c r="E10" s="632"/>
      <c r="F10" s="632"/>
      <c r="G10" s="632"/>
      <c r="H10" s="632">
        <f t="shared" si="0"/>
        <v>0</v>
      </c>
    </row>
    <row r="11" spans="1:8" ht="15" customHeight="1">
      <c r="A11" s="522">
        <v>4</v>
      </c>
      <c r="B11" s="523" t="s">
        <v>219</v>
      </c>
      <c r="C11" s="632"/>
      <c r="D11" s="632"/>
      <c r="E11" s="632">
        <v>26128276</v>
      </c>
      <c r="F11" s="632"/>
      <c r="G11" s="632"/>
      <c r="H11" s="632">
        <f t="shared" si="0"/>
        <v>26128276</v>
      </c>
    </row>
    <row r="12" spans="1:8" ht="15" customHeight="1">
      <c r="A12" s="522">
        <v>5</v>
      </c>
      <c r="B12" s="523" t="s">
        <v>220</v>
      </c>
      <c r="C12" s="632"/>
      <c r="D12" s="632"/>
      <c r="E12" s="632"/>
      <c r="F12" s="632"/>
      <c r="G12" s="632"/>
      <c r="H12" s="632">
        <f t="shared" si="0"/>
        <v>0</v>
      </c>
    </row>
    <row r="13" spans="1:8" ht="15" customHeight="1">
      <c r="A13" s="522">
        <v>6</v>
      </c>
      <c r="B13" s="523" t="s">
        <v>221</v>
      </c>
      <c r="C13" s="632">
        <v>52437417.009999998</v>
      </c>
      <c r="D13" s="632"/>
      <c r="E13" s="632"/>
      <c r="F13" s="632"/>
      <c r="G13" s="632"/>
      <c r="H13" s="632">
        <f t="shared" si="0"/>
        <v>52437417.009999998</v>
      </c>
    </row>
    <row r="14" spans="1:8" ht="15" customHeight="1">
      <c r="A14" s="522">
        <v>7</v>
      </c>
      <c r="B14" s="523" t="s">
        <v>73</v>
      </c>
      <c r="C14" s="632"/>
      <c r="D14" s="632"/>
      <c r="E14" s="632"/>
      <c r="F14" s="632">
        <v>4536803.2538578054</v>
      </c>
      <c r="G14" s="632"/>
      <c r="H14" s="632">
        <f t="shared" si="0"/>
        <v>4536803.2538578054</v>
      </c>
    </row>
    <row r="15" spans="1:8" ht="15" customHeight="1">
      <c r="A15" s="522">
        <v>8</v>
      </c>
      <c r="B15" s="525" t="s">
        <v>74</v>
      </c>
      <c r="C15" s="632">
        <f>44098.2962258943+C17</f>
        <v>45154.570796458516</v>
      </c>
      <c r="D15" s="632">
        <v>245414372.73086467</v>
      </c>
      <c r="E15" s="632">
        <v>888296889.95546067</v>
      </c>
      <c r="F15" s="632">
        <v>181576751.66454083</v>
      </c>
      <c r="G15" s="632">
        <f>456923.891661866+477043</f>
        <v>933966.89166186599</v>
      </c>
      <c r="H15" s="632">
        <f t="shared" si="0"/>
        <v>1316267135.8133245</v>
      </c>
    </row>
    <row r="16" spans="1:8" ht="15" customHeight="1">
      <c r="A16" s="522">
        <v>9</v>
      </c>
      <c r="B16" s="523" t="s">
        <v>75</v>
      </c>
      <c r="C16" s="632"/>
      <c r="D16" s="632"/>
      <c r="E16" s="632"/>
      <c r="F16" s="632"/>
      <c r="G16" s="632"/>
      <c r="H16" s="632">
        <f t="shared" si="0"/>
        <v>0</v>
      </c>
    </row>
    <row r="17" spans="1:8" ht="15" customHeight="1">
      <c r="A17" s="522">
        <v>10</v>
      </c>
      <c r="B17" s="593" t="s">
        <v>558</v>
      </c>
      <c r="C17" s="632">
        <v>1056.2745705642155</v>
      </c>
      <c r="D17" s="632">
        <v>2035616.5759639735</v>
      </c>
      <c r="E17" s="632">
        <v>5078010.1662524715</v>
      </c>
      <c r="F17" s="632">
        <v>1308417.6682089511</v>
      </c>
      <c r="G17" s="632">
        <v>479705.92742709693</v>
      </c>
      <c r="H17" s="632">
        <f t="shared" si="0"/>
        <v>8902806.6124230567</v>
      </c>
    </row>
    <row r="18" spans="1:8" ht="15" customHeight="1">
      <c r="A18" s="522">
        <v>11</v>
      </c>
      <c r="B18" s="523" t="s">
        <v>70</v>
      </c>
      <c r="C18" s="632">
        <v>1299.8501624904497</v>
      </c>
      <c r="D18" s="632">
        <v>28381958.307967074</v>
      </c>
      <c r="E18" s="632">
        <v>126468466.18694533</v>
      </c>
      <c r="F18" s="632">
        <v>3982375.8461904973</v>
      </c>
      <c r="G18" s="632">
        <f>3214.40310959969+2663</f>
        <v>5877.4031095996907</v>
      </c>
      <c r="H18" s="632">
        <f t="shared" si="0"/>
        <v>158839977.59437501</v>
      </c>
    </row>
    <row r="19" spans="1:8" ht="15" customHeight="1">
      <c r="A19" s="522">
        <v>12</v>
      </c>
      <c r="B19" s="523" t="s">
        <v>71</v>
      </c>
      <c r="C19" s="632"/>
      <c r="D19" s="632"/>
      <c r="E19" s="632"/>
      <c r="F19" s="632"/>
      <c r="G19" s="632"/>
      <c r="H19" s="632">
        <f t="shared" si="0"/>
        <v>0</v>
      </c>
    </row>
    <row r="20" spans="1:8" ht="15" customHeight="1">
      <c r="A20" s="526">
        <v>13</v>
      </c>
      <c r="B20" s="525" t="s">
        <v>72</v>
      </c>
      <c r="C20" s="632"/>
      <c r="D20" s="632"/>
      <c r="E20" s="632"/>
      <c r="F20" s="632"/>
      <c r="G20" s="632"/>
      <c r="H20" s="632">
        <f t="shared" si="0"/>
        <v>0</v>
      </c>
    </row>
    <row r="21" spans="1:8" ht="15" customHeight="1">
      <c r="A21" s="522">
        <v>14</v>
      </c>
      <c r="B21" s="523" t="s">
        <v>537</v>
      </c>
      <c r="C21" s="632">
        <v>92017203.320000008</v>
      </c>
      <c r="D21" s="632">
        <v>38382775.899999999</v>
      </c>
      <c r="E21" s="632">
        <f>2309385</f>
        <v>2309385</v>
      </c>
      <c r="F21" s="632"/>
      <c r="G21" s="632">
        <f>16292436+7154085</f>
        <v>23446521</v>
      </c>
      <c r="H21" s="632">
        <f t="shared" si="0"/>
        <v>156155885.22</v>
      </c>
    </row>
    <row r="22" spans="1:8" ht="15" customHeight="1">
      <c r="A22" s="527">
        <v>15</v>
      </c>
      <c r="B22" s="524" t="s">
        <v>68</v>
      </c>
      <c r="C22" s="632">
        <f>SUM(C18:C21)+SUM(C8:C16)</f>
        <v>204298426.65095896</v>
      </c>
      <c r="D22" s="632">
        <f t="shared" ref="D22:G22" si="1">SUM(D18:D21)+SUM(D8:D16)</f>
        <v>316452486.93883175</v>
      </c>
      <c r="E22" s="632">
        <f t="shared" si="1"/>
        <v>1046161014.142406</v>
      </c>
      <c r="F22" s="632">
        <f t="shared" si="1"/>
        <v>209841214.76458913</v>
      </c>
      <c r="G22" s="632">
        <f t="shared" si="1"/>
        <v>24386365.294771466</v>
      </c>
      <c r="H22" s="632">
        <f>SUM(H18:H21)+SUM(H8:H16)</f>
        <v>1801139507.7915573</v>
      </c>
    </row>
    <row r="26" spans="1:8" ht="38.25">
      <c r="B26" s="592" t="s">
        <v>707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6"/>
  <sheetViews>
    <sheetView showGridLines="0" topLeftCell="C3" zoomScale="80" zoomScaleNormal="80" workbookViewId="0">
      <selection activeCell="H23" sqref="H23"/>
    </sheetView>
  </sheetViews>
  <sheetFormatPr defaultColWidth="9.140625" defaultRowHeight="12.75"/>
  <cols>
    <col min="1" max="1" width="11.85546875" style="528" bestFit="1" customWidth="1"/>
    <col min="2" max="2" width="102.85546875" style="517" customWidth="1"/>
    <col min="3" max="3" width="22.42578125" style="517" customWidth="1"/>
    <col min="4" max="4" width="23.5703125" style="517" customWidth="1"/>
    <col min="5" max="7" width="22.140625" style="540" customWidth="1"/>
    <col min="8" max="8" width="22.140625" style="517" customWidth="1"/>
    <col min="9" max="9" width="41.42578125" style="517" customWidth="1"/>
    <col min="10" max="10" width="9.140625" style="517"/>
    <col min="11" max="11" width="18" style="517" bestFit="1" customWidth="1"/>
    <col min="12" max="16384" width="9.140625" style="517"/>
  </cols>
  <sheetData>
    <row r="1" spans="1:9" ht="13.5">
      <c r="A1" s="516" t="s">
        <v>188</v>
      </c>
      <c r="B1" s="434" t="str">
        <f>Info!C2</f>
        <v>სს "კრედო ბანკი"</v>
      </c>
      <c r="E1" s="517"/>
      <c r="F1" s="517"/>
      <c r="G1" s="517"/>
    </row>
    <row r="2" spans="1:9">
      <c r="A2" s="518" t="s">
        <v>189</v>
      </c>
      <c r="B2" s="520">
        <f>'1. key ratios'!B2</f>
        <v>44561</v>
      </c>
      <c r="E2" s="517"/>
      <c r="F2" s="517"/>
      <c r="G2" s="517"/>
    </row>
    <row r="3" spans="1:9">
      <c r="A3" s="519" t="s">
        <v>538</v>
      </c>
      <c r="E3" s="517"/>
      <c r="F3" s="517"/>
      <c r="G3" s="517"/>
    </row>
    <row r="4" spans="1:9">
      <c r="C4" s="529" t="s">
        <v>539</v>
      </c>
      <c r="D4" s="529" t="s">
        <v>540</v>
      </c>
      <c r="E4" s="529" t="s">
        <v>541</v>
      </c>
      <c r="F4" s="529" t="s">
        <v>542</v>
      </c>
      <c r="G4" s="529" t="s">
        <v>543</v>
      </c>
      <c r="H4" s="529" t="s">
        <v>544</v>
      </c>
      <c r="I4" s="529" t="s">
        <v>545</v>
      </c>
    </row>
    <row r="5" spans="1:9" ht="33.950000000000003" customHeight="1">
      <c r="A5" s="747" t="s">
        <v>548</v>
      </c>
      <c r="B5" s="748"/>
      <c r="C5" s="761" t="s">
        <v>549</v>
      </c>
      <c r="D5" s="761"/>
      <c r="E5" s="761" t="s">
        <v>550</v>
      </c>
      <c r="F5" s="761" t="s">
        <v>551</v>
      </c>
      <c r="G5" s="759" t="s">
        <v>552</v>
      </c>
      <c r="H5" s="759" t="s">
        <v>553</v>
      </c>
      <c r="I5" s="530" t="s">
        <v>554</v>
      </c>
    </row>
    <row r="6" spans="1:9" ht="38.25">
      <c r="A6" s="751"/>
      <c r="B6" s="752"/>
      <c r="C6" s="581" t="s">
        <v>555</v>
      </c>
      <c r="D6" s="581" t="s">
        <v>556</v>
      </c>
      <c r="E6" s="761"/>
      <c r="F6" s="761"/>
      <c r="G6" s="760"/>
      <c r="H6" s="760"/>
      <c r="I6" s="530" t="s">
        <v>557</v>
      </c>
    </row>
    <row r="7" spans="1:9">
      <c r="A7" s="531">
        <v>1</v>
      </c>
      <c r="B7" s="523" t="s">
        <v>216</v>
      </c>
      <c r="C7" s="633"/>
      <c r="D7" s="633">
        <v>86774012.900000006</v>
      </c>
      <c r="E7" s="634"/>
      <c r="F7" s="634"/>
      <c r="G7" s="634"/>
      <c r="H7" s="633"/>
      <c r="I7" s="534">
        <f t="shared" ref="I7:I23" si="0">C7+D7-E7-F7-G7</f>
        <v>86774012.900000006</v>
      </c>
    </row>
    <row r="8" spans="1:9">
      <c r="A8" s="531">
        <v>2</v>
      </c>
      <c r="B8" s="523" t="s">
        <v>217</v>
      </c>
      <c r="C8" s="633"/>
      <c r="D8" s="633">
        <v>0</v>
      </c>
      <c r="E8" s="634"/>
      <c r="F8" s="634"/>
      <c r="G8" s="634"/>
      <c r="H8" s="633"/>
      <c r="I8" s="534">
        <f t="shared" si="0"/>
        <v>0</v>
      </c>
    </row>
    <row r="9" spans="1:9">
      <c r="A9" s="531">
        <v>3</v>
      </c>
      <c r="B9" s="523" t="s">
        <v>218</v>
      </c>
      <c r="C9" s="633"/>
      <c r="D9" s="633">
        <v>0</v>
      </c>
      <c r="E9" s="634"/>
      <c r="F9" s="634"/>
      <c r="G9" s="634"/>
      <c r="H9" s="633"/>
      <c r="I9" s="534">
        <f t="shared" si="0"/>
        <v>0</v>
      </c>
    </row>
    <row r="10" spans="1:9">
      <c r="A10" s="531">
        <v>4</v>
      </c>
      <c r="B10" s="523" t="s">
        <v>219</v>
      </c>
      <c r="C10" s="633"/>
      <c r="D10" s="633">
        <v>26128276</v>
      </c>
      <c r="E10" s="634"/>
      <c r="F10" s="634"/>
      <c r="G10" s="634"/>
      <c r="H10" s="633"/>
      <c r="I10" s="534">
        <f t="shared" si="0"/>
        <v>26128276</v>
      </c>
    </row>
    <row r="11" spans="1:9">
      <c r="A11" s="531">
        <v>5</v>
      </c>
      <c r="B11" s="523" t="s">
        <v>220</v>
      </c>
      <c r="C11" s="633"/>
      <c r="D11" s="633">
        <v>0</v>
      </c>
      <c r="E11" s="634"/>
      <c r="F11" s="634"/>
      <c r="G11" s="634"/>
      <c r="H11" s="633"/>
      <c r="I11" s="534">
        <f t="shared" si="0"/>
        <v>0</v>
      </c>
    </row>
    <row r="12" spans="1:9">
      <c r="A12" s="531">
        <v>6</v>
      </c>
      <c r="B12" s="523" t="s">
        <v>221</v>
      </c>
      <c r="C12" s="633"/>
      <c r="D12" s="633">
        <v>52437417.009999998</v>
      </c>
      <c r="E12" s="634"/>
      <c r="F12" s="634"/>
      <c r="G12" s="634"/>
      <c r="H12" s="633"/>
      <c r="I12" s="534">
        <f t="shared" si="0"/>
        <v>52437417.009999998</v>
      </c>
    </row>
    <row r="13" spans="1:9">
      <c r="A13" s="531">
        <v>7</v>
      </c>
      <c r="B13" s="523" t="s">
        <v>73</v>
      </c>
      <c r="C13" s="633"/>
      <c r="D13" s="633">
        <v>4536803.2538578054</v>
      </c>
      <c r="E13" s="634"/>
      <c r="F13" s="634">
        <v>90403</v>
      </c>
      <c r="G13" s="634"/>
      <c r="H13" s="633"/>
      <c r="I13" s="534">
        <f t="shared" si="0"/>
        <v>4446400.2538578054</v>
      </c>
    </row>
    <row r="14" spans="1:9">
      <c r="A14" s="531">
        <v>8</v>
      </c>
      <c r="B14" s="525" t="s">
        <v>74</v>
      </c>
      <c r="C14" s="633">
        <v>58123207.815564528</v>
      </c>
      <c r="D14" s="633">
        <v>1295765255.1640148</v>
      </c>
      <c r="E14" s="634">
        <v>37621327.128702931</v>
      </c>
      <c r="F14" s="634">
        <v>23287355.529996689</v>
      </c>
      <c r="G14" s="634"/>
      <c r="H14" s="634">
        <v>10175452.215263989</v>
      </c>
      <c r="I14" s="534">
        <f t="shared" si="0"/>
        <v>1292979780.3208799</v>
      </c>
    </row>
    <row r="15" spans="1:9">
      <c r="A15" s="531">
        <v>9</v>
      </c>
      <c r="B15" s="523" t="s">
        <v>75</v>
      </c>
      <c r="C15" s="633"/>
      <c r="D15" s="633"/>
      <c r="E15" s="634"/>
      <c r="F15" s="634"/>
      <c r="G15" s="634"/>
      <c r="H15" s="634"/>
      <c r="I15" s="534">
        <f t="shared" si="0"/>
        <v>0</v>
      </c>
    </row>
    <row r="16" spans="1:9">
      <c r="A16" s="531">
        <v>10</v>
      </c>
      <c r="B16" s="593" t="s">
        <v>558</v>
      </c>
      <c r="C16" s="634">
        <v>17924705</v>
      </c>
      <c r="D16" s="634">
        <v>830537</v>
      </c>
      <c r="E16" s="634">
        <v>9852434.9655000046</v>
      </c>
      <c r="F16" s="634">
        <v>6791.0259999999989</v>
      </c>
      <c r="G16" s="634"/>
      <c r="H16" s="634">
        <v>10175452.215263989</v>
      </c>
      <c r="I16" s="534">
        <f t="shared" si="0"/>
        <v>8896016.0084999949</v>
      </c>
    </row>
    <row r="17" spans="1:11">
      <c r="A17" s="531">
        <v>11</v>
      </c>
      <c r="B17" s="523" t="s">
        <v>70</v>
      </c>
      <c r="C17" s="633">
        <v>150070.14484879145</v>
      </c>
      <c r="D17" s="633">
        <v>158736261.55349475</v>
      </c>
      <c r="E17" s="634">
        <v>46354.309999999969</v>
      </c>
      <c r="F17" s="634">
        <v>3129832.5700000627</v>
      </c>
      <c r="G17" s="634"/>
      <c r="H17" s="634"/>
      <c r="I17" s="534">
        <f t="shared" si="0"/>
        <v>155710144.81834349</v>
      </c>
    </row>
    <row r="18" spans="1:11">
      <c r="A18" s="531">
        <v>12</v>
      </c>
      <c r="B18" s="523" t="s">
        <v>71</v>
      </c>
      <c r="C18" s="633"/>
      <c r="D18" s="633"/>
      <c r="E18" s="634"/>
      <c r="F18" s="634"/>
      <c r="G18" s="634"/>
      <c r="H18" s="633"/>
      <c r="I18" s="534">
        <f t="shared" si="0"/>
        <v>0</v>
      </c>
    </row>
    <row r="19" spans="1:11">
      <c r="A19" s="535">
        <v>13</v>
      </c>
      <c r="B19" s="525" t="s">
        <v>72</v>
      </c>
      <c r="C19" s="633"/>
      <c r="D19" s="633"/>
      <c r="E19" s="634"/>
      <c r="F19" s="634"/>
      <c r="G19" s="634"/>
      <c r="H19" s="633"/>
      <c r="I19" s="534">
        <f t="shared" si="0"/>
        <v>0</v>
      </c>
      <c r="K19" s="688"/>
    </row>
    <row r="20" spans="1:11">
      <c r="A20" s="531">
        <v>14</v>
      </c>
      <c r="B20" s="523" t="s">
        <v>537</v>
      </c>
      <c r="C20" s="633">
        <v>5679965</v>
      </c>
      <c r="D20" s="633">
        <v>166838752.70000002</v>
      </c>
      <c r="E20" s="634">
        <v>3155465</v>
      </c>
      <c r="F20" s="634"/>
      <c r="G20" s="634"/>
      <c r="H20" s="634">
        <v>67700</v>
      </c>
      <c r="I20" s="534">
        <f t="shared" si="0"/>
        <v>169363252.70000002</v>
      </c>
      <c r="K20" s="635"/>
    </row>
    <row r="21" spans="1:11" s="537" customFormat="1">
      <c r="A21" s="536">
        <v>15</v>
      </c>
      <c r="B21" s="524" t="s">
        <v>68</v>
      </c>
      <c r="C21" s="632">
        <f>SUM(C7:C15)+SUM(C17:C20)</f>
        <v>63953242.960413322</v>
      </c>
      <c r="D21" s="632">
        <f t="shared" ref="D21:H21" si="1">SUM(D7:D15)+SUM(D17:D20)</f>
        <v>1791216778.5813673</v>
      </c>
      <c r="E21" s="632">
        <f t="shared" si="1"/>
        <v>40823146.438702933</v>
      </c>
      <c r="F21" s="632">
        <f t="shared" si="1"/>
        <v>26507591.099996753</v>
      </c>
      <c r="G21" s="632">
        <f t="shared" si="1"/>
        <v>0</v>
      </c>
      <c r="H21" s="632">
        <f t="shared" si="1"/>
        <v>10243152.215263989</v>
      </c>
      <c r="I21" s="534">
        <f t="shared" si="0"/>
        <v>1787839284.0030808</v>
      </c>
      <c r="K21" s="689"/>
    </row>
    <row r="22" spans="1:11">
      <c r="A22" s="538">
        <v>16</v>
      </c>
      <c r="B22" s="539" t="s">
        <v>559</v>
      </c>
      <c r="C22" s="633">
        <v>58273277.960413322</v>
      </c>
      <c r="D22" s="633">
        <v>1454501516.7175095</v>
      </c>
      <c r="E22" s="634">
        <f>E14+E17</f>
        <v>37667681.438702933</v>
      </c>
      <c r="F22" s="634">
        <f>F13+F14+F17</f>
        <v>26507591.099996753</v>
      </c>
      <c r="G22" s="634"/>
      <c r="H22" s="633">
        <f>H14</f>
        <v>10175452.215263989</v>
      </c>
      <c r="I22" s="534">
        <f t="shared" si="0"/>
        <v>1448599522.1392231</v>
      </c>
    </row>
    <row r="23" spans="1:11">
      <c r="A23" s="538">
        <v>17</v>
      </c>
      <c r="B23" s="539" t="s">
        <v>560</v>
      </c>
      <c r="C23" s="633"/>
      <c r="D23" s="633">
        <v>53104937</v>
      </c>
      <c r="E23" s="634"/>
      <c r="F23" s="634"/>
      <c r="G23" s="634"/>
      <c r="H23" s="633"/>
      <c r="I23" s="534">
        <f t="shared" si="0"/>
        <v>53104937</v>
      </c>
    </row>
    <row r="24" spans="1:11">
      <c r="H24" s="688"/>
      <c r="I24" s="686"/>
    </row>
    <row r="25" spans="1:11">
      <c r="C25" s="635"/>
      <c r="D25" s="635"/>
      <c r="F25" s="636"/>
      <c r="G25" s="636"/>
      <c r="I25" s="687"/>
    </row>
    <row r="26" spans="1:11" ht="42.6" customHeight="1">
      <c r="B26" s="592" t="s">
        <v>707</v>
      </c>
      <c r="E26" s="636"/>
      <c r="F26" s="636"/>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A9" zoomScale="90" zoomScaleNormal="90" workbookViewId="0">
      <selection activeCell="I34" sqref="I34"/>
    </sheetView>
  </sheetViews>
  <sheetFormatPr defaultColWidth="9.140625" defaultRowHeight="12.75"/>
  <cols>
    <col min="1" max="1" width="11" style="517" bestFit="1" customWidth="1"/>
    <col min="2" max="2" width="93.42578125" style="517" customWidth="1"/>
    <col min="3" max="8" width="22" style="517" customWidth="1"/>
    <col min="9" max="9" width="42.28515625" style="517" bestFit="1" customWidth="1"/>
    <col min="10" max="16384" width="9.140625" style="517"/>
  </cols>
  <sheetData>
    <row r="1" spans="1:9" ht="13.5">
      <c r="A1" s="516" t="s">
        <v>188</v>
      </c>
      <c r="B1" s="434" t="str">
        <f>Info!C2</f>
        <v>სს "კრედო ბანკი"</v>
      </c>
    </row>
    <row r="2" spans="1:9">
      <c r="A2" s="518" t="s">
        <v>189</v>
      </c>
      <c r="B2" s="520">
        <f>'1. key ratios'!B2</f>
        <v>44561</v>
      </c>
    </row>
    <row r="3" spans="1:9">
      <c r="A3" s="519" t="s">
        <v>561</v>
      </c>
    </row>
    <row r="4" spans="1:9">
      <c r="C4" s="529" t="s">
        <v>539</v>
      </c>
      <c r="D4" s="529" t="s">
        <v>540</v>
      </c>
      <c r="E4" s="529" t="s">
        <v>541</v>
      </c>
      <c r="F4" s="529" t="s">
        <v>542</v>
      </c>
      <c r="G4" s="529" t="s">
        <v>543</v>
      </c>
      <c r="H4" s="529" t="s">
        <v>544</v>
      </c>
      <c r="I4" s="529" t="s">
        <v>545</v>
      </c>
    </row>
    <row r="5" spans="1:9" ht="41.45" customHeight="1">
      <c r="A5" s="747" t="s">
        <v>711</v>
      </c>
      <c r="B5" s="748"/>
      <c r="C5" s="761" t="s">
        <v>549</v>
      </c>
      <c r="D5" s="761"/>
      <c r="E5" s="761" t="s">
        <v>550</v>
      </c>
      <c r="F5" s="761" t="s">
        <v>551</v>
      </c>
      <c r="G5" s="759" t="s">
        <v>552</v>
      </c>
      <c r="H5" s="759" t="s">
        <v>553</v>
      </c>
      <c r="I5" s="530" t="s">
        <v>554</v>
      </c>
    </row>
    <row r="6" spans="1:9" ht="41.45" customHeight="1">
      <c r="A6" s="751"/>
      <c r="B6" s="752"/>
      <c r="C6" s="581" t="s">
        <v>555</v>
      </c>
      <c r="D6" s="581" t="s">
        <v>556</v>
      </c>
      <c r="E6" s="761"/>
      <c r="F6" s="761"/>
      <c r="G6" s="760"/>
      <c r="H6" s="760"/>
      <c r="I6" s="530" t="s">
        <v>557</v>
      </c>
    </row>
    <row r="7" spans="1:9">
      <c r="A7" s="532">
        <v>1</v>
      </c>
      <c r="B7" s="541" t="s">
        <v>562</v>
      </c>
      <c r="C7" s="633">
        <v>409332.23696771351</v>
      </c>
      <c r="D7" s="634">
        <f>15663813.626884+26976661+59797352</f>
        <v>102437826.626884</v>
      </c>
      <c r="E7" s="633">
        <v>240164.85669999814</v>
      </c>
      <c r="F7" s="633">
        <v>291379.4518000012</v>
      </c>
      <c r="G7" s="633"/>
      <c r="H7" s="633">
        <v>97967.360000000001</v>
      </c>
      <c r="I7" s="693">
        <f t="shared" ref="I7:I34" si="0">C7+D7-E7-F7-G7</f>
        <v>102315614.5553517</v>
      </c>
    </row>
    <row r="8" spans="1:9">
      <c r="A8" s="532">
        <v>2</v>
      </c>
      <c r="B8" s="541" t="s">
        <v>563</v>
      </c>
      <c r="C8" s="633">
        <v>19964.17589076456</v>
      </c>
      <c r="D8" s="634">
        <f>5938595.96880663+26128276+52437417</f>
        <v>84504288.968806624</v>
      </c>
      <c r="E8" s="633">
        <v>14020.964000000007</v>
      </c>
      <c r="F8" s="633">
        <v>115970.45199999993</v>
      </c>
      <c r="G8" s="633"/>
      <c r="H8" s="633">
        <v>5779.01</v>
      </c>
      <c r="I8" s="693">
        <f t="shared" si="0"/>
        <v>84394261.728697374</v>
      </c>
    </row>
    <row r="9" spans="1:9">
      <c r="A9" s="532">
        <v>3</v>
      </c>
      <c r="B9" s="541" t="s">
        <v>564</v>
      </c>
      <c r="C9" s="633">
        <v>83446.809040911059</v>
      </c>
      <c r="D9" s="633">
        <v>5470147.7825851552</v>
      </c>
      <c r="E9" s="633">
        <v>57309.988000000027</v>
      </c>
      <c r="F9" s="633">
        <v>104105.05179999997</v>
      </c>
      <c r="G9" s="633"/>
      <c r="H9" s="633">
        <v>34523.08</v>
      </c>
      <c r="I9" s="693">
        <f t="shared" si="0"/>
        <v>5392179.5518260673</v>
      </c>
    </row>
    <row r="10" spans="1:9">
      <c r="A10" s="532">
        <v>4</v>
      </c>
      <c r="B10" s="541" t="s">
        <v>565</v>
      </c>
      <c r="C10" s="633">
        <v>284297.80298314942</v>
      </c>
      <c r="D10" s="633">
        <v>2135479.4556449042</v>
      </c>
      <c r="E10" s="633">
        <v>86364.68</v>
      </c>
      <c r="F10" s="633">
        <v>42200.894200000002</v>
      </c>
      <c r="G10" s="633"/>
      <c r="H10" s="633">
        <v>918.18</v>
      </c>
      <c r="I10" s="693">
        <f t="shared" si="0"/>
        <v>2291211.6844280534</v>
      </c>
    </row>
    <row r="11" spans="1:9">
      <c r="A11" s="532">
        <v>5</v>
      </c>
      <c r="B11" s="541" t="s">
        <v>566</v>
      </c>
      <c r="C11" s="633">
        <v>911892.28057015408</v>
      </c>
      <c r="D11" s="633">
        <v>17175470.378543627</v>
      </c>
      <c r="E11" s="633">
        <v>1095199.4836999946</v>
      </c>
      <c r="F11" s="633">
        <v>262040.45140000022</v>
      </c>
      <c r="G11" s="633"/>
      <c r="H11" s="633">
        <v>23027.919999999998</v>
      </c>
      <c r="I11" s="693">
        <f t="shared" si="0"/>
        <v>16730122.724013783</v>
      </c>
    </row>
    <row r="12" spans="1:9">
      <c r="A12" s="532">
        <v>6</v>
      </c>
      <c r="B12" s="541" t="s">
        <v>567</v>
      </c>
      <c r="C12" s="633">
        <v>210233.0909029014</v>
      </c>
      <c r="D12" s="633">
        <v>2867562.6916323318</v>
      </c>
      <c r="E12" s="633">
        <v>124748.856</v>
      </c>
      <c r="F12" s="633">
        <v>49338.12819999997</v>
      </c>
      <c r="G12" s="633"/>
      <c r="H12" s="633">
        <v>53321.529999999992</v>
      </c>
      <c r="I12" s="693">
        <f t="shared" si="0"/>
        <v>2903708.7983352328</v>
      </c>
    </row>
    <row r="13" spans="1:9">
      <c r="A13" s="532">
        <v>7</v>
      </c>
      <c r="B13" s="541" t="s">
        <v>568</v>
      </c>
      <c r="C13" s="633">
        <v>67803.415152984715</v>
      </c>
      <c r="D13" s="633">
        <v>4034927.8736034604</v>
      </c>
      <c r="E13" s="633">
        <v>53516.438900000023</v>
      </c>
      <c r="F13" s="633">
        <v>75246.755699999951</v>
      </c>
      <c r="G13" s="633"/>
      <c r="H13" s="633">
        <v>62745.430000000008</v>
      </c>
      <c r="I13" s="693">
        <f t="shared" si="0"/>
        <v>3973968.094156445</v>
      </c>
    </row>
    <row r="14" spans="1:9">
      <c r="A14" s="532">
        <v>8</v>
      </c>
      <c r="B14" s="541" t="s">
        <v>569</v>
      </c>
      <c r="C14" s="633">
        <v>4753883.8892043168</v>
      </c>
      <c r="D14" s="633">
        <v>119041834.9774659</v>
      </c>
      <c r="E14" s="633">
        <v>2866978.6188001372</v>
      </c>
      <c r="F14" s="633">
        <v>2206680.4039999526</v>
      </c>
      <c r="G14" s="633"/>
      <c r="H14" s="633">
        <v>1019535.2339679996</v>
      </c>
      <c r="I14" s="693">
        <f t="shared" si="0"/>
        <v>118722059.84387013</v>
      </c>
    </row>
    <row r="15" spans="1:9">
      <c r="A15" s="532">
        <v>9</v>
      </c>
      <c r="B15" s="541" t="s">
        <v>570</v>
      </c>
      <c r="C15" s="633">
        <v>810596.90459535876</v>
      </c>
      <c r="D15" s="633">
        <v>20236486.280785695</v>
      </c>
      <c r="E15" s="633">
        <v>655679.18130000203</v>
      </c>
      <c r="F15" s="633">
        <v>356027.57900000096</v>
      </c>
      <c r="G15" s="633"/>
      <c r="H15" s="633">
        <v>181166.99999999994</v>
      </c>
      <c r="I15" s="693">
        <f t="shared" si="0"/>
        <v>20035376.425081052</v>
      </c>
    </row>
    <row r="16" spans="1:9">
      <c r="A16" s="532">
        <v>10</v>
      </c>
      <c r="B16" s="541" t="s">
        <v>571</v>
      </c>
      <c r="C16" s="633">
        <v>196500.30851021051</v>
      </c>
      <c r="D16" s="633">
        <v>6766734.2713878667</v>
      </c>
      <c r="E16" s="633">
        <v>148310.4969000002</v>
      </c>
      <c r="F16" s="633">
        <v>120815.33890000005</v>
      </c>
      <c r="G16" s="633"/>
      <c r="H16" s="633">
        <v>85514.1</v>
      </c>
      <c r="I16" s="693">
        <f t="shared" si="0"/>
        <v>6694108.7440980766</v>
      </c>
    </row>
    <row r="17" spans="1:10">
      <c r="A17" s="532">
        <v>11</v>
      </c>
      <c r="B17" s="541" t="s">
        <v>572</v>
      </c>
      <c r="C17" s="633">
        <v>394713.83858502255</v>
      </c>
      <c r="D17" s="633">
        <v>6131690.6216492038</v>
      </c>
      <c r="E17" s="633">
        <v>237467.55650000123</v>
      </c>
      <c r="F17" s="633">
        <v>110306.64039999997</v>
      </c>
      <c r="G17" s="633"/>
      <c r="H17" s="633">
        <v>87438.23000000001</v>
      </c>
      <c r="I17" s="693">
        <f t="shared" si="0"/>
        <v>6178630.2633342259</v>
      </c>
    </row>
    <row r="18" spans="1:10">
      <c r="A18" s="532">
        <v>12</v>
      </c>
      <c r="B18" s="541" t="s">
        <v>573</v>
      </c>
      <c r="C18" s="633">
        <v>3112858.0382405501</v>
      </c>
      <c r="D18" s="633">
        <v>83110392.405233279</v>
      </c>
      <c r="E18" s="633">
        <v>1974025.8971000232</v>
      </c>
      <c r="F18" s="633">
        <v>1513099.7542999766</v>
      </c>
      <c r="G18" s="633"/>
      <c r="H18" s="633">
        <v>579722.65108799981</v>
      </c>
      <c r="I18" s="693">
        <f t="shared" si="0"/>
        <v>82736124.792073831</v>
      </c>
    </row>
    <row r="19" spans="1:10">
      <c r="A19" s="532">
        <v>13</v>
      </c>
      <c r="B19" s="541" t="s">
        <v>574</v>
      </c>
      <c r="C19" s="633">
        <v>581100.89980756189</v>
      </c>
      <c r="D19" s="633">
        <v>14533146.575943982</v>
      </c>
      <c r="E19" s="633">
        <v>374721.20100000082</v>
      </c>
      <c r="F19" s="633">
        <v>268078.87069999997</v>
      </c>
      <c r="G19" s="633"/>
      <c r="H19" s="633">
        <v>114135.95999999999</v>
      </c>
      <c r="I19" s="693">
        <f t="shared" si="0"/>
        <v>14471447.404051542</v>
      </c>
    </row>
    <row r="20" spans="1:10">
      <c r="A20" s="532">
        <v>14</v>
      </c>
      <c r="B20" s="541" t="s">
        <v>575</v>
      </c>
      <c r="C20" s="633">
        <v>3777582.8213278758</v>
      </c>
      <c r="D20" s="633">
        <v>46072467.185820162</v>
      </c>
      <c r="E20" s="633">
        <v>2774146.1709000054</v>
      </c>
      <c r="F20" s="633">
        <v>620053.84510000038</v>
      </c>
      <c r="G20" s="633"/>
      <c r="H20" s="633">
        <v>85197.61</v>
      </c>
      <c r="I20" s="693">
        <f t="shared" si="0"/>
        <v>46455849.991148032</v>
      </c>
    </row>
    <row r="21" spans="1:10">
      <c r="A21" s="532">
        <v>15</v>
      </c>
      <c r="B21" s="541" t="s">
        <v>576</v>
      </c>
      <c r="C21" s="633">
        <v>4503024.9193234099</v>
      </c>
      <c r="D21" s="633">
        <v>20090434.865763299</v>
      </c>
      <c r="E21" s="633">
        <v>2872718.9606000097</v>
      </c>
      <c r="F21" s="633">
        <v>298964.48840000015</v>
      </c>
      <c r="G21" s="633"/>
      <c r="H21" s="633">
        <v>208543.56999999998</v>
      </c>
      <c r="I21" s="693">
        <f t="shared" si="0"/>
        <v>21421776.336086698</v>
      </c>
    </row>
    <row r="22" spans="1:10">
      <c r="A22" s="532">
        <v>16</v>
      </c>
      <c r="B22" s="541" t="s">
        <v>577</v>
      </c>
      <c r="C22" s="633">
        <v>227666.60985221658</v>
      </c>
      <c r="D22" s="633">
        <v>5467400.9127168562</v>
      </c>
      <c r="E22" s="633">
        <v>151407.17780000059</v>
      </c>
      <c r="F22" s="633">
        <v>98794.045800000036</v>
      </c>
      <c r="G22" s="633"/>
      <c r="H22" s="633">
        <v>39199.154912000005</v>
      </c>
      <c r="I22" s="693">
        <f t="shared" si="0"/>
        <v>5444866.2989690714</v>
      </c>
    </row>
    <row r="23" spans="1:10">
      <c r="A23" s="532">
        <v>17</v>
      </c>
      <c r="B23" s="541" t="s">
        <v>578</v>
      </c>
      <c r="C23" s="633">
        <v>14710.233620277309</v>
      </c>
      <c r="D23" s="633">
        <v>799912.17954425851</v>
      </c>
      <c r="E23" s="633">
        <v>6925.0540000000128</v>
      </c>
      <c r="F23" s="633">
        <v>15364.658300000008</v>
      </c>
      <c r="G23" s="633"/>
      <c r="H23" s="633">
        <v>2160.7600000000002</v>
      </c>
      <c r="I23" s="693">
        <f t="shared" si="0"/>
        <v>792332.70086453576</v>
      </c>
    </row>
    <row r="24" spans="1:10">
      <c r="A24" s="532">
        <v>18</v>
      </c>
      <c r="B24" s="541" t="s">
        <v>579</v>
      </c>
      <c r="C24" s="633">
        <v>58682.511197556501</v>
      </c>
      <c r="D24" s="633">
        <v>2479208.0927716582</v>
      </c>
      <c r="E24" s="633">
        <v>29226.066000000137</v>
      </c>
      <c r="F24" s="633">
        <v>47667.127200000017</v>
      </c>
      <c r="G24" s="633"/>
      <c r="H24" s="633">
        <v>6990.7300000000005</v>
      </c>
      <c r="I24" s="693">
        <f t="shared" si="0"/>
        <v>2460997.4107692144</v>
      </c>
    </row>
    <row r="25" spans="1:10">
      <c r="A25" s="532">
        <v>19</v>
      </c>
      <c r="B25" s="541" t="s">
        <v>580</v>
      </c>
      <c r="C25" s="633">
        <v>167341.77366569912</v>
      </c>
      <c r="D25" s="633">
        <v>5955985.7467476688</v>
      </c>
      <c r="E25" s="633">
        <v>126756.44250000005</v>
      </c>
      <c r="F25" s="633">
        <v>112215.04740000002</v>
      </c>
      <c r="G25" s="633"/>
      <c r="H25" s="633">
        <v>61919.380000000005</v>
      </c>
      <c r="I25" s="693">
        <f t="shared" si="0"/>
        <v>5884356.0305133685</v>
      </c>
    </row>
    <row r="26" spans="1:10">
      <c r="A26" s="532">
        <v>20</v>
      </c>
      <c r="B26" s="541" t="s">
        <v>581</v>
      </c>
      <c r="C26" s="633">
        <v>189094.43564453581</v>
      </c>
      <c r="D26" s="633">
        <v>10027641.872003308</v>
      </c>
      <c r="E26" s="633">
        <v>127416.3084999994</v>
      </c>
      <c r="F26" s="633">
        <v>187228.86850000062</v>
      </c>
      <c r="G26" s="633"/>
      <c r="H26" s="633">
        <v>58926.9</v>
      </c>
      <c r="I26" s="693">
        <f t="shared" si="0"/>
        <v>9902091.1306478437</v>
      </c>
      <c r="J26" s="542"/>
    </row>
    <row r="27" spans="1:10">
      <c r="A27" s="532">
        <v>21</v>
      </c>
      <c r="B27" s="541" t="s">
        <v>582</v>
      </c>
      <c r="C27" s="633">
        <v>27366.776192703168</v>
      </c>
      <c r="D27" s="633">
        <v>2295648.3122416432</v>
      </c>
      <c r="E27" s="633">
        <v>24997.482999999986</v>
      </c>
      <c r="F27" s="633">
        <v>42862.022200000029</v>
      </c>
      <c r="G27" s="633"/>
      <c r="H27" s="633">
        <v>1505.67</v>
      </c>
      <c r="I27" s="693">
        <f t="shared" si="0"/>
        <v>2255155.5832343465</v>
      </c>
      <c r="J27" s="542"/>
    </row>
    <row r="28" spans="1:10">
      <c r="A28" s="532">
        <v>22</v>
      </c>
      <c r="B28" s="541" t="s">
        <v>583</v>
      </c>
      <c r="C28" s="633">
        <v>22498.016724690162</v>
      </c>
      <c r="D28" s="633">
        <v>545709.05519886548</v>
      </c>
      <c r="E28" s="633">
        <v>10479.897999999996</v>
      </c>
      <c r="F28" s="633">
        <v>10139.016000000001</v>
      </c>
      <c r="G28" s="633"/>
      <c r="H28" s="633">
        <v>2143.9699999999998</v>
      </c>
      <c r="I28" s="693">
        <f t="shared" si="0"/>
        <v>547588.1579235557</v>
      </c>
      <c r="J28" s="542"/>
    </row>
    <row r="29" spans="1:10">
      <c r="A29" s="532">
        <v>23</v>
      </c>
      <c r="B29" s="541" t="s">
        <v>584</v>
      </c>
      <c r="C29" s="633">
        <v>12909055.702022128</v>
      </c>
      <c r="D29" s="633">
        <v>270220540.15594292</v>
      </c>
      <c r="E29" s="633">
        <v>7947153.7037011366</v>
      </c>
      <c r="F29" s="633">
        <v>4868178.8747999594</v>
      </c>
      <c r="G29" s="633"/>
      <c r="H29" s="633">
        <v>2681279.2499999977</v>
      </c>
      <c r="I29" s="693">
        <f t="shared" si="0"/>
        <v>270314263.27946395</v>
      </c>
      <c r="J29" s="542"/>
    </row>
    <row r="30" spans="1:10">
      <c r="A30" s="532">
        <v>24</v>
      </c>
      <c r="B30" s="541" t="s">
        <v>585</v>
      </c>
      <c r="C30" s="633">
        <v>16348023.61896652</v>
      </c>
      <c r="D30" s="633">
        <v>567355946.30304515</v>
      </c>
      <c r="E30" s="633">
        <v>10419012.766197871</v>
      </c>
      <c r="F30" s="633">
        <v>10571954.882901095</v>
      </c>
      <c r="G30" s="633"/>
      <c r="H30" s="633">
        <v>2815382.3952960037</v>
      </c>
      <c r="I30" s="693">
        <f t="shared" si="0"/>
        <v>562713002.27291262</v>
      </c>
      <c r="J30" s="542"/>
    </row>
    <row r="31" spans="1:10">
      <c r="A31" s="532">
        <v>25</v>
      </c>
      <c r="B31" s="541" t="s">
        <v>586</v>
      </c>
      <c r="C31" s="633">
        <v>5411238</v>
      </c>
      <c r="D31" s="634">
        <v>126205996</v>
      </c>
      <c r="E31" s="633">
        <v>3521806.2522006775</v>
      </c>
      <c r="F31" s="633">
        <v>2253967.8265000046</v>
      </c>
      <c r="G31" s="633"/>
      <c r="H31" s="634">
        <v>28.97</v>
      </c>
      <c r="I31" s="693">
        <f t="shared" si="0"/>
        <v>125841459.92129932</v>
      </c>
      <c r="J31" s="542"/>
    </row>
    <row r="32" spans="1:10">
      <c r="A32" s="532">
        <v>26</v>
      </c>
      <c r="B32" s="541" t="s">
        <v>587</v>
      </c>
      <c r="C32" s="633">
        <v>2780368</v>
      </c>
      <c r="D32" s="634">
        <v>98415146.099999994</v>
      </c>
      <c r="E32" s="633">
        <v>1727126.9363999949</v>
      </c>
      <c r="F32" s="633">
        <v>1864910.8245000034</v>
      </c>
      <c r="G32" s="633"/>
      <c r="H32" s="634">
        <v>1866378.170000002</v>
      </c>
      <c r="I32" s="693">
        <f t="shared" si="0"/>
        <v>97603476.339099988</v>
      </c>
      <c r="J32" s="542"/>
    </row>
    <row r="33" spans="1:10">
      <c r="A33" s="532">
        <v>27</v>
      </c>
      <c r="B33" s="533" t="s">
        <v>165</v>
      </c>
      <c r="C33" s="633">
        <v>5679965</v>
      </c>
      <c r="D33" s="634">
        <v>166838752.70000002</v>
      </c>
      <c r="E33" s="633">
        <v>3155465</v>
      </c>
      <c r="F33" s="633"/>
      <c r="G33" s="633"/>
      <c r="H33" s="633">
        <v>67700</v>
      </c>
      <c r="I33" s="693">
        <f t="shared" si="0"/>
        <v>169363252.70000002</v>
      </c>
      <c r="J33" s="542"/>
    </row>
    <row r="34" spans="1:10">
      <c r="A34" s="532">
        <v>28</v>
      </c>
      <c r="B34" s="543" t="s">
        <v>68</v>
      </c>
      <c r="C34" s="637">
        <f>SUM(C7:C33)</f>
        <v>63953242.108989216</v>
      </c>
      <c r="D34" s="637">
        <f t="shared" ref="D34:H34" si="1">SUM(D7:D33)</f>
        <v>1791216778.3919618</v>
      </c>
      <c r="E34" s="637">
        <f t="shared" si="1"/>
        <v>40823146.438699849</v>
      </c>
      <c r="F34" s="637">
        <f t="shared" si="1"/>
        <v>26507591.300000995</v>
      </c>
      <c r="G34" s="524">
        <f t="shared" si="1"/>
        <v>0</v>
      </c>
      <c r="H34" s="637">
        <f t="shared" si="1"/>
        <v>10243152.215264002</v>
      </c>
      <c r="I34" s="698">
        <f t="shared" si="0"/>
        <v>1787839282.7622502</v>
      </c>
      <c r="J34" s="542"/>
    </row>
    <row r="35" spans="1:10">
      <c r="A35" s="542"/>
      <c r="B35" s="542"/>
      <c r="C35" s="542"/>
      <c r="D35" s="542"/>
      <c r="E35" s="542"/>
      <c r="F35" s="542"/>
      <c r="G35" s="542"/>
      <c r="H35" s="694"/>
      <c r="I35" s="542"/>
      <c r="J35" s="542"/>
    </row>
    <row r="36" spans="1:10">
      <c r="A36" s="542"/>
      <c r="B36" s="544"/>
      <c r="C36" s="542"/>
      <c r="D36" s="542"/>
      <c r="E36" s="542"/>
      <c r="F36" s="542"/>
      <c r="G36" s="542"/>
      <c r="H36" s="542"/>
      <c r="I36" s="542"/>
      <c r="J36" s="542"/>
    </row>
    <row r="37" spans="1:10">
      <c r="A37" s="542"/>
      <c r="B37" s="542"/>
      <c r="C37" s="542"/>
      <c r="D37" s="542"/>
      <c r="E37" s="542"/>
      <c r="F37" s="542"/>
      <c r="G37" s="542"/>
      <c r="H37" s="542"/>
      <c r="I37" s="542"/>
      <c r="J37" s="542"/>
    </row>
    <row r="38" spans="1:10">
      <c r="A38" s="542"/>
      <c r="B38" s="542"/>
      <c r="C38" s="542"/>
      <c r="D38" s="542"/>
      <c r="E38" s="542"/>
      <c r="F38" s="542"/>
      <c r="G38" s="542"/>
      <c r="H38" s="542"/>
      <c r="I38" s="542"/>
      <c r="J38" s="542"/>
    </row>
    <row r="39" spans="1:10">
      <c r="A39" s="542"/>
      <c r="B39" s="542"/>
      <c r="C39" s="542"/>
      <c r="D39" s="542"/>
      <c r="E39" s="542"/>
      <c r="F39" s="542"/>
      <c r="G39" s="542"/>
      <c r="H39" s="542"/>
      <c r="I39" s="542"/>
      <c r="J39" s="542"/>
    </row>
    <row r="40" spans="1:10">
      <c r="A40" s="542"/>
      <c r="B40" s="542"/>
      <c r="C40" s="542"/>
      <c r="D40" s="542"/>
      <c r="E40" s="542"/>
      <c r="F40" s="542"/>
      <c r="G40" s="542"/>
      <c r="H40" s="542"/>
      <c r="I40" s="542"/>
      <c r="J40" s="542"/>
    </row>
    <row r="41" spans="1:10">
      <c r="A41" s="542"/>
      <c r="B41" s="542"/>
      <c r="C41" s="542"/>
      <c r="D41" s="542"/>
      <c r="E41" s="542"/>
      <c r="F41" s="542"/>
      <c r="G41" s="542"/>
      <c r="H41" s="542"/>
      <c r="I41" s="542"/>
      <c r="J41" s="542"/>
    </row>
    <row r="42" spans="1:10">
      <c r="A42" s="545"/>
      <c r="B42" s="545"/>
      <c r="C42" s="542"/>
      <c r="D42" s="542"/>
      <c r="E42" s="542"/>
      <c r="F42" s="542"/>
      <c r="G42" s="542"/>
      <c r="H42" s="542"/>
      <c r="I42" s="542"/>
      <c r="J42" s="542"/>
    </row>
    <row r="43" spans="1:10">
      <c r="A43" s="545"/>
      <c r="B43" s="545"/>
      <c r="C43" s="542"/>
      <c r="D43" s="542"/>
      <c r="E43" s="542"/>
      <c r="F43" s="542"/>
      <c r="G43" s="542"/>
      <c r="H43" s="542"/>
      <c r="I43" s="542"/>
      <c r="J43" s="542"/>
    </row>
    <row r="44" spans="1:10">
      <c r="A44" s="542"/>
      <c r="B44" s="546"/>
      <c r="C44" s="542"/>
      <c r="D44" s="542"/>
      <c r="E44" s="542"/>
      <c r="F44" s="542"/>
      <c r="G44" s="542"/>
      <c r="H44" s="542"/>
      <c r="I44" s="542"/>
      <c r="J44" s="542"/>
    </row>
    <row r="45" spans="1:10">
      <c r="A45" s="542"/>
      <c r="B45" s="546"/>
      <c r="C45" s="542"/>
      <c r="D45" s="542"/>
      <c r="E45" s="542"/>
      <c r="F45" s="542"/>
      <c r="G45" s="542"/>
      <c r="H45" s="542"/>
      <c r="I45" s="542"/>
      <c r="J45" s="542"/>
    </row>
    <row r="46" spans="1:10">
      <c r="A46" s="542"/>
      <c r="B46" s="546"/>
      <c r="C46" s="542"/>
      <c r="D46" s="542"/>
      <c r="E46" s="542"/>
      <c r="F46" s="542"/>
      <c r="G46" s="542"/>
      <c r="H46" s="542"/>
      <c r="I46" s="542"/>
      <c r="J46" s="542"/>
    </row>
    <row r="47" spans="1:10">
      <c r="A47" s="542"/>
      <c r="B47" s="542"/>
      <c r="C47" s="542"/>
      <c r="D47" s="542"/>
      <c r="E47" s="542"/>
      <c r="F47" s="542"/>
      <c r="G47" s="542"/>
      <c r="H47" s="542"/>
      <c r="I47" s="542"/>
      <c r="J47" s="54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D23" sqref="D23"/>
    </sheetView>
  </sheetViews>
  <sheetFormatPr defaultColWidth="9.140625" defaultRowHeight="12.75"/>
  <cols>
    <col min="1" max="1" width="11.85546875" style="517" bestFit="1" customWidth="1"/>
    <col min="2" max="2" width="108" style="517" bestFit="1" customWidth="1"/>
    <col min="3" max="3" width="35.5703125" style="517" customWidth="1"/>
    <col min="4" max="4" width="38.42578125" style="540" customWidth="1"/>
    <col min="5" max="16384" width="9.140625" style="517"/>
  </cols>
  <sheetData>
    <row r="1" spans="1:4" ht="13.5">
      <c r="A1" s="516" t="s">
        <v>188</v>
      </c>
      <c r="B1" s="434" t="str">
        <f>Info!C2</f>
        <v>სს "კრედო ბანკი"</v>
      </c>
      <c r="D1" s="517"/>
    </row>
    <row r="2" spans="1:4">
      <c r="A2" s="518" t="s">
        <v>189</v>
      </c>
      <c r="B2" s="520">
        <f>'1. key ratios'!B2</f>
        <v>44561</v>
      </c>
      <c r="D2" s="517"/>
    </row>
    <row r="3" spans="1:4">
      <c r="A3" s="519" t="s">
        <v>588</v>
      </c>
      <c r="D3" s="517"/>
    </row>
    <row r="5" spans="1:4" ht="51">
      <c r="A5" s="762" t="s">
        <v>589</v>
      </c>
      <c r="B5" s="762"/>
      <c r="C5" s="547" t="s">
        <v>590</v>
      </c>
      <c r="D5" s="590" t="s">
        <v>591</v>
      </c>
    </row>
    <row r="6" spans="1:4">
      <c r="A6" s="548">
        <v>1</v>
      </c>
      <c r="B6" s="549" t="s">
        <v>592</v>
      </c>
      <c r="C6" s="633">
        <v>44776303</v>
      </c>
      <c r="D6" s="532"/>
    </row>
    <row r="7" spans="1:4">
      <c r="A7" s="550">
        <v>2</v>
      </c>
      <c r="B7" s="549" t="s">
        <v>593</v>
      </c>
      <c r="C7" s="632">
        <f>SUM(C8:C11)</f>
        <v>43282918.084894352</v>
      </c>
      <c r="D7" s="532">
        <f>SUM(D8:D11)</f>
        <v>0</v>
      </c>
    </row>
    <row r="8" spans="1:4">
      <c r="A8" s="551">
        <v>2.1</v>
      </c>
      <c r="B8" s="552" t="s">
        <v>594</v>
      </c>
      <c r="C8" s="633">
        <v>24057240.584500492</v>
      </c>
      <c r="D8" s="532"/>
    </row>
    <row r="9" spans="1:4">
      <c r="A9" s="551">
        <v>2.2000000000000002</v>
      </c>
      <c r="B9" s="552" t="s">
        <v>595</v>
      </c>
      <c r="C9" s="633">
        <v>18589910.10219337</v>
      </c>
      <c r="D9" s="532"/>
    </row>
    <row r="10" spans="1:4">
      <c r="A10" s="551">
        <v>2.2999999999999998</v>
      </c>
      <c r="B10" s="552" t="s">
        <v>596</v>
      </c>
      <c r="C10" s="634">
        <v>635767.39820048795</v>
      </c>
      <c r="D10" s="532"/>
    </row>
    <row r="11" spans="1:4">
      <c r="A11" s="551">
        <v>2.4</v>
      </c>
      <c r="B11" s="552" t="s">
        <v>597</v>
      </c>
      <c r="C11" s="633"/>
      <c r="D11" s="532"/>
    </row>
    <row r="12" spans="1:4">
      <c r="A12" s="548">
        <v>3</v>
      </c>
      <c r="B12" s="549" t="s">
        <v>598</v>
      </c>
      <c r="C12" s="637">
        <f>SUM(C13:C18)</f>
        <v>23883949.040124331</v>
      </c>
      <c r="D12" s="532">
        <f>SUM(D13:D18)</f>
        <v>0</v>
      </c>
    </row>
    <row r="13" spans="1:4">
      <c r="A13" s="551">
        <v>3.1</v>
      </c>
      <c r="B13" s="552" t="s">
        <v>599</v>
      </c>
      <c r="C13" s="633">
        <v>10175452.215263989</v>
      </c>
      <c r="D13" s="532"/>
    </row>
    <row r="14" spans="1:4">
      <c r="A14" s="551">
        <v>3.2</v>
      </c>
      <c r="B14" s="552" t="s">
        <v>600</v>
      </c>
      <c r="C14" s="633">
        <v>6999824.8970814403</v>
      </c>
      <c r="D14" s="532"/>
    </row>
    <row r="15" spans="1:4">
      <c r="A15" s="551">
        <v>3.3</v>
      </c>
      <c r="B15" s="552" t="s">
        <v>601</v>
      </c>
      <c r="C15" s="633">
        <v>5848052.7456736416</v>
      </c>
      <c r="D15" s="532"/>
    </row>
    <row r="16" spans="1:4">
      <c r="A16" s="551">
        <v>3.4</v>
      </c>
      <c r="B16" s="552" t="s">
        <v>602</v>
      </c>
      <c r="C16" s="633">
        <v>0</v>
      </c>
      <c r="D16" s="532"/>
    </row>
    <row r="17" spans="1:4">
      <c r="A17" s="550">
        <v>3.5</v>
      </c>
      <c r="B17" s="552" t="s">
        <v>603</v>
      </c>
      <c r="C17" s="634">
        <v>860619.1821052609</v>
      </c>
      <c r="D17" s="532"/>
    </row>
    <row r="18" spans="1:4">
      <c r="A18" s="551">
        <v>3.6</v>
      </c>
      <c r="B18" s="552" t="s">
        <v>604</v>
      </c>
      <c r="C18" s="633"/>
      <c r="D18" s="532"/>
    </row>
    <row r="19" spans="1:4">
      <c r="A19" s="553">
        <v>4</v>
      </c>
      <c r="B19" s="549" t="s">
        <v>605</v>
      </c>
      <c r="C19" s="632">
        <f>C6+C7-C12</f>
        <v>64175272.044770032</v>
      </c>
      <c r="D19" s="52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9" sqref="C19"/>
    </sheetView>
  </sheetViews>
  <sheetFormatPr defaultColWidth="9.140625" defaultRowHeight="12.75"/>
  <cols>
    <col min="1" max="1" width="11.85546875" style="517" bestFit="1" customWidth="1"/>
    <col min="2" max="2" width="124.7109375" style="517" customWidth="1"/>
    <col min="3" max="3" width="21.5703125" style="517" customWidth="1"/>
    <col min="4" max="4" width="49.140625" style="540" customWidth="1"/>
    <col min="5" max="16384" width="9.140625" style="517"/>
  </cols>
  <sheetData>
    <row r="1" spans="1:4" ht="13.5">
      <c r="A1" s="516" t="s">
        <v>188</v>
      </c>
      <c r="B1" s="434" t="str">
        <f>Info!C2</f>
        <v>სს "კრედო ბანკი"</v>
      </c>
      <c r="D1" s="517"/>
    </row>
    <row r="2" spans="1:4">
      <c r="A2" s="518" t="s">
        <v>189</v>
      </c>
      <c r="B2" s="520">
        <f>'1. key ratios'!B2</f>
        <v>44561</v>
      </c>
      <c r="D2" s="517"/>
    </row>
    <row r="3" spans="1:4">
      <c r="A3" s="519" t="s">
        <v>606</v>
      </c>
      <c r="D3" s="517"/>
    </row>
    <row r="4" spans="1:4">
      <c r="A4" s="519"/>
      <c r="D4" s="517"/>
    </row>
    <row r="5" spans="1:4" ht="15" customHeight="1">
      <c r="A5" s="763" t="s">
        <v>607</v>
      </c>
      <c r="B5" s="764"/>
      <c r="C5" s="753" t="s">
        <v>608</v>
      </c>
      <c r="D5" s="767" t="s">
        <v>609</v>
      </c>
    </row>
    <row r="6" spans="1:4" ht="27" customHeight="1">
      <c r="A6" s="765"/>
      <c r="B6" s="766"/>
      <c r="C6" s="756"/>
      <c r="D6" s="767"/>
    </row>
    <row r="7" spans="1:4">
      <c r="A7" s="543">
        <v>1</v>
      </c>
      <c r="B7" s="524" t="s">
        <v>610</v>
      </c>
      <c r="C7" s="633">
        <v>28287505.474065445</v>
      </c>
      <c r="D7" s="554"/>
    </row>
    <row r="8" spans="1:4">
      <c r="A8" s="533">
        <v>2</v>
      </c>
      <c r="B8" s="533" t="s">
        <v>611</v>
      </c>
      <c r="C8" s="633">
        <v>44222900.780000001</v>
      </c>
      <c r="D8" s="554"/>
    </row>
    <row r="9" spans="1:4">
      <c r="A9" s="533">
        <v>3</v>
      </c>
      <c r="B9" s="555" t="s">
        <v>612</v>
      </c>
      <c r="C9" s="633">
        <v>102759.32138040877</v>
      </c>
      <c r="D9" s="554"/>
    </row>
    <row r="10" spans="1:4">
      <c r="A10" s="533">
        <v>4</v>
      </c>
      <c r="B10" s="533" t="s">
        <v>613</v>
      </c>
      <c r="C10" s="632">
        <f>SUM(C11:C18)</f>
        <v>14764110.215263989</v>
      </c>
      <c r="D10" s="554"/>
    </row>
    <row r="11" spans="1:4">
      <c r="A11" s="533">
        <v>5</v>
      </c>
      <c r="B11" s="556" t="s">
        <v>614</v>
      </c>
      <c r="C11" s="633"/>
      <c r="D11" s="554"/>
    </row>
    <row r="12" spans="1:4">
      <c r="A12" s="533">
        <v>6</v>
      </c>
      <c r="B12" s="556" t="s">
        <v>615</v>
      </c>
      <c r="C12" s="633"/>
      <c r="D12" s="554"/>
    </row>
    <row r="13" spans="1:4">
      <c r="A13" s="533">
        <v>7</v>
      </c>
      <c r="B13" s="556" t="s">
        <v>616</v>
      </c>
      <c r="C13" s="633">
        <v>4208266</v>
      </c>
      <c r="D13" s="554"/>
    </row>
    <row r="14" spans="1:4">
      <c r="A14" s="533">
        <v>8</v>
      </c>
      <c r="B14" s="556" t="s">
        <v>617</v>
      </c>
      <c r="C14" s="633"/>
      <c r="D14" s="533"/>
    </row>
    <row r="15" spans="1:4">
      <c r="A15" s="533">
        <v>9</v>
      </c>
      <c r="B15" s="556" t="s">
        <v>618</v>
      </c>
      <c r="C15" s="633"/>
      <c r="D15" s="533"/>
    </row>
    <row r="16" spans="1:4">
      <c r="A16" s="533">
        <v>10</v>
      </c>
      <c r="B16" s="556" t="s">
        <v>619</v>
      </c>
      <c r="C16" s="633">
        <v>10175452.215263989</v>
      </c>
      <c r="D16" s="554"/>
    </row>
    <row r="17" spans="1:4">
      <c r="A17" s="533">
        <v>11</v>
      </c>
      <c r="B17" s="556" t="s">
        <v>620</v>
      </c>
      <c r="C17" s="633"/>
      <c r="D17" s="533"/>
    </row>
    <row r="18" spans="1:4" ht="25.5">
      <c r="A18" s="533">
        <v>12</v>
      </c>
      <c r="B18" s="556" t="s">
        <v>621</v>
      </c>
      <c r="C18" s="633">
        <v>380392</v>
      </c>
      <c r="D18" s="554"/>
    </row>
    <row r="19" spans="1:4">
      <c r="A19" s="543">
        <v>13</v>
      </c>
      <c r="B19" s="557" t="s">
        <v>622</v>
      </c>
      <c r="C19" s="632">
        <f>C7+C8+C9-C10</f>
        <v>57849055.360181868</v>
      </c>
      <c r="D19" s="558"/>
    </row>
    <row r="22" spans="1:4">
      <c r="B22" s="516"/>
    </row>
    <row r="23" spans="1:4">
      <c r="B23" s="518"/>
    </row>
    <row r="24" spans="1:4">
      <c r="B24" s="51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D1" zoomScale="75" zoomScaleNormal="75" workbookViewId="0">
      <selection activeCell="L8" sqref="L8:L14"/>
    </sheetView>
  </sheetViews>
  <sheetFormatPr defaultColWidth="9.140625" defaultRowHeight="12.75"/>
  <cols>
    <col min="1" max="1" width="11.85546875" style="517" bestFit="1" customWidth="1"/>
    <col min="2" max="2" width="80.7109375" style="517" customWidth="1"/>
    <col min="3" max="3" width="15.5703125" style="517" customWidth="1"/>
    <col min="4" max="5" width="22.28515625" style="517" customWidth="1"/>
    <col min="6" max="6" width="23.42578125" style="517" customWidth="1"/>
    <col min="7" max="14" width="22.28515625" style="517" customWidth="1"/>
    <col min="15" max="15" width="23.28515625" style="517" bestFit="1" customWidth="1"/>
    <col min="16" max="16" width="21.7109375" style="517" bestFit="1" customWidth="1"/>
    <col min="17" max="19" width="19" style="517" bestFit="1" customWidth="1"/>
    <col min="20" max="20" width="16.140625" style="517" customWidth="1"/>
    <col min="21" max="21" width="12.28515625" style="517" bestFit="1" customWidth="1"/>
    <col min="22" max="22" width="20" style="517" customWidth="1"/>
    <col min="23" max="16384" width="9.140625" style="517"/>
  </cols>
  <sheetData>
    <row r="1" spans="1:22" ht="13.5">
      <c r="A1" s="516" t="s">
        <v>188</v>
      </c>
      <c r="B1" s="434" t="str">
        <f>Info!C2</f>
        <v>სს "კრედო ბანკი"</v>
      </c>
    </row>
    <row r="2" spans="1:22">
      <c r="A2" s="518" t="s">
        <v>189</v>
      </c>
      <c r="B2" s="520">
        <f>'1. key ratios'!B2</f>
        <v>44561</v>
      </c>
      <c r="C2" s="528"/>
    </row>
    <row r="3" spans="1:22">
      <c r="A3" s="519" t="s">
        <v>623</v>
      </c>
    </row>
    <row r="5" spans="1:22" ht="15" customHeight="1">
      <c r="A5" s="753" t="s">
        <v>624</v>
      </c>
      <c r="B5" s="755"/>
      <c r="C5" s="770" t="s">
        <v>625</v>
      </c>
      <c r="D5" s="771"/>
      <c r="E5" s="771"/>
      <c r="F5" s="771"/>
      <c r="G5" s="771"/>
      <c r="H5" s="771"/>
      <c r="I5" s="771"/>
      <c r="J5" s="771"/>
      <c r="K5" s="771"/>
      <c r="L5" s="771"/>
      <c r="M5" s="771"/>
      <c r="N5" s="771"/>
      <c r="O5" s="771"/>
      <c r="P5" s="771"/>
      <c r="Q5" s="771"/>
      <c r="R5" s="771"/>
      <c r="S5" s="771"/>
      <c r="T5" s="771"/>
      <c r="U5" s="772"/>
      <c r="V5" s="559"/>
    </row>
    <row r="6" spans="1:22">
      <c r="A6" s="768"/>
      <c r="B6" s="769"/>
      <c r="C6" s="773" t="s">
        <v>68</v>
      </c>
      <c r="D6" s="775" t="s">
        <v>626</v>
      </c>
      <c r="E6" s="775"/>
      <c r="F6" s="776"/>
      <c r="G6" s="777" t="s">
        <v>627</v>
      </c>
      <c r="H6" s="778"/>
      <c r="I6" s="778"/>
      <c r="J6" s="778"/>
      <c r="K6" s="779"/>
      <c r="L6" s="560"/>
      <c r="M6" s="780" t="s">
        <v>628</v>
      </c>
      <c r="N6" s="780"/>
      <c r="O6" s="760"/>
      <c r="P6" s="760"/>
      <c r="Q6" s="760"/>
      <c r="R6" s="760"/>
      <c r="S6" s="760"/>
      <c r="T6" s="760"/>
      <c r="U6" s="760"/>
      <c r="V6" s="561"/>
    </row>
    <row r="7" spans="1:22" ht="25.5">
      <c r="A7" s="756"/>
      <c r="B7" s="758"/>
      <c r="C7" s="774"/>
      <c r="D7" s="562"/>
      <c r="E7" s="530" t="s">
        <v>629</v>
      </c>
      <c r="F7" s="594" t="s">
        <v>630</v>
      </c>
      <c r="G7" s="528"/>
      <c r="H7" s="594" t="s">
        <v>629</v>
      </c>
      <c r="I7" s="530" t="s">
        <v>656</v>
      </c>
      <c r="J7" s="530" t="s">
        <v>631</v>
      </c>
      <c r="K7" s="594" t="s">
        <v>632</v>
      </c>
      <c r="L7" s="563"/>
      <c r="M7" s="581" t="s">
        <v>633</v>
      </c>
      <c r="N7" s="530" t="s">
        <v>631</v>
      </c>
      <c r="O7" s="530" t="s">
        <v>634</v>
      </c>
      <c r="P7" s="530" t="s">
        <v>635</v>
      </c>
      <c r="Q7" s="530" t="s">
        <v>636</v>
      </c>
      <c r="R7" s="530" t="s">
        <v>637</v>
      </c>
      <c r="S7" s="530" t="s">
        <v>638</v>
      </c>
      <c r="T7" s="564" t="s">
        <v>639</v>
      </c>
      <c r="U7" s="530" t="s">
        <v>640</v>
      </c>
      <c r="V7" s="559"/>
    </row>
    <row r="8" spans="1:22">
      <c r="A8" s="565">
        <v>1</v>
      </c>
      <c r="B8" s="524" t="s">
        <v>641</v>
      </c>
      <c r="C8" s="632">
        <f>D8+G8+L8</f>
        <v>1492789997.7293787</v>
      </c>
      <c r="D8" s="632">
        <v>1324763320.1586785</v>
      </c>
      <c r="E8" s="632">
        <v>3786647.8866999899</v>
      </c>
      <c r="F8" s="632">
        <v>37891.68</v>
      </c>
      <c r="G8" s="632">
        <v>110177622.51540016</v>
      </c>
      <c r="H8" s="632">
        <v>2635679.8768999944</v>
      </c>
      <c r="I8" s="632">
        <v>3051716.6299999971</v>
      </c>
      <c r="J8" s="632">
        <v>96705.52</v>
      </c>
      <c r="K8" s="632">
        <v>0</v>
      </c>
      <c r="L8" s="632">
        <v>57849055.055300072</v>
      </c>
      <c r="M8" s="632">
        <v>1988334</v>
      </c>
      <c r="N8" s="632">
        <v>5527130.9429999972</v>
      </c>
      <c r="O8" s="632">
        <v>12188516.66</v>
      </c>
      <c r="P8" s="632">
        <v>0</v>
      </c>
      <c r="Q8" s="632">
        <v>0</v>
      </c>
      <c r="R8" s="632">
        <v>0</v>
      </c>
      <c r="S8" s="632">
        <v>0</v>
      </c>
      <c r="T8" s="632">
        <v>0</v>
      </c>
      <c r="U8" s="632">
        <v>9406107</v>
      </c>
      <c r="V8" s="542"/>
    </row>
    <row r="9" spans="1:22">
      <c r="A9" s="532">
        <v>1.1000000000000001</v>
      </c>
      <c r="B9" s="566" t="s">
        <v>642</v>
      </c>
      <c r="C9" s="632">
        <f t="shared" ref="C9:C18" si="0">D9+G9+L9</f>
        <v>0</v>
      </c>
      <c r="D9" s="633"/>
      <c r="E9" s="633"/>
      <c r="F9" s="633"/>
      <c r="G9" s="633"/>
      <c r="H9" s="633"/>
      <c r="I9" s="633"/>
      <c r="J9" s="633"/>
      <c r="K9" s="633"/>
      <c r="L9" s="633"/>
      <c r="M9" s="633"/>
      <c r="N9" s="633"/>
      <c r="O9" s="633"/>
      <c r="P9" s="633"/>
      <c r="Q9" s="633"/>
      <c r="R9" s="633"/>
      <c r="S9" s="633"/>
      <c r="T9" s="633"/>
      <c r="U9" s="633"/>
      <c r="V9" s="542"/>
    </row>
    <row r="10" spans="1:22">
      <c r="A10" s="532">
        <v>1.2</v>
      </c>
      <c r="B10" s="566" t="s">
        <v>643</v>
      </c>
      <c r="C10" s="632">
        <f t="shared" si="0"/>
        <v>0</v>
      </c>
      <c r="D10" s="633"/>
      <c r="E10" s="633"/>
      <c r="F10" s="633"/>
      <c r="G10" s="633"/>
      <c r="H10" s="633"/>
      <c r="I10" s="633"/>
      <c r="J10" s="633"/>
      <c r="K10" s="633"/>
      <c r="L10" s="633"/>
      <c r="M10" s="633"/>
      <c r="N10" s="633"/>
      <c r="O10" s="633"/>
      <c r="P10" s="633"/>
      <c r="Q10" s="633"/>
      <c r="R10" s="633"/>
      <c r="S10" s="633"/>
      <c r="T10" s="633"/>
      <c r="U10" s="633"/>
      <c r="V10" s="542"/>
    </row>
    <row r="11" spans="1:22">
      <c r="A11" s="532">
        <v>1.3</v>
      </c>
      <c r="B11" s="566" t="s">
        <v>644</v>
      </c>
      <c r="C11" s="632">
        <f t="shared" si="0"/>
        <v>0</v>
      </c>
      <c r="D11" s="633"/>
      <c r="E11" s="633"/>
      <c r="F11" s="633"/>
      <c r="G11" s="633"/>
      <c r="H11" s="633"/>
      <c r="I11" s="633"/>
      <c r="J11" s="633"/>
      <c r="K11" s="633"/>
      <c r="L11" s="633"/>
      <c r="M11" s="633"/>
      <c r="N11" s="633"/>
      <c r="O11" s="633"/>
      <c r="P11" s="633"/>
      <c r="Q11" s="633"/>
      <c r="R11" s="633"/>
      <c r="S11" s="633"/>
      <c r="T11" s="633"/>
      <c r="U11" s="633"/>
      <c r="V11" s="542"/>
    </row>
    <row r="12" spans="1:22">
      <c r="A12" s="532">
        <v>1.4</v>
      </c>
      <c r="B12" s="566" t="s">
        <v>645</v>
      </c>
      <c r="C12" s="632">
        <f t="shared" si="0"/>
        <v>0</v>
      </c>
      <c r="D12" s="633"/>
      <c r="E12" s="633"/>
      <c r="F12" s="633"/>
      <c r="G12" s="633"/>
      <c r="H12" s="633"/>
      <c r="I12" s="633"/>
      <c r="J12" s="633"/>
      <c r="K12" s="633"/>
      <c r="L12" s="633"/>
      <c r="M12" s="633"/>
      <c r="N12" s="633"/>
      <c r="O12" s="633"/>
      <c r="P12" s="633"/>
      <c r="Q12" s="633"/>
      <c r="R12" s="633"/>
      <c r="S12" s="633"/>
      <c r="T12" s="633"/>
      <c r="U12" s="633"/>
      <c r="V12" s="542"/>
    </row>
    <row r="13" spans="1:22">
      <c r="A13" s="532">
        <v>1.5</v>
      </c>
      <c r="B13" s="566" t="s">
        <v>646</v>
      </c>
      <c r="C13" s="632">
        <f t="shared" si="0"/>
        <v>57129510.777599953</v>
      </c>
      <c r="D13" s="633">
        <v>47035487.14539995</v>
      </c>
      <c r="E13" s="633">
        <v>53937.56</v>
      </c>
      <c r="F13" s="633"/>
      <c r="G13" s="633">
        <v>6918063.6819000011</v>
      </c>
      <c r="H13" s="633">
        <v>1261.43</v>
      </c>
      <c r="I13" s="633"/>
      <c r="J13" s="633"/>
      <c r="K13" s="633"/>
      <c r="L13" s="633">
        <v>3175959.9502999997</v>
      </c>
      <c r="M13" s="633">
        <v>71890</v>
      </c>
      <c r="N13" s="633">
        <v>53047.13</v>
      </c>
      <c r="O13" s="633">
        <v>2980.66</v>
      </c>
      <c r="P13" s="633"/>
      <c r="Q13" s="633"/>
      <c r="R13" s="633"/>
      <c r="S13" s="633"/>
      <c r="T13" s="633"/>
      <c r="U13" s="633">
        <v>51107</v>
      </c>
      <c r="V13" s="542"/>
    </row>
    <row r="14" spans="1:22">
      <c r="A14" s="532">
        <v>1.6</v>
      </c>
      <c r="B14" s="566" t="s">
        <v>647</v>
      </c>
      <c r="C14" s="632">
        <f t="shared" si="0"/>
        <v>1435660486.9517789</v>
      </c>
      <c r="D14" s="633">
        <v>1277727833.0132787</v>
      </c>
      <c r="E14" s="633">
        <v>3732710.3266999898</v>
      </c>
      <c r="F14" s="633">
        <v>37891.68</v>
      </c>
      <c r="G14" s="633">
        <v>103259558.83350016</v>
      </c>
      <c r="H14" s="633">
        <v>2634418.4468999943</v>
      </c>
      <c r="I14" s="633">
        <v>3051716.6299999971</v>
      </c>
      <c r="J14" s="633">
        <v>96705.52</v>
      </c>
      <c r="K14" s="633"/>
      <c r="L14" s="633">
        <v>54673095.105000064</v>
      </c>
      <c r="M14" s="633">
        <v>1916444</v>
      </c>
      <c r="N14" s="633">
        <v>5474083.8129999973</v>
      </c>
      <c r="O14" s="633">
        <v>12185536</v>
      </c>
      <c r="P14" s="633"/>
      <c r="Q14" s="633"/>
      <c r="R14" s="633"/>
      <c r="S14" s="633"/>
      <c r="T14" s="633"/>
      <c r="U14" s="633">
        <v>9355000</v>
      </c>
      <c r="V14" s="542"/>
    </row>
    <row r="15" spans="1:22">
      <c r="A15" s="565">
        <v>2</v>
      </c>
      <c r="B15" s="543" t="s">
        <v>648</v>
      </c>
      <c r="C15" s="632">
        <f t="shared" si="0"/>
        <v>52158678</v>
      </c>
      <c r="D15" s="632">
        <f>SUM(D16:D21)</f>
        <v>52158678</v>
      </c>
      <c r="E15" s="633"/>
      <c r="F15" s="633"/>
      <c r="G15" s="633"/>
      <c r="H15" s="633"/>
      <c r="I15" s="633"/>
      <c r="J15" s="633"/>
      <c r="K15" s="633"/>
      <c r="L15" s="633"/>
      <c r="M15" s="633"/>
      <c r="N15" s="633"/>
      <c r="O15" s="633"/>
      <c r="P15" s="633"/>
      <c r="Q15" s="633"/>
      <c r="R15" s="633"/>
      <c r="S15" s="633"/>
      <c r="T15" s="633"/>
      <c r="U15" s="633"/>
      <c r="V15" s="542"/>
    </row>
    <row r="16" spans="1:22">
      <c r="A16" s="532">
        <v>2.1</v>
      </c>
      <c r="B16" s="566" t="s">
        <v>642</v>
      </c>
      <c r="C16" s="632">
        <f t="shared" si="0"/>
        <v>0</v>
      </c>
      <c r="D16" s="633"/>
      <c r="E16" s="633"/>
      <c r="F16" s="633"/>
      <c r="G16" s="633"/>
      <c r="H16" s="633"/>
      <c r="I16" s="633"/>
      <c r="J16" s="633"/>
      <c r="K16" s="633"/>
      <c r="L16" s="633"/>
      <c r="M16" s="633"/>
      <c r="N16" s="633"/>
      <c r="O16" s="633"/>
      <c r="P16" s="633"/>
      <c r="Q16" s="633"/>
      <c r="R16" s="633"/>
      <c r="S16" s="633"/>
      <c r="T16" s="633"/>
      <c r="U16" s="633"/>
      <c r="V16" s="542"/>
    </row>
    <row r="17" spans="1:22">
      <c r="A17" s="532">
        <v>2.2000000000000002</v>
      </c>
      <c r="B17" s="566" t="s">
        <v>643</v>
      </c>
      <c r="C17" s="632">
        <f t="shared" si="0"/>
        <v>26158678</v>
      </c>
      <c r="D17" s="633">
        <v>26158678</v>
      </c>
      <c r="E17" s="633"/>
      <c r="F17" s="633"/>
      <c r="G17" s="633"/>
      <c r="H17" s="633"/>
      <c r="I17" s="633"/>
      <c r="J17" s="633"/>
      <c r="K17" s="633"/>
      <c r="L17" s="633"/>
      <c r="M17" s="633"/>
      <c r="N17" s="633"/>
      <c r="O17" s="633"/>
      <c r="P17" s="633"/>
      <c r="Q17" s="633"/>
      <c r="R17" s="633"/>
      <c r="S17" s="633"/>
      <c r="T17" s="633"/>
      <c r="U17" s="633"/>
      <c r="V17" s="542"/>
    </row>
    <row r="18" spans="1:22">
      <c r="A18" s="532">
        <v>2.2999999999999998</v>
      </c>
      <c r="B18" s="566" t="s">
        <v>644</v>
      </c>
      <c r="C18" s="632">
        <f t="shared" si="0"/>
        <v>26000000</v>
      </c>
      <c r="D18" s="633">
        <v>26000000</v>
      </c>
      <c r="E18" s="633"/>
      <c r="F18" s="633"/>
      <c r="G18" s="633"/>
      <c r="H18" s="633"/>
      <c r="I18" s="633"/>
      <c r="J18" s="633"/>
      <c r="K18" s="633"/>
      <c r="L18" s="633"/>
      <c r="M18" s="633"/>
      <c r="N18" s="633"/>
      <c r="O18" s="633"/>
      <c r="P18" s="633"/>
      <c r="Q18" s="633"/>
      <c r="R18" s="633"/>
      <c r="S18" s="633"/>
      <c r="T18" s="633"/>
      <c r="U18" s="633"/>
      <c r="V18" s="542"/>
    </row>
    <row r="19" spans="1:22">
      <c r="A19" s="532">
        <v>2.4</v>
      </c>
      <c r="B19" s="566" t="s">
        <v>645</v>
      </c>
      <c r="C19" s="643"/>
      <c r="D19" s="633"/>
      <c r="E19" s="633"/>
      <c r="F19" s="633"/>
      <c r="G19" s="633"/>
      <c r="H19" s="633"/>
      <c r="I19" s="633"/>
      <c r="J19" s="633"/>
      <c r="K19" s="633"/>
      <c r="L19" s="633"/>
      <c r="M19" s="633"/>
      <c r="N19" s="633"/>
      <c r="O19" s="633"/>
      <c r="P19" s="633"/>
      <c r="Q19" s="633"/>
      <c r="R19" s="633"/>
      <c r="S19" s="633"/>
      <c r="T19" s="633"/>
      <c r="U19" s="633"/>
      <c r="V19" s="542"/>
    </row>
    <row r="20" spans="1:22">
      <c r="A20" s="532">
        <v>2.5</v>
      </c>
      <c r="B20" s="566" t="s">
        <v>646</v>
      </c>
      <c r="C20" s="643"/>
      <c r="D20" s="633"/>
      <c r="E20" s="633"/>
      <c r="F20" s="633"/>
      <c r="G20" s="633"/>
      <c r="H20" s="633"/>
      <c r="I20" s="633"/>
      <c r="J20" s="633"/>
      <c r="K20" s="633"/>
      <c r="L20" s="633"/>
      <c r="M20" s="633"/>
      <c r="N20" s="633"/>
      <c r="O20" s="633"/>
      <c r="P20" s="633"/>
      <c r="Q20" s="633"/>
      <c r="R20" s="633"/>
      <c r="S20" s="633"/>
      <c r="T20" s="633"/>
      <c r="U20" s="633"/>
      <c r="V20" s="542"/>
    </row>
    <row r="21" spans="1:22">
      <c r="A21" s="532">
        <v>2.6</v>
      </c>
      <c r="B21" s="566" t="s">
        <v>647</v>
      </c>
      <c r="C21" s="643"/>
      <c r="D21" s="633"/>
      <c r="E21" s="633"/>
      <c r="F21" s="633"/>
      <c r="G21" s="633"/>
      <c r="H21" s="633"/>
      <c r="I21" s="633"/>
      <c r="J21" s="633"/>
      <c r="K21" s="633"/>
      <c r="L21" s="633"/>
      <c r="M21" s="633"/>
      <c r="N21" s="633"/>
      <c r="O21" s="633"/>
      <c r="P21" s="633"/>
      <c r="Q21" s="633"/>
      <c r="R21" s="633"/>
      <c r="S21" s="633"/>
      <c r="T21" s="633"/>
      <c r="U21" s="633"/>
      <c r="V21" s="542"/>
    </row>
    <row r="22" spans="1:22">
      <c r="A22" s="565">
        <v>3</v>
      </c>
      <c r="B22" s="524" t="s">
        <v>649</v>
      </c>
      <c r="C22" s="632">
        <f>SUM(C23:C28)</f>
        <v>33554504</v>
      </c>
      <c r="D22" s="633"/>
      <c r="E22" s="567"/>
      <c r="F22" s="567"/>
      <c r="G22" s="633"/>
      <c r="H22" s="567"/>
      <c r="I22" s="567"/>
      <c r="J22" s="567"/>
      <c r="K22" s="567"/>
      <c r="L22" s="532"/>
      <c r="M22" s="567"/>
      <c r="N22" s="567"/>
      <c r="O22" s="567"/>
      <c r="P22" s="567"/>
      <c r="Q22" s="567"/>
      <c r="R22" s="567"/>
      <c r="S22" s="567"/>
      <c r="T22" s="567"/>
      <c r="U22" s="532"/>
      <c r="V22" s="542"/>
    </row>
    <row r="23" spans="1:22">
      <c r="A23" s="532">
        <v>3.1</v>
      </c>
      <c r="B23" s="566" t="s">
        <v>642</v>
      </c>
      <c r="C23" s="643"/>
      <c r="D23" s="633"/>
      <c r="E23" s="567"/>
      <c r="F23" s="567"/>
      <c r="G23" s="633"/>
      <c r="H23" s="567"/>
      <c r="I23" s="567"/>
      <c r="J23" s="567"/>
      <c r="K23" s="567"/>
      <c r="L23" s="532"/>
      <c r="M23" s="567"/>
      <c r="N23" s="567"/>
      <c r="O23" s="567"/>
      <c r="P23" s="567"/>
      <c r="Q23" s="567"/>
      <c r="R23" s="567"/>
      <c r="S23" s="567"/>
      <c r="T23" s="567"/>
      <c r="U23" s="532"/>
      <c r="V23" s="542"/>
    </row>
    <row r="24" spans="1:22">
      <c r="A24" s="532">
        <v>3.2</v>
      </c>
      <c r="B24" s="566" t="s">
        <v>643</v>
      </c>
      <c r="C24" s="643"/>
      <c r="D24" s="633"/>
      <c r="E24" s="567"/>
      <c r="F24" s="567"/>
      <c r="G24" s="633"/>
      <c r="H24" s="567"/>
      <c r="I24" s="567"/>
      <c r="J24" s="567"/>
      <c r="K24" s="567"/>
      <c r="L24" s="532"/>
      <c r="M24" s="567"/>
      <c r="N24" s="567"/>
      <c r="O24" s="567"/>
      <c r="P24" s="567"/>
      <c r="Q24" s="567"/>
      <c r="R24" s="567"/>
      <c r="S24" s="567"/>
      <c r="T24" s="567"/>
      <c r="U24" s="532"/>
      <c r="V24" s="542"/>
    </row>
    <row r="25" spans="1:22">
      <c r="A25" s="532">
        <v>3.3</v>
      </c>
      <c r="B25" s="566" t="s">
        <v>644</v>
      </c>
      <c r="C25" s="643"/>
      <c r="D25" s="633"/>
      <c r="E25" s="567"/>
      <c r="F25" s="567"/>
      <c r="G25" s="633"/>
      <c r="H25" s="567"/>
      <c r="I25" s="567"/>
      <c r="J25" s="567"/>
      <c r="K25" s="567"/>
      <c r="L25" s="532"/>
      <c r="M25" s="567"/>
      <c r="N25" s="567"/>
      <c r="O25" s="567"/>
      <c r="P25" s="567"/>
      <c r="Q25" s="567"/>
      <c r="R25" s="567"/>
      <c r="S25" s="567"/>
      <c r="T25" s="567"/>
      <c r="U25" s="532"/>
      <c r="V25" s="542"/>
    </row>
    <row r="26" spans="1:22">
      <c r="A26" s="532">
        <v>3.4</v>
      </c>
      <c r="B26" s="566" t="s">
        <v>645</v>
      </c>
      <c r="C26" s="643"/>
      <c r="D26" s="633"/>
      <c r="E26" s="567"/>
      <c r="F26" s="567"/>
      <c r="G26" s="633"/>
      <c r="H26" s="567"/>
      <c r="I26" s="567"/>
      <c r="J26" s="567"/>
      <c r="K26" s="567"/>
      <c r="L26" s="532"/>
      <c r="M26" s="567"/>
      <c r="N26" s="567"/>
      <c r="O26" s="567"/>
      <c r="P26" s="567"/>
      <c r="Q26" s="567"/>
      <c r="R26" s="567"/>
      <c r="S26" s="567"/>
      <c r="T26" s="567"/>
      <c r="U26" s="532"/>
      <c r="V26" s="542"/>
    </row>
    <row r="27" spans="1:22">
      <c r="A27" s="532">
        <v>3.5</v>
      </c>
      <c r="B27" s="566" t="s">
        <v>646</v>
      </c>
      <c r="C27" s="643">
        <f>D27</f>
        <v>30000</v>
      </c>
      <c r="D27" s="633">
        <v>30000</v>
      </c>
      <c r="E27" s="567"/>
      <c r="F27" s="567"/>
      <c r="G27" s="633"/>
      <c r="H27" s="567"/>
      <c r="I27" s="567"/>
      <c r="J27" s="567"/>
      <c r="K27" s="567"/>
      <c r="L27" s="532"/>
      <c r="M27" s="567"/>
      <c r="N27" s="567"/>
      <c r="O27" s="567"/>
      <c r="P27" s="567"/>
      <c r="Q27" s="567"/>
      <c r="R27" s="567"/>
      <c r="S27" s="567"/>
      <c r="T27" s="567"/>
      <c r="U27" s="532"/>
      <c r="V27" s="542"/>
    </row>
    <row r="28" spans="1:22">
      <c r="A28" s="532">
        <v>3.6</v>
      </c>
      <c r="B28" s="566" t="s">
        <v>647</v>
      </c>
      <c r="C28" s="643">
        <v>33524504</v>
      </c>
      <c r="D28" s="633"/>
      <c r="E28" s="567"/>
      <c r="F28" s="567"/>
      <c r="G28" s="633"/>
      <c r="H28" s="567"/>
      <c r="I28" s="567"/>
      <c r="J28" s="567"/>
      <c r="K28" s="567"/>
      <c r="L28" s="532"/>
      <c r="M28" s="567"/>
      <c r="N28" s="567"/>
      <c r="O28" s="567"/>
      <c r="P28" s="567"/>
      <c r="Q28" s="567"/>
      <c r="R28" s="567"/>
      <c r="S28" s="567"/>
      <c r="T28" s="567"/>
      <c r="U28" s="532"/>
      <c r="V28" s="542"/>
    </row>
  </sheetData>
  <mergeCells count="6">
    <mergeCell ref="A5:B7"/>
    <mergeCell ref="C5:U5"/>
    <mergeCell ref="C6:C7"/>
    <mergeCell ref="D6:F6"/>
    <mergeCell ref="G6:K6"/>
    <mergeCell ref="M6:U6"/>
  </mergeCells>
  <pageMargins left="0.7" right="0.7" top="0.75" bottom="0.75" header="0.3" footer="0.3"/>
  <pageSetup orientation="portrait" r:id="rId1"/>
  <ignoredErrors>
    <ignoredError sqref="D15"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zoomScale="80" zoomScaleNormal="80" workbookViewId="0">
      <selection activeCell="Q14" sqref="Q14"/>
    </sheetView>
  </sheetViews>
  <sheetFormatPr defaultColWidth="9.140625" defaultRowHeight="12.75"/>
  <cols>
    <col min="1" max="1" width="11.85546875" style="517" bestFit="1" customWidth="1"/>
    <col min="2" max="2" width="90.28515625" style="517" bestFit="1" customWidth="1"/>
    <col min="3" max="3" width="20.140625" style="517" customWidth="1"/>
    <col min="4" max="4" width="22.28515625" style="517" customWidth="1"/>
    <col min="5" max="5" width="17.140625" style="517" customWidth="1"/>
    <col min="6" max="7" width="22.28515625" style="517" customWidth="1"/>
    <col min="8" max="8" width="17.140625" style="517" customWidth="1"/>
    <col min="9" max="14" width="22.28515625" style="517" customWidth="1"/>
    <col min="15" max="15" width="23.28515625" style="517" bestFit="1" customWidth="1"/>
    <col min="16" max="16" width="21.7109375" style="517" bestFit="1" customWidth="1"/>
    <col min="17" max="19" width="19" style="517" bestFit="1" customWidth="1"/>
    <col min="20" max="20" width="15.42578125" style="517" customWidth="1"/>
    <col min="21" max="21" width="20" style="517" customWidth="1"/>
    <col min="22" max="16384" width="9.140625" style="517"/>
  </cols>
  <sheetData>
    <row r="1" spans="1:21" ht="13.5">
      <c r="A1" s="516" t="s">
        <v>188</v>
      </c>
      <c r="B1" s="434" t="str">
        <f>Info!C2</f>
        <v>სს "კრედო ბანკი"</v>
      </c>
    </row>
    <row r="2" spans="1:21">
      <c r="A2" s="518" t="s">
        <v>189</v>
      </c>
      <c r="B2" s="520">
        <f>'1. key ratios'!B2</f>
        <v>44561</v>
      </c>
    </row>
    <row r="3" spans="1:21">
      <c r="A3" s="519" t="s">
        <v>650</v>
      </c>
      <c r="C3" s="520"/>
    </row>
    <row r="4" spans="1:21">
      <c r="A4" s="519"/>
      <c r="B4" s="520"/>
      <c r="C4" s="520"/>
    </row>
    <row r="5" spans="1:21" s="540" customFormat="1" ht="13.5" customHeight="1">
      <c r="A5" s="781" t="s">
        <v>651</v>
      </c>
      <c r="B5" s="782"/>
      <c r="C5" s="787" t="s">
        <v>652</v>
      </c>
      <c r="D5" s="788"/>
      <c r="E5" s="788"/>
      <c r="F5" s="788"/>
      <c r="G5" s="788"/>
      <c r="H5" s="788"/>
      <c r="I5" s="788"/>
      <c r="J5" s="788"/>
      <c r="K5" s="788"/>
      <c r="L5" s="788"/>
      <c r="M5" s="788"/>
      <c r="N5" s="788"/>
      <c r="O5" s="788"/>
      <c r="P5" s="788"/>
      <c r="Q5" s="788"/>
      <c r="R5" s="788"/>
      <c r="S5" s="788"/>
      <c r="T5" s="789"/>
      <c r="U5" s="595"/>
    </row>
    <row r="6" spans="1:21" s="540" customFormat="1">
      <c r="A6" s="783"/>
      <c r="B6" s="784"/>
      <c r="C6" s="767" t="s">
        <v>68</v>
      </c>
      <c r="D6" s="787" t="s">
        <v>653</v>
      </c>
      <c r="E6" s="788"/>
      <c r="F6" s="789"/>
      <c r="G6" s="787" t="s">
        <v>654</v>
      </c>
      <c r="H6" s="788"/>
      <c r="I6" s="788"/>
      <c r="J6" s="788"/>
      <c r="K6" s="789"/>
      <c r="L6" s="790" t="s">
        <v>655</v>
      </c>
      <c r="M6" s="791"/>
      <c r="N6" s="791"/>
      <c r="O6" s="791"/>
      <c r="P6" s="791"/>
      <c r="Q6" s="791"/>
      <c r="R6" s="791"/>
      <c r="S6" s="791"/>
      <c r="T6" s="792"/>
      <c r="U6" s="591"/>
    </row>
    <row r="7" spans="1:21" s="540" customFormat="1" ht="25.5">
      <c r="A7" s="785"/>
      <c r="B7" s="786"/>
      <c r="C7" s="767"/>
      <c r="E7" s="581" t="s">
        <v>629</v>
      </c>
      <c r="F7" s="594" t="s">
        <v>630</v>
      </c>
      <c r="H7" s="581" t="s">
        <v>629</v>
      </c>
      <c r="I7" s="594" t="s">
        <v>656</v>
      </c>
      <c r="J7" s="594" t="s">
        <v>631</v>
      </c>
      <c r="K7" s="594" t="s">
        <v>632</v>
      </c>
      <c r="L7" s="596"/>
      <c r="M7" s="581" t="s">
        <v>633</v>
      </c>
      <c r="N7" s="594" t="s">
        <v>631</v>
      </c>
      <c r="O7" s="594" t="s">
        <v>634</v>
      </c>
      <c r="P7" s="594" t="s">
        <v>635</v>
      </c>
      <c r="Q7" s="594" t="s">
        <v>636</v>
      </c>
      <c r="R7" s="594" t="s">
        <v>637</v>
      </c>
      <c r="S7" s="594" t="s">
        <v>638</v>
      </c>
      <c r="T7" s="597" t="s">
        <v>639</v>
      </c>
      <c r="U7" s="595"/>
    </row>
    <row r="8" spans="1:21">
      <c r="A8" s="568">
        <v>1</v>
      </c>
      <c r="B8" s="557" t="s">
        <v>641</v>
      </c>
      <c r="C8" s="644">
        <f>D8+G8+L8</f>
        <v>1492789998.7231879</v>
      </c>
      <c r="D8" s="633">
        <v>1324763320.4786878</v>
      </c>
      <c r="E8" s="633">
        <v>3824539.8866999904</v>
      </c>
      <c r="F8" s="634"/>
      <c r="G8" s="633">
        <v>110177622.51540011</v>
      </c>
      <c r="H8" s="633">
        <v>2635679.876899994</v>
      </c>
      <c r="I8" s="633">
        <v>3051716.6299999971</v>
      </c>
      <c r="J8" s="633">
        <v>96705.52</v>
      </c>
      <c r="K8" s="633">
        <v>0</v>
      </c>
      <c r="L8" s="633">
        <v>57849055.729100011</v>
      </c>
      <c r="M8" s="633">
        <v>1988334.5004999996</v>
      </c>
      <c r="N8" s="633">
        <v>5527130.9429999972</v>
      </c>
      <c r="O8" s="633">
        <v>11574641.790699944</v>
      </c>
      <c r="P8" s="633">
        <v>613875.04259999946</v>
      </c>
      <c r="Q8" s="633"/>
      <c r="R8" s="633"/>
      <c r="S8" s="633"/>
      <c r="T8" s="633"/>
      <c r="U8" s="542"/>
    </row>
    <row r="9" spans="1:21">
      <c r="A9" s="566">
        <v>1.1000000000000001</v>
      </c>
      <c r="B9" s="566" t="s">
        <v>657</v>
      </c>
      <c r="C9" s="644">
        <f t="shared" ref="C9:C21" si="0">D9+G9+L9</f>
        <v>323500901.68080008</v>
      </c>
      <c r="D9" s="633">
        <v>260010801.01150003</v>
      </c>
      <c r="E9" s="633">
        <v>261019.18670000002</v>
      </c>
      <c r="F9" s="633"/>
      <c r="G9" s="633">
        <v>46812390.446400024</v>
      </c>
      <c r="H9" s="633">
        <v>156777.69</v>
      </c>
      <c r="I9" s="633">
        <v>266307.73</v>
      </c>
      <c r="J9" s="633">
        <v>91046.22</v>
      </c>
      <c r="K9" s="633"/>
      <c r="L9" s="633">
        <v>16677710.222900009</v>
      </c>
      <c r="M9" s="633">
        <v>284670</v>
      </c>
      <c r="N9" s="633">
        <v>285797.57</v>
      </c>
      <c r="O9" s="633">
        <v>464726.07000000012</v>
      </c>
      <c r="P9" s="633">
        <v>47715.82</v>
      </c>
      <c r="Q9" s="633"/>
      <c r="R9" s="633"/>
      <c r="S9" s="633"/>
      <c r="T9" s="633"/>
      <c r="U9" s="542"/>
    </row>
    <row r="10" spans="1:21">
      <c r="A10" s="569" t="s">
        <v>251</v>
      </c>
      <c r="B10" s="569" t="s">
        <v>658</v>
      </c>
      <c r="C10" s="644">
        <f t="shared" si="0"/>
        <v>302236347.9823997</v>
      </c>
      <c r="D10" s="632">
        <f>SUM(D11:D14)</f>
        <v>240674291.58809975</v>
      </c>
      <c r="E10" s="632">
        <f t="shared" ref="E10:P10" si="1">SUM(E11:E14)</f>
        <v>157201.98670000001</v>
      </c>
      <c r="F10" s="632">
        <f t="shared" si="1"/>
        <v>0</v>
      </c>
      <c r="G10" s="632">
        <f t="shared" si="1"/>
        <v>45549414.9454</v>
      </c>
      <c r="H10" s="632">
        <f t="shared" si="1"/>
        <v>101957.99</v>
      </c>
      <c r="I10" s="632">
        <f t="shared" si="1"/>
        <v>183280.94999999998</v>
      </c>
      <c r="J10" s="632">
        <f t="shared" si="1"/>
        <v>72925.02</v>
      </c>
      <c r="K10" s="632">
        <f t="shared" si="1"/>
        <v>0</v>
      </c>
      <c r="L10" s="632">
        <f t="shared" si="1"/>
        <v>16012641.448900003</v>
      </c>
      <c r="M10" s="632">
        <f t="shared" si="1"/>
        <v>176141.77850000001</v>
      </c>
      <c r="N10" s="632">
        <f t="shared" si="1"/>
        <v>244417.02</v>
      </c>
      <c r="O10" s="632">
        <f t="shared" si="1"/>
        <v>306762.28999999998</v>
      </c>
      <c r="P10" s="632">
        <f t="shared" si="1"/>
        <v>47715.82</v>
      </c>
      <c r="Q10" s="633"/>
      <c r="R10" s="632"/>
      <c r="S10" s="632"/>
      <c r="T10" s="632"/>
      <c r="U10" s="542"/>
    </row>
    <row r="11" spans="1:21">
      <c r="A11" s="570" t="s">
        <v>659</v>
      </c>
      <c r="B11" s="571" t="s">
        <v>660</v>
      </c>
      <c r="C11" s="644">
        <f t="shared" si="0"/>
        <v>231987898.63729975</v>
      </c>
      <c r="D11" s="633">
        <v>184386030.03729975</v>
      </c>
      <c r="E11" s="633">
        <v>157201.98670000001</v>
      </c>
      <c r="F11" s="633"/>
      <c r="G11" s="633">
        <v>35498480.473999992</v>
      </c>
      <c r="H11" s="633">
        <v>21824.57</v>
      </c>
      <c r="I11" s="633">
        <v>183280.94999999998</v>
      </c>
      <c r="J11" s="633">
        <v>37421.15</v>
      </c>
      <c r="K11" s="633"/>
      <c r="L11" s="633">
        <v>12103388.126000004</v>
      </c>
      <c r="M11" s="633">
        <v>130939.0785</v>
      </c>
      <c r="N11" s="633">
        <v>190096.68</v>
      </c>
      <c r="O11" s="633">
        <v>223331.22</v>
      </c>
      <c r="P11" s="633">
        <v>47715.82</v>
      </c>
      <c r="Q11" s="633"/>
      <c r="R11" s="633"/>
      <c r="S11" s="633"/>
      <c r="T11" s="633"/>
      <c r="U11" s="542"/>
    </row>
    <row r="12" spans="1:21">
      <c r="A12" s="570" t="s">
        <v>661</v>
      </c>
      <c r="B12" s="571" t="s">
        <v>662</v>
      </c>
      <c r="C12" s="644">
        <f t="shared" si="0"/>
        <v>42737645.922600001</v>
      </c>
      <c r="D12" s="633">
        <v>32572257.463799998</v>
      </c>
      <c r="E12" s="633"/>
      <c r="F12" s="633"/>
      <c r="G12" s="633">
        <v>7221960.0468000006</v>
      </c>
      <c r="H12" s="633">
        <v>7259.01</v>
      </c>
      <c r="I12" s="633"/>
      <c r="J12" s="633">
        <v>35503.870000000003</v>
      </c>
      <c r="K12" s="633"/>
      <c r="L12" s="633">
        <v>2943428.4119999995</v>
      </c>
      <c r="M12" s="633"/>
      <c r="N12" s="633">
        <v>16400</v>
      </c>
      <c r="O12" s="633"/>
      <c r="P12" s="633"/>
      <c r="Q12" s="633"/>
      <c r="R12" s="633"/>
      <c r="S12" s="633"/>
      <c r="T12" s="633"/>
      <c r="U12" s="542"/>
    </row>
    <row r="13" spans="1:21">
      <c r="A13" s="570" t="s">
        <v>663</v>
      </c>
      <c r="B13" s="571" t="s">
        <v>664</v>
      </c>
      <c r="C13" s="644">
        <f t="shared" si="0"/>
        <v>14808836.111499995</v>
      </c>
      <c r="D13" s="633">
        <v>12428373.912699996</v>
      </c>
      <c r="E13" s="633"/>
      <c r="F13" s="633"/>
      <c r="G13" s="633">
        <v>1478833.0278999999</v>
      </c>
      <c r="H13" s="633">
        <v>72874.41</v>
      </c>
      <c r="I13" s="633"/>
      <c r="J13" s="633"/>
      <c r="K13" s="633"/>
      <c r="L13" s="633">
        <v>901629.17090000003</v>
      </c>
      <c r="M13" s="633">
        <v>45202.7</v>
      </c>
      <c r="N13" s="633">
        <v>37920.339999999997</v>
      </c>
      <c r="O13" s="633">
        <v>50000</v>
      </c>
      <c r="P13" s="633"/>
      <c r="Q13" s="633"/>
      <c r="R13" s="633"/>
      <c r="S13" s="633"/>
      <c r="T13" s="633"/>
      <c r="U13" s="542"/>
    </row>
    <row r="14" spans="1:21">
      <c r="A14" s="570" t="s">
        <v>665</v>
      </c>
      <c r="B14" s="571" t="s">
        <v>666</v>
      </c>
      <c r="C14" s="644">
        <f t="shared" si="0"/>
        <v>12701967.310999997</v>
      </c>
      <c r="D14" s="633">
        <v>11287630.174299996</v>
      </c>
      <c r="E14" s="633"/>
      <c r="F14" s="633"/>
      <c r="G14" s="633">
        <v>1350141.3966999999</v>
      </c>
      <c r="H14" s="633"/>
      <c r="I14" s="633"/>
      <c r="J14" s="633"/>
      <c r="K14" s="633"/>
      <c r="L14" s="633">
        <v>64195.74</v>
      </c>
      <c r="M14" s="633"/>
      <c r="N14" s="633"/>
      <c r="O14" s="633">
        <v>33431.07</v>
      </c>
      <c r="P14" s="633"/>
      <c r="Q14" s="633"/>
      <c r="R14" s="633"/>
      <c r="S14" s="633"/>
      <c r="T14" s="633"/>
      <c r="U14" s="542"/>
    </row>
    <row r="15" spans="1:21">
      <c r="A15" s="572">
        <v>1.2</v>
      </c>
      <c r="B15" s="573" t="s">
        <v>667</v>
      </c>
      <c r="C15" s="644">
        <f t="shared" si="0"/>
        <v>17239753.235199988</v>
      </c>
      <c r="D15" s="633">
        <v>5200216.0197999869</v>
      </c>
      <c r="E15" s="633">
        <v>5220.3836999999994</v>
      </c>
      <c r="F15" s="633"/>
      <c r="G15" s="633">
        <v>4681239.0456000008</v>
      </c>
      <c r="H15" s="633">
        <v>15677.769</v>
      </c>
      <c r="I15" s="633">
        <v>26630.773000000001</v>
      </c>
      <c r="J15" s="633">
        <v>9104.6220000000012</v>
      </c>
      <c r="K15" s="633"/>
      <c r="L15" s="633">
        <v>7358298.1698000012</v>
      </c>
      <c r="M15" s="633">
        <v>136985.60000000001</v>
      </c>
      <c r="N15" s="633">
        <v>109792.04</v>
      </c>
      <c r="O15" s="633">
        <v>252355.08100000003</v>
      </c>
      <c r="P15" s="633">
        <v>47715.82</v>
      </c>
      <c r="Q15" s="633"/>
      <c r="R15" s="633"/>
      <c r="S15" s="633"/>
      <c r="T15" s="633"/>
      <c r="U15" s="542"/>
    </row>
    <row r="16" spans="1:21">
      <c r="A16" s="574">
        <v>1.3</v>
      </c>
      <c r="B16" s="573" t="s">
        <v>668</v>
      </c>
      <c r="C16" s="645"/>
      <c r="D16" s="645"/>
      <c r="E16" s="645"/>
      <c r="F16" s="645"/>
      <c r="G16" s="645"/>
      <c r="H16" s="645"/>
      <c r="I16" s="645"/>
      <c r="J16" s="645"/>
      <c r="K16" s="645"/>
      <c r="L16" s="645"/>
      <c r="M16" s="645"/>
      <c r="N16" s="645"/>
      <c r="O16" s="645"/>
      <c r="P16" s="645"/>
      <c r="Q16" s="645"/>
      <c r="R16" s="645"/>
      <c r="S16" s="645"/>
      <c r="T16" s="645"/>
      <c r="U16" s="542"/>
    </row>
    <row r="17" spans="1:21" s="540" customFormat="1" ht="25.5">
      <c r="A17" s="575" t="s">
        <v>669</v>
      </c>
      <c r="B17" s="576" t="s">
        <v>670</v>
      </c>
      <c r="C17" s="644">
        <f t="shared" si="0"/>
        <v>320616025.40069997</v>
      </c>
      <c r="D17" s="634">
        <v>257543128.20039997</v>
      </c>
      <c r="E17" s="634">
        <v>261019.18670000002</v>
      </c>
      <c r="F17" s="634"/>
      <c r="G17" s="634">
        <v>46430237.688900031</v>
      </c>
      <c r="H17" s="634">
        <v>156777.69</v>
      </c>
      <c r="I17" s="634">
        <v>266307.73</v>
      </c>
      <c r="J17" s="634">
        <v>91046.22</v>
      </c>
      <c r="K17" s="634"/>
      <c r="L17" s="634">
        <v>16642659.511400009</v>
      </c>
      <c r="M17" s="634">
        <v>282898.8285</v>
      </c>
      <c r="N17" s="634">
        <v>285797.57</v>
      </c>
      <c r="O17" s="634">
        <v>445853.72000000003</v>
      </c>
      <c r="P17" s="634">
        <v>47715.82</v>
      </c>
      <c r="Q17" s="633"/>
      <c r="R17" s="634"/>
      <c r="S17" s="634"/>
      <c r="T17" s="634"/>
      <c r="U17" s="546"/>
    </row>
    <row r="18" spans="1:21" s="540" customFormat="1" ht="25.5">
      <c r="A18" s="577" t="s">
        <v>671</v>
      </c>
      <c r="B18" s="577" t="s">
        <v>672</v>
      </c>
      <c r="C18" s="644">
        <f t="shared" si="0"/>
        <v>298423745.94380015</v>
      </c>
      <c r="D18" s="634">
        <v>237309959.37100014</v>
      </c>
      <c r="E18" s="634">
        <v>157201.98670000001</v>
      </c>
      <c r="F18" s="634"/>
      <c r="G18" s="634">
        <v>45131566.463899978</v>
      </c>
      <c r="H18" s="634">
        <v>101957.98999999999</v>
      </c>
      <c r="I18" s="634">
        <v>183280.94999999998</v>
      </c>
      <c r="J18" s="634">
        <v>72925.02</v>
      </c>
      <c r="K18" s="634"/>
      <c r="L18" s="634">
        <v>15982220.108900005</v>
      </c>
      <c r="M18" s="634">
        <v>176141.77850000001</v>
      </c>
      <c r="N18" s="634">
        <v>244417.02</v>
      </c>
      <c r="O18" s="634">
        <v>287889.94000000006</v>
      </c>
      <c r="P18" s="634">
        <v>47715.82</v>
      </c>
      <c r="Q18" s="633"/>
      <c r="R18" s="634"/>
      <c r="S18" s="634"/>
      <c r="T18" s="634"/>
      <c r="U18" s="546"/>
    </row>
    <row r="19" spans="1:21" s="540" customFormat="1">
      <c r="A19" s="575" t="s">
        <v>673</v>
      </c>
      <c r="B19" s="578" t="s">
        <v>674</v>
      </c>
      <c r="C19" s="644">
        <f t="shared" si="0"/>
        <v>780731702.3845098</v>
      </c>
      <c r="D19" s="634">
        <v>581296477.94790995</v>
      </c>
      <c r="E19" s="634">
        <v>1420419.2132999999</v>
      </c>
      <c r="F19" s="634"/>
      <c r="G19" s="634">
        <v>134886597.95399994</v>
      </c>
      <c r="H19" s="634">
        <v>156785.50999999998</v>
      </c>
      <c r="I19" s="634">
        <v>513939.61079999997</v>
      </c>
      <c r="J19" s="634">
        <v>209940.49360000002</v>
      </c>
      <c r="K19" s="634"/>
      <c r="L19" s="634">
        <v>64548626.482600003</v>
      </c>
      <c r="M19" s="634">
        <v>838071.84549999994</v>
      </c>
      <c r="N19" s="634">
        <v>713178.42999999993</v>
      </c>
      <c r="O19" s="634">
        <v>3974149.6500000004</v>
      </c>
      <c r="P19" s="634">
        <v>164908.38</v>
      </c>
      <c r="Q19" s="633"/>
      <c r="R19" s="634"/>
      <c r="S19" s="634"/>
      <c r="T19" s="634"/>
      <c r="U19" s="546"/>
    </row>
    <row r="20" spans="1:21" s="540" customFormat="1">
      <c r="A20" s="577" t="s">
        <v>675</v>
      </c>
      <c r="B20" s="577" t="s">
        <v>676</v>
      </c>
      <c r="C20" s="644">
        <f t="shared" si="0"/>
        <v>736229279.57640064</v>
      </c>
      <c r="D20" s="634">
        <v>543317713.65430069</v>
      </c>
      <c r="E20" s="634">
        <v>1279708.4132999999</v>
      </c>
      <c r="F20" s="634"/>
      <c r="G20" s="634">
        <v>129982244.28699988</v>
      </c>
      <c r="H20" s="634">
        <v>74605.210000000006</v>
      </c>
      <c r="I20" s="634">
        <v>408695.19079999998</v>
      </c>
      <c r="J20" s="634">
        <v>185061.6936</v>
      </c>
      <c r="K20" s="634"/>
      <c r="L20" s="634">
        <v>62929321.635100007</v>
      </c>
      <c r="M20" s="634">
        <v>689637.42149999994</v>
      </c>
      <c r="N20" s="634">
        <v>602776.57999999996</v>
      </c>
      <c r="O20" s="634">
        <v>3703519.8300000005</v>
      </c>
      <c r="P20" s="634">
        <v>164908.38</v>
      </c>
      <c r="Q20" s="633"/>
      <c r="R20" s="634"/>
      <c r="S20" s="634"/>
      <c r="T20" s="634"/>
      <c r="U20" s="546"/>
    </row>
    <row r="21" spans="1:21" s="540" customFormat="1">
      <c r="A21" s="579">
        <v>1.4</v>
      </c>
      <c r="B21" s="589" t="s">
        <v>709</v>
      </c>
      <c r="C21" s="644">
        <f t="shared" si="0"/>
        <v>8506636.7999999989</v>
      </c>
      <c r="D21" s="634">
        <v>8328945</v>
      </c>
      <c r="E21" s="634">
        <v>9920.7999999999993</v>
      </c>
      <c r="F21" s="634"/>
      <c r="G21" s="634">
        <v>169104.2</v>
      </c>
      <c r="H21" s="634">
        <v>10468.4</v>
      </c>
      <c r="I21" s="634">
        <v>7724.2</v>
      </c>
      <c r="J21" s="634"/>
      <c r="K21" s="634"/>
      <c r="L21" s="634">
        <v>8587.6</v>
      </c>
      <c r="M21" s="634">
        <v>6680.6</v>
      </c>
      <c r="N21" s="634"/>
      <c r="O21" s="634">
        <v>17292.599999999999</v>
      </c>
      <c r="P21" s="634"/>
      <c r="Q21" s="634"/>
      <c r="R21" s="634"/>
      <c r="S21" s="634"/>
      <c r="T21" s="634"/>
      <c r="U21" s="546"/>
    </row>
    <row r="22" spans="1:21" s="540" customFormat="1">
      <c r="A22" s="579">
        <v>1.5</v>
      </c>
      <c r="B22" s="589" t="s">
        <v>710</v>
      </c>
      <c r="C22" s="646"/>
      <c r="D22" s="634"/>
      <c r="E22" s="634"/>
      <c r="F22" s="634"/>
      <c r="G22" s="634"/>
      <c r="H22" s="634"/>
      <c r="I22" s="634"/>
      <c r="J22" s="634"/>
      <c r="K22" s="634"/>
      <c r="L22" s="634"/>
      <c r="M22" s="634"/>
      <c r="N22" s="634"/>
      <c r="O22" s="634"/>
      <c r="P22" s="634"/>
      <c r="Q22" s="634"/>
      <c r="R22" s="634"/>
      <c r="S22" s="634"/>
      <c r="T22" s="634"/>
      <c r="U22" s="546"/>
    </row>
    <row r="23" spans="1:21">
      <c r="C23" s="635"/>
    </row>
    <row r="24" spans="1:21">
      <c r="C24" s="647"/>
      <c r="D24" s="647"/>
      <c r="E24" s="692"/>
      <c r="F24" s="647"/>
      <c r="G24" s="647"/>
      <c r="H24" s="647"/>
      <c r="I24" s="647"/>
      <c r="J24" s="647"/>
      <c r="K24" s="647"/>
      <c r="L24" s="647"/>
      <c r="M24" s="647"/>
      <c r="N24" s="647"/>
      <c r="O24" s="647"/>
    </row>
    <row r="25" spans="1:21">
      <c r="C25" s="63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opLeftCell="B6" zoomScale="75" zoomScaleNormal="75" workbookViewId="0">
      <selection activeCell="G34" sqref="G34"/>
    </sheetView>
  </sheetViews>
  <sheetFormatPr defaultColWidth="9.140625" defaultRowHeight="12.75"/>
  <cols>
    <col min="1" max="1" width="11.85546875" style="517" bestFit="1" customWidth="1"/>
    <col min="2" max="2" width="67.42578125" style="517" customWidth="1"/>
    <col min="3" max="3" width="15.7109375" style="517" customWidth="1"/>
    <col min="4" max="4" width="16.140625" style="517" bestFit="1" customWidth="1"/>
    <col min="5" max="5" width="13.7109375" style="517" bestFit="1" customWidth="1"/>
    <col min="6" max="6" width="17.85546875" style="584" bestFit="1" customWidth="1"/>
    <col min="7" max="7" width="12.5703125" style="584" customWidth="1"/>
    <col min="8" max="8" width="12.28515625" style="517" customWidth="1"/>
    <col min="9" max="9" width="14.140625" style="517" customWidth="1"/>
    <col min="10" max="10" width="14.7109375" style="584" bestFit="1" customWidth="1"/>
    <col min="11" max="11" width="13.7109375" style="584" bestFit="1" customWidth="1"/>
    <col min="12" max="12" width="17.85546875" style="584" bestFit="1" customWidth="1"/>
    <col min="13" max="13" width="13.42578125" style="584" customWidth="1"/>
    <col min="14" max="14" width="13.85546875" style="584" customWidth="1"/>
    <col min="15" max="15" width="18.85546875" style="517" bestFit="1" customWidth="1"/>
    <col min="16" max="16384" width="9.140625" style="517"/>
  </cols>
  <sheetData>
    <row r="1" spans="1:15" ht="13.5">
      <c r="A1" s="516" t="s">
        <v>188</v>
      </c>
      <c r="B1" s="434" t="str">
        <f>Info!C2</f>
        <v>სს "კრედო ბანკი"</v>
      </c>
      <c r="F1" s="517"/>
      <c r="G1" s="517"/>
      <c r="J1" s="517"/>
      <c r="K1" s="517"/>
      <c r="L1" s="517"/>
      <c r="M1" s="517"/>
      <c r="N1" s="517"/>
    </row>
    <row r="2" spans="1:15">
      <c r="A2" s="518" t="s">
        <v>189</v>
      </c>
      <c r="B2" s="520">
        <f>'1. key ratios'!B2</f>
        <v>44561</v>
      </c>
      <c r="F2" s="517"/>
      <c r="G2" s="517"/>
      <c r="J2" s="517"/>
      <c r="K2" s="517"/>
      <c r="L2" s="517"/>
      <c r="M2" s="517"/>
      <c r="N2" s="517"/>
    </row>
    <row r="3" spans="1:15">
      <c r="A3" s="519" t="s">
        <v>679</v>
      </c>
      <c r="F3" s="517"/>
      <c r="G3" s="517"/>
      <c r="J3" s="517"/>
      <c r="K3" s="517"/>
      <c r="L3" s="517"/>
      <c r="M3" s="517"/>
      <c r="N3" s="517"/>
    </row>
    <row r="4" spans="1:15">
      <c r="F4" s="517"/>
      <c r="G4" s="517"/>
      <c r="J4" s="517"/>
      <c r="K4" s="517"/>
      <c r="L4" s="517"/>
      <c r="M4" s="517"/>
      <c r="N4" s="517"/>
    </row>
    <row r="5" spans="1:15" ht="37.5" customHeight="1">
      <c r="A5" s="747" t="s">
        <v>680</v>
      </c>
      <c r="B5" s="748"/>
      <c r="C5" s="793" t="s">
        <v>681</v>
      </c>
      <c r="D5" s="794"/>
      <c r="E5" s="794"/>
      <c r="F5" s="794"/>
      <c r="G5" s="794"/>
      <c r="H5" s="795"/>
      <c r="I5" s="796" t="s">
        <v>682</v>
      </c>
      <c r="J5" s="797"/>
      <c r="K5" s="797"/>
      <c r="L5" s="797"/>
      <c r="M5" s="797"/>
      <c r="N5" s="798"/>
      <c r="O5" s="799" t="s">
        <v>552</v>
      </c>
    </row>
    <row r="6" spans="1:15" ht="39.6" customHeight="1">
      <c r="A6" s="751"/>
      <c r="B6" s="752"/>
      <c r="C6" s="580"/>
      <c r="D6" s="581" t="s">
        <v>683</v>
      </c>
      <c r="E6" s="581" t="s">
        <v>684</v>
      </c>
      <c r="F6" s="581" t="s">
        <v>685</v>
      </c>
      <c r="G6" s="581" t="s">
        <v>686</v>
      </c>
      <c r="H6" s="581" t="s">
        <v>687</v>
      </c>
      <c r="I6" s="582"/>
      <c r="J6" s="581" t="s">
        <v>683</v>
      </c>
      <c r="K6" s="581" t="s">
        <v>684</v>
      </c>
      <c r="L6" s="581" t="s">
        <v>685</v>
      </c>
      <c r="M6" s="581" t="s">
        <v>686</v>
      </c>
      <c r="N6" s="581" t="s">
        <v>687</v>
      </c>
      <c r="O6" s="800"/>
    </row>
    <row r="7" spans="1:15">
      <c r="A7" s="532">
        <v>1</v>
      </c>
      <c r="B7" s="541" t="s">
        <v>562</v>
      </c>
      <c r="C7" s="640">
        <f>SUM(D7:H7)</f>
        <v>15864737.056599984</v>
      </c>
      <c r="D7" s="633">
        <v>14568972.589999983</v>
      </c>
      <c r="E7" s="633">
        <v>889223.03659999976</v>
      </c>
      <c r="F7" s="633">
        <v>300055.70999999996</v>
      </c>
      <c r="G7" s="633">
        <v>90519.75999999998</v>
      </c>
      <c r="H7" s="633">
        <v>15965.960000000001</v>
      </c>
      <c r="I7" s="641">
        <f>SUM(J7:N7)</f>
        <v>531544.30850000132</v>
      </c>
      <c r="J7" s="633">
        <v>291379.4518000012</v>
      </c>
      <c r="K7" s="633">
        <v>88922.303700000019</v>
      </c>
      <c r="L7" s="633">
        <v>90016.713000000032</v>
      </c>
      <c r="M7" s="633">
        <v>45259.87999999999</v>
      </c>
      <c r="N7" s="633">
        <v>15965.960000000001</v>
      </c>
      <c r="O7" s="532"/>
    </row>
    <row r="8" spans="1:15">
      <c r="A8" s="532">
        <v>2</v>
      </c>
      <c r="B8" s="541" t="s">
        <v>563</v>
      </c>
      <c r="C8" s="640">
        <f t="shared" ref="C8:C32" si="0">SUM(D8:H8)</f>
        <v>5898840.4616000019</v>
      </c>
      <c r="D8" s="633">
        <v>5798522.6016000025</v>
      </c>
      <c r="E8" s="633">
        <v>80371.97</v>
      </c>
      <c r="F8" s="638">
        <v>19945.89</v>
      </c>
      <c r="G8" s="638"/>
      <c r="H8" s="633"/>
      <c r="I8" s="641">
        <f t="shared" ref="I8:I32" si="1">SUM(J8:N8)</f>
        <v>129991.41599999994</v>
      </c>
      <c r="J8" s="638">
        <v>115970.45199999993</v>
      </c>
      <c r="K8" s="638">
        <v>8037.1969999999992</v>
      </c>
      <c r="L8" s="638">
        <v>5983.7670000000007</v>
      </c>
      <c r="M8" s="638"/>
      <c r="N8" s="638"/>
      <c r="O8" s="532"/>
    </row>
    <row r="9" spans="1:15">
      <c r="A9" s="532">
        <v>3</v>
      </c>
      <c r="B9" s="541" t="s">
        <v>564</v>
      </c>
      <c r="C9" s="640">
        <f t="shared" si="0"/>
        <v>5484957.9499999871</v>
      </c>
      <c r="D9" s="633">
        <v>5205252.5899999868</v>
      </c>
      <c r="E9" s="633">
        <v>196414.41999999993</v>
      </c>
      <c r="F9" s="639">
        <v>39963.870000000003</v>
      </c>
      <c r="G9" s="639">
        <v>35295.369999999995</v>
      </c>
      <c r="H9" s="633">
        <v>8031.7</v>
      </c>
      <c r="I9" s="641">
        <f t="shared" si="1"/>
        <v>161415.03979999997</v>
      </c>
      <c r="J9" s="639">
        <v>104105.05179999997</v>
      </c>
      <c r="K9" s="639">
        <v>19641.441999999999</v>
      </c>
      <c r="L9" s="639">
        <v>11989.161</v>
      </c>
      <c r="M9" s="639">
        <v>17647.684999999998</v>
      </c>
      <c r="N9" s="639">
        <v>8031.7</v>
      </c>
      <c r="O9" s="532"/>
    </row>
    <row r="10" spans="1:15">
      <c r="A10" s="532">
        <v>4</v>
      </c>
      <c r="B10" s="541" t="s">
        <v>565</v>
      </c>
      <c r="C10" s="640">
        <f t="shared" si="0"/>
        <v>2405781.131899999</v>
      </c>
      <c r="D10" s="633">
        <v>2110044.7118999991</v>
      </c>
      <c r="E10" s="633">
        <v>11781.23</v>
      </c>
      <c r="F10" s="639">
        <v>283955.19000000006</v>
      </c>
      <c r="G10" s="639"/>
      <c r="H10" s="633"/>
      <c r="I10" s="641">
        <f t="shared" si="1"/>
        <v>128565.5742</v>
      </c>
      <c r="J10" s="639">
        <v>42200.894200000002</v>
      </c>
      <c r="K10" s="639">
        <v>1178.123</v>
      </c>
      <c r="L10" s="639">
        <v>85186.557000000001</v>
      </c>
      <c r="M10" s="639"/>
      <c r="N10" s="639"/>
      <c r="O10" s="532"/>
    </row>
    <row r="11" spans="1:15">
      <c r="A11" s="532">
        <v>5</v>
      </c>
      <c r="B11" s="541" t="s">
        <v>566</v>
      </c>
      <c r="C11" s="640">
        <f t="shared" si="0"/>
        <v>17796082.572499987</v>
      </c>
      <c r="D11" s="633">
        <v>13102022.56069999</v>
      </c>
      <c r="E11" s="633">
        <v>3784826.4480999992</v>
      </c>
      <c r="F11" s="639">
        <v>191406.2</v>
      </c>
      <c r="G11" s="639">
        <v>117064.77</v>
      </c>
      <c r="H11" s="633">
        <v>600762.59369999997</v>
      </c>
      <c r="I11" s="641">
        <f t="shared" si="1"/>
        <v>1357239.9351000006</v>
      </c>
      <c r="J11" s="639">
        <v>262040.45140000022</v>
      </c>
      <c r="K11" s="639">
        <v>378482.64500000037</v>
      </c>
      <c r="L11" s="639">
        <v>57421.859999999993</v>
      </c>
      <c r="M11" s="639">
        <v>58532.385000000002</v>
      </c>
      <c r="N11" s="639">
        <v>600762.59369999997</v>
      </c>
      <c r="O11" s="532"/>
    </row>
    <row r="12" spans="1:15">
      <c r="A12" s="532">
        <v>6</v>
      </c>
      <c r="B12" s="541" t="s">
        <v>567</v>
      </c>
      <c r="C12" s="640">
        <f t="shared" si="0"/>
        <v>3035393.55</v>
      </c>
      <c r="D12" s="633">
        <v>2466906.4099999997</v>
      </c>
      <c r="E12" s="633">
        <v>358467.31000000006</v>
      </c>
      <c r="F12" s="639">
        <v>107661.45</v>
      </c>
      <c r="G12" s="639">
        <v>91509.37999999999</v>
      </c>
      <c r="H12" s="633">
        <v>10849</v>
      </c>
      <c r="I12" s="641">
        <f t="shared" si="1"/>
        <v>174086.98419999998</v>
      </c>
      <c r="J12" s="639">
        <v>49338.12819999997</v>
      </c>
      <c r="K12" s="639">
        <v>35846.731</v>
      </c>
      <c r="L12" s="639">
        <v>32298.434999999998</v>
      </c>
      <c r="M12" s="639">
        <v>45754.689999999995</v>
      </c>
      <c r="N12" s="639">
        <v>10849</v>
      </c>
      <c r="O12" s="532"/>
    </row>
    <row r="13" spans="1:15">
      <c r="A13" s="532">
        <v>7</v>
      </c>
      <c r="B13" s="541" t="s">
        <v>568</v>
      </c>
      <c r="C13" s="640">
        <f t="shared" si="0"/>
        <v>4056455.9542000014</v>
      </c>
      <c r="D13" s="633">
        <v>3762337.7867000019</v>
      </c>
      <c r="E13" s="633">
        <v>226374.93700000001</v>
      </c>
      <c r="F13" s="639">
        <v>36636.550499999998</v>
      </c>
      <c r="G13" s="639">
        <v>22437.4</v>
      </c>
      <c r="H13" s="633">
        <v>8669.2800000000007</v>
      </c>
      <c r="I13" s="641">
        <f t="shared" si="1"/>
        <v>128763.19459999994</v>
      </c>
      <c r="J13" s="639">
        <v>75246.755699999951</v>
      </c>
      <c r="K13" s="639">
        <v>22637.493699999995</v>
      </c>
      <c r="L13" s="639">
        <v>10990.965200000002</v>
      </c>
      <c r="M13" s="639">
        <v>11218.7</v>
      </c>
      <c r="N13" s="639">
        <v>8669.2800000000007</v>
      </c>
      <c r="O13" s="532"/>
    </row>
    <row r="14" spans="1:15">
      <c r="A14" s="532">
        <v>8</v>
      </c>
      <c r="B14" s="541" t="s">
        <v>569</v>
      </c>
      <c r="C14" s="640">
        <f t="shared" si="0"/>
        <v>122229925.74080004</v>
      </c>
      <c r="D14" s="633">
        <v>110334020.21270004</v>
      </c>
      <c r="E14" s="633">
        <v>7160785.2344999919</v>
      </c>
      <c r="F14" s="639">
        <v>2682053.9219000014</v>
      </c>
      <c r="G14" s="639">
        <v>1413564.9064999996</v>
      </c>
      <c r="H14" s="633">
        <v>639501.46519999963</v>
      </c>
      <c r="I14" s="641">
        <f t="shared" si="1"/>
        <v>5073659.022799952</v>
      </c>
      <c r="J14" s="639">
        <v>2206680.4039999526</v>
      </c>
      <c r="K14" s="639">
        <v>716078.52360000042</v>
      </c>
      <c r="L14" s="639">
        <v>804616.17669999984</v>
      </c>
      <c r="M14" s="639">
        <v>706782.45329999982</v>
      </c>
      <c r="N14" s="639">
        <v>639501.46519999963</v>
      </c>
      <c r="O14" s="532"/>
    </row>
    <row r="15" spans="1:15">
      <c r="A15" s="532">
        <v>9</v>
      </c>
      <c r="B15" s="541" t="s">
        <v>570</v>
      </c>
      <c r="C15" s="640">
        <f t="shared" si="0"/>
        <v>20781620.534799974</v>
      </c>
      <c r="D15" s="633">
        <v>17801378.952099975</v>
      </c>
      <c r="E15" s="633">
        <v>2173903.4335999992</v>
      </c>
      <c r="F15" s="639">
        <v>381559.9142</v>
      </c>
      <c r="G15" s="639">
        <v>201914.74249999999</v>
      </c>
      <c r="H15" s="633">
        <v>222863.49240000005</v>
      </c>
      <c r="I15" s="641">
        <f t="shared" si="1"/>
        <v>1011706.7603000011</v>
      </c>
      <c r="J15" s="639">
        <v>356027.57900000096</v>
      </c>
      <c r="K15" s="639">
        <v>217390.34330000012</v>
      </c>
      <c r="L15" s="639">
        <v>114467.9743</v>
      </c>
      <c r="M15" s="639">
        <v>100957.3713</v>
      </c>
      <c r="N15" s="639">
        <v>222863.49240000005</v>
      </c>
      <c r="O15" s="532"/>
    </row>
    <row r="16" spans="1:15">
      <c r="A16" s="532">
        <v>10</v>
      </c>
      <c r="B16" s="541" t="s">
        <v>571</v>
      </c>
      <c r="C16" s="640">
        <f t="shared" si="0"/>
        <v>6869498.5634000013</v>
      </c>
      <c r="D16" s="633">
        <v>6040766.9476000005</v>
      </c>
      <c r="E16" s="633">
        <v>633820.93950000021</v>
      </c>
      <c r="F16" s="639">
        <v>102445.92629999999</v>
      </c>
      <c r="G16" s="639">
        <v>76540.25</v>
      </c>
      <c r="H16" s="633">
        <v>15924.500000000002</v>
      </c>
      <c r="I16" s="641">
        <f t="shared" si="1"/>
        <v>269125.83580000006</v>
      </c>
      <c r="J16" s="639">
        <v>120815.33890000005</v>
      </c>
      <c r="K16" s="639">
        <v>63382.094000000005</v>
      </c>
      <c r="L16" s="639">
        <v>30733.777900000001</v>
      </c>
      <c r="M16" s="639">
        <v>38270.125</v>
      </c>
      <c r="N16" s="639">
        <v>15924.500000000002</v>
      </c>
      <c r="O16" s="532"/>
    </row>
    <row r="17" spans="1:15">
      <c r="A17" s="532">
        <v>11</v>
      </c>
      <c r="B17" s="541" t="s">
        <v>572</v>
      </c>
      <c r="C17" s="640">
        <f t="shared" si="0"/>
        <v>6441850.8546000021</v>
      </c>
      <c r="D17" s="633">
        <v>5515332.0197000019</v>
      </c>
      <c r="E17" s="633">
        <v>534529.73999999987</v>
      </c>
      <c r="F17" s="639">
        <v>182538.84999999998</v>
      </c>
      <c r="G17" s="639">
        <v>160394.6349</v>
      </c>
      <c r="H17" s="633">
        <v>49055.61</v>
      </c>
      <c r="I17" s="641">
        <f t="shared" si="1"/>
        <v>347774.19689999998</v>
      </c>
      <c r="J17" s="639">
        <v>110306.64039999997</v>
      </c>
      <c r="K17" s="639">
        <v>53452.974000000002</v>
      </c>
      <c r="L17" s="639">
        <v>54761.654999999999</v>
      </c>
      <c r="M17" s="639">
        <v>80197.317500000005</v>
      </c>
      <c r="N17" s="639">
        <v>49055.61</v>
      </c>
      <c r="O17" s="532"/>
    </row>
    <row r="18" spans="1:15">
      <c r="A18" s="532">
        <v>12</v>
      </c>
      <c r="B18" s="541" t="s">
        <v>573</v>
      </c>
      <c r="C18" s="640">
        <f t="shared" si="0"/>
        <v>85088737.309100315</v>
      </c>
      <c r="D18" s="633">
        <v>75654987.726000324</v>
      </c>
      <c r="E18" s="633">
        <v>6347077.1184999999</v>
      </c>
      <c r="F18" s="639">
        <v>2097806.6897999998</v>
      </c>
      <c r="G18" s="639">
        <v>557779.19429999986</v>
      </c>
      <c r="H18" s="633">
        <v>431086.58050000004</v>
      </c>
      <c r="I18" s="641">
        <f t="shared" si="1"/>
        <v>3487125.6513999756</v>
      </c>
      <c r="J18" s="639">
        <v>1513099.7542999766</v>
      </c>
      <c r="K18" s="639">
        <v>634707.71239999938</v>
      </c>
      <c r="L18" s="639">
        <v>629342.00699999952</v>
      </c>
      <c r="M18" s="639">
        <v>278889.59719999996</v>
      </c>
      <c r="N18" s="639">
        <v>431086.58050000004</v>
      </c>
      <c r="O18" s="532"/>
    </row>
    <row r="19" spans="1:15">
      <c r="A19" s="532">
        <v>13</v>
      </c>
      <c r="B19" s="541" t="s">
        <v>574</v>
      </c>
      <c r="C19" s="640">
        <f t="shared" si="0"/>
        <v>14935131.369899988</v>
      </c>
      <c r="D19" s="633">
        <v>13403943.530899987</v>
      </c>
      <c r="E19" s="633">
        <v>952436.65709999995</v>
      </c>
      <c r="F19" s="639">
        <v>301985.288</v>
      </c>
      <c r="G19" s="639">
        <v>175767.88999999996</v>
      </c>
      <c r="H19" s="633">
        <v>100998.0039</v>
      </c>
      <c r="I19" s="641">
        <f t="shared" si="1"/>
        <v>642800.07169999985</v>
      </c>
      <c r="J19" s="639">
        <v>268078.87069999997</v>
      </c>
      <c r="K19" s="639">
        <v>95243.66569999991</v>
      </c>
      <c r="L19" s="639">
        <v>90595.5864</v>
      </c>
      <c r="M19" s="639">
        <v>87883.944999999978</v>
      </c>
      <c r="N19" s="639">
        <v>100998.0039</v>
      </c>
      <c r="O19" s="532"/>
    </row>
    <row r="20" spans="1:15">
      <c r="A20" s="532">
        <v>14</v>
      </c>
      <c r="B20" s="541" t="s">
        <v>575</v>
      </c>
      <c r="C20" s="640">
        <f t="shared" si="0"/>
        <v>48925372.21269998</v>
      </c>
      <c r="D20" s="633">
        <v>31002692.25499998</v>
      </c>
      <c r="E20" s="633">
        <v>14159746.1296</v>
      </c>
      <c r="F20" s="639">
        <v>3048469.2328999997</v>
      </c>
      <c r="G20" s="639">
        <v>541667.61519999988</v>
      </c>
      <c r="H20" s="633">
        <v>172796.97999999998</v>
      </c>
      <c r="I20" s="641">
        <f t="shared" si="1"/>
        <v>3394200.0160000003</v>
      </c>
      <c r="J20" s="639">
        <v>620053.84510000038</v>
      </c>
      <c r="K20" s="639">
        <v>1415974.6132999999</v>
      </c>
      <c r="L20" s="639">
        <v>914540.7699000003</v>
      </c>
      <c r="M20" s="639">
        <v>270833.80769999995</v>
      </c>
      <c r="N20" s="639">
        <v>172796.97999999998</v>
      </c>
      <c r="O20" s="532"/>
    </row>
    <row r="21" spans="1:15">
      <c r="A21" s="532">
        <v>15</v>
      </c>
      <c r="B21" s="541" t="s">
        <v>576</v>
      </c>
      <c r="C21" s="640">
        <f t="shared" si="0"/>
        <v>24277642.736799993</v>
      </c>
      <c r="D21" s="633">
        <v>14948224.425000001</v>
      </c>
      <c r="E21" s="633">
        <v>4862908.6251999922</v>
      </c>
      <c r="F21" s="639">
        <v>2807303.0478000012</v>
      </c>
      <c r="G21" s="639">
        <v>229938.91000000003</v>
      </c>
      <c r="H21" s="633">
        <v>1429267.7287999999</v>
      </c>
      <c r="I21" s="641">
        <f t="shared" si="1"/>
        <v>3171683.449</v>
      </c>
      <c r="J21" s="639">
        <v>298964.48840000015</v>
      </c>
      <c r="K21" s="639">
        <v>486290.86250000005</v>
      </c>
      <c r="L21" s="639">
        <v>842190.91429999995</v>
      </c>
      <c r="M21" s="639">
        <v>114969.45500000002</v>
      </c>
      <c r="N21" s="639">
        <v>1429267.7287999999</v>
      </c>
      <c r="O21" s="532"/>
    </row>
    <row r="22" spans="1:15">
      <c r="A22" s="532">
        <v>16</v>
      </c>
      <c r="B22" s="541" t="s">
        <v>577</v>
      </c>
      <c r="C22" s="640">
        <f t="shared" si="0"/>
        <v>5623781.3380000042</v>
      </c>
      <c r="D22" s="633">
        <v>4939702.2900000038</v>
      </c>
      <c r="E22" s="633">
        <v>456760.58800000005</v>
      </c>
      <c r="F22" s="639">
        <v>125584.58</v>
      </c>
      <c r="G22" s="639">
        <v>67356.269999999975</v>
      </c>
      <c r="H22" s="633">
        <v>34377.610000000008</v>
      </c>
      <c r="I22" s="641">
        <f t="shared" si="1"/>
        <v>250201.22360000003</v>
      </c>
      <c r="J22" s="639">
        <v>98794.045800000036</v>
      </c>
      <c r="K22" s="639">
        <v>45676.058799999999</v>
      </c>
      <c r="L22" s="639">
        <v>37675.374000000003</v>
      </c>
      <c r="M22" s="639">
        <v>33678.134999999987</v>
      </c>
      <c r="N22" s="639">
        <v>34377.610000000008</v>
      </c>
      <c r="O22" s="532"/>
    </row>
    <row r="23" spans="1:15">
      <c r="A23" s="532">
        <v>17</v>
      </c>
      <c r="B23" s="541" t="s">
        <v>578</v>
      </c>
      <c r="C23" s="640">
        <f t="shared" si="0"/>
        <v>805782.10479999951</v>
      </c>
      <c r="D23" s="633">
        <v>768232.91479999956</v>
      </c>
      <c r="E23" s="633">
        <v>22852.43</v>
      </c>
      <c r="F23" s="639">
        <v>13587.72</v>
      </c>
      <c r="G23" s="639">
        <v>1091.0899999999999</v>
      </c>
      <c r="H23" s="633">
        <v>17.95</v>
      </c>
      <c r="I23" s="641">
        <f t="shared" si="1"/>
        <v>22289.712300000007</v>
      </c>
      <c r="J23" s="639">
        <v>15364.658300000008</v>
      </c>
      <c r="K23" s="639">
        <v>2285.2429999999999</v>
      </c>
      <c r="L23" s="639">
        <v>4076.3160000000003</v>
      </c>
      <c r="M23" s="639">
        <v>545.54499999999996</v>
      </c>
      <c r="N23" s="639">
        <v>17.95</v>
      </c>
      <c r="O23" s="532"/>
    </row>
    <row r="24" spans="1:15">
      <c r="A24" s="532">
        <v>18</v>
      </c>
      <c r="B24" s="541" t="s">
        <v>579</v>
      </c>
      <c r="C24" s="640">
        <f t="shared" si="0"/>
        <v>2505984.88</v>
      </c>
      <c r="D24" s="633">
        <v>2383356.36</v>
      </c>
      <c r="E24" s="633">
        <v>65044.92</v>
      </c>
      <c r="F24" s="639">
        <v>41501.130000000005</v>
      </c>
      <c r="G24" s="639">
        <v>11622.470000000003</v>
      </c>
      <c r="H24" s="633">
        <v>4460</v>
      </c>
      <c r="I24" s="641">
        <f t="shared" si="1"/>
        <v>76893.193200000023</v>
      </c>
      <c r="J24" s="639">
        <v>47667.127200000017</v>
      </c>
      <c r="K24" s="639">
        <v>6504.4919999999984</v>
      </c>
      <c r="L24" s="639">
        <v>12450.339000000002</v>
      </c>
      <c r="M24" s="639">
        <v>5811.2350000000015</v>
      </c>
      <c r="N24" s="639">
        <v>4460</v>
      </c>
      <c r="O24" s="532"/>
    </row>
    <row r="25" spans="1:15">
      <c r="A25" s="532">
        <v>19</v>
      </c>
      <c r="B25" s="541" t="s">
        <v>580</v>
      </c>
      <c r="C25" s="640">
        <f t="shared" si="0"/>
        <v>6051664.9356000051</v>
      </c>
      <c r="D25" s="633">
        <v>5610752.3733000048</v>
      </c>
      <c r="E25" s="633">
        <v>274786.02140000003</v>
      </c>
      <c r="F25" s="639">
        <v>53990.119999999995</v>
      </c>
      <c r="G25" s="639">
        <v>58111.233000000007</v>
      </c>
      <c r="H25" s="633">
        <v>54025.187899999997</v>
      </c>
      <c r="I25" s="641">
        <f t="shared" si="1"/>
        <v>238971.48990000002</v>
      </c>
      <c r="J25" s="639">
        <v>112215.04740000002</v>
      </c>
      <c r="K25" s="639">
        <v>27478.6021</v>
      </c>
      <c r="L25" s="639">
        <v>16197.036000000004</v>
      </c>
      <c r="M25" s="639">
        <v>29055.616500000004</v>
      </c>
      <c r="N25" s="639">
        <v>54025.187899999997</v>
      </c>
      <c r="O25" s="532"/>
    </row>
    <row r="26" spans="1:15">
      <c r="A26" s="532">
        <v>20</v>
      </c>
      <c r="B26" s="541" t="s">
        <v>581</v>
      </c>
      <c r="C26" s="640">
        <f t="shared" si="0"/>
        <v>10106596.847899988</v>
      </c>
      <c r="D26" s="633">
        <v>9361443.4227999877</v>
      </c>
      <c r="E26" s="633">
        <v>556420.45510000002</v>
      </c>
      <c r="F26" s="639">
        <v>122723.76000000001</v>
      </c>
      <c r="G26" s="639">
        <v>62104.15</v>
      </c>
      <c r="H26" s="633">
        <v>3905.06</v>
      </c>
      <c r="I26" s="641">
        <f t="shared" si="1"/>
        <v>314645.17700000067</v>
      </c>
      <c r="J26" s="639">
        <v>187228.86850000062</v>
      </c>
      <c r="K26" s="639">
        <v>55642.0455</v>
      </c>
      <c r="L26" s="639">
        <v>36817.128000000004</v>
      </c>
      <c r="M26" s="639">
        <v>31052.075000000001</v>
      </c>
      <c r="N26" s="639">
        <v>3905.06</v>
      </c>
      <c r="O26" s="532"/>
    </row>
    <row r="27" spans="1:15">
      <c r="A27" s="532">
        <v>21</v>
      </c>
      <c r="B27" s="541" t="s">
        <v>582</v>
      </c>
      <c r="C27" s="640">
        <f t="shared" si="0"/>
        <v>2293118.3201000011</v>
      </c>
      <c r="D27" s="633">
        <v>2143101.1101000011</v>
      </c>
      <c r="E27" s="633">
        <v>122675.50000000001</v>
      </c>
      <c r="F27" s="639">
        <v>4704.6100000000006</v>
      </c>
      <c r="G27" s="639">
        <v>22637.1</v>
      </c>
      <c r="H27" s="633"/>
      <c r="I27" s="641">
        <f t="shared" si="1"/>
        <v>67859.505200000029</v>
      </c>
      <c r="J27" s="639">
        <v>42862.022200000029</v>
      </c>
      <c r="K27" s="639">
        <v>12267.550000000001</v>
      </c>
      <c r="L27" s="639">
        <v>1411.383</v>
      </c>
      <c r="M27" s="639">
        <v>11318.55</v>
      </c>
      <c r="N27" s="639"/>
      <c r="O27" s="532"/>
    </row>
    <row r="28" spans="1:15">
      <c r="A28" s="532">
        <v>22</v>
      </c>
      <c r="B28" s="541" t="s">
        <v>583</v>
      </c>
      <c r="C28" s="640">
        <f t="shared" si="0"/>
        <v>561154.0399999998</v>
      </c>
      <c r="D28" s="633">
        <v>506950.79999999993</v>
      </c>
      <c r="E28" s="633">
        <v>31725.829999999998</v>
      </c>
      <c r="F28" s="639">
        <v>19656.95</v>
      </c>
      <c r="G28" s="639">
        <v>2820.46</v>
      </c>
      <c r="H28" s="633"/>
      <c r="I28" s="641">
        <f t="shared" si="1"/>
        <v>20618.914000000001</v>
      </c>
      <c r="J28" s="639">
        <v>10139.016000000001</v>
      </c>
      <c r="K28" s="639">
        <v>3172.5830000000001</v>
      </c>
      <c r="L28" s="639">
        <v>5897.085</v>
      </c>
      <c r="M28" s="639">
        <v>1410.23</v>
      </c>
      <c r="N28" s="639"/>
      <c r="O28" s="532"/>
    </row>
    <row r="29" spans="1:15">
      <c r="A29" s="532">
        <v>23</v>
      </c>
      <c r="B29" s="541" t="s">
        <v>584</v>
      </c>
      <c r="C29" s="640">
        <f t="shared" si="0"/>
        <v>279164348.99949974</v>
      </c>
      <c r="D29" s="633">
        <v>243408943.73239967</v>
      </c>
      <c r="E29" s="633">
        <v>22951217.58490007</v>
      </c>
      <c r="F29" s="639">
        <v>8122962.7045000046</v>
      </c>
      <c r="G29" s="639">
        <v>2932163.6879999992</v>
      </c>
      <c r="H29" s="633">
        <v>1749061.2897000005</v>
      </c>
      <c r="I29" s="641">
        <f t="shared" si="1"/>
        <v>12815332.578499954</v>
      </c>
      <c r="J29" s="639">
        <v>4868178.8747999594</v>
      </c>
      <c r="K29" s="639">
        <v>2295121.7584999958</v>
      </c>
      <c r="L29" s="639">
        <v>2436888.8113999972</v>
      </c>
      <c r="M29" s="639">
        <v>1466081.8440999996</v>
      </c>
      <c r="N29" s="639">
        <v>1749061.2897000005</v>
      </c>
      <c r="O29" s="532"/>
    </row>
    <row r="30" spans="1:15">
      <c r="A30" s="532">
        <v>24</v>
      </c>
      <c r="B30" s="541" t="s">
        <v>585</v>
      </c>
      <c r="C30" s="640">
        <f t="shared" si="0"/>
        <v>572420283.08437443</v>
      </c>
      <c r="D30" s="633">
        <v>528597744.16247451</v>
      </c>
      <c r="E30" s="633">
        <v>27581665.373899989</v>
      </c>
      <c r="F30" s="639">
        <v>9022635.735799998</v>
      </c>
      <c r="G30" s="639">
        <v>4528364.6089000003</v>
      </c>
      <c r="H30" s="633">
        <v>2689873.2033000016</v>
      </c>
      <c r="I30" s="641">
        <f t="shared" si="1"/>
        <v>20990967.649101097</v>
      </c>
      <c r="J30" s="639">
        <v>10571954.882901095</v>
      </c>
      <c r="K30" s="639">
        <v>2758166.5376999998</v>
      </c>
      <c r="L30" s="639">
        <v>2706790.7205999978</v>
      </c>
      <c r="M30" s="639">
        <v>2264182.3046000004</v>
      </c>
      <c r="N30" s="639">
        <v>2689873.2033000016</v>
      </c>
      <c r="O30" s="532"/>
    </row>
    <row r="31" spans="1:15">
      <c r="A31" s="532">
        <v>25</v>
      </c>
      <c r="B31" s="541" t="s">
        <v>586</v>
      </c>
      <c r="C31" s="640">
        <f t="shared" si="0"/>
        <v>129515931.19959582</v>
      </c>
      <c r="D31" s="633">
        <v>112698391.32429585</v>
      </c>
      <c r="E31" s="633">
        <v>11469608.585199978</v>
      </c>
      <c r="F31" s="639">
        <v>3366726.6568999975</v>
      </c>
      <c r="G31" s="639">
        <v>1232754.4731999971</v>
      </c>
      <c r="H31" s="633">
        <v>748450.16000000015</v>
      </c>
      <c r="I31" s="641">
        <f t="shared" si="1"/>
        <v>5775774.0786999986</v>
      </c>
      <c r="J31" s="639">
        <v>2253967.8265000046</v>
      </c>
      <c r="K31" s="639">
        <v>1146960.8583999984</v>
      </c>
      <c r="L31" s="639">
        <v>1010017.9971999973</v>
      </c>
      <c r="M31" s="639">
        <v>616377.23659999855</v>
      </c>
      <c r="N31" s="639">
        <v>748450.16000000015</v>
      </c>
      <c r="O31" s="532"/>
    </row>
    <row r="32" spans="1:15">
      <c r="A32" s="532">
        <v>26</v>
      </c>
      <c r="B32" s="541" t="s">
        <v>688</v>
      </c>
      <c r="C32" s="640">
        <f t="shared" si="0"/>
        <v>99649324.624300733</v>
      </c>
      <c r="D32" s="633">
        <v>92629296.318500727</v>
      </c>
      <c r="E32" s="633">
        <v>4272197.9971999982</v>
      </c>
      <c r="F32" s="639">
        <v>1410449.6315000006</v>
      </c>
      <c r="G32" s="639">
        <v>921216.86000000045</v>
      </c>
      <c r="H32" s="633">
        <v>416163.8171000001</v>
      </c>
      <c r="I32" s="641">
        <f t="shared" si="1"/>
        <v>3592037.7609000034</v>
      </c>
      <c r="J32" s="639">
        <v>1864910.8245000034</v>
      </c>
      <c r="K32" s="639">
        <v>427219.79979999957</v>
      </c>
      <c r="L32" s="639">
        <v>423134.88950000022</v>
      </c>
      <c r="M32" s="639">
        <v>460608.43000000023</v>
      </c>
      <c r="N32" s="639">
        <v>416163.8171000001</v>
      </c>
      <c r="O32" s="532"/>
    </row>
    <row r="33" spans="1:15">
      <c r="A33" s="532">
        <v>27</v>
      </c>
      <c r="B33" s="583" t="s">
        <v>68</v>
      </c>
      <c r="C33" s="640">
        <f>SUM(C7:C32)</f>
        <v>1492789998.373071</v>
      </c>
      <c r="D33" s="641">
        <f>SUM(D7:D32)</f>
        <v>1324763320.128571</v>
      </c>
      <c r="E33" s="641">
        <f t="shared" ref="E33:H33" si="2">SUM(E7:E32)</f>
        <v>110177622.51540001</v>
      </c>
      <c r="F33" s="641">
        <f t="shared" si="2"/>
        <v>34888311.3301</v>
      </c>
      <c r="G33" s="641">
        <f t="shared" si="2"/>
        <v>13554637.226499999</v>
      </c>
      <c r="H33" s="641">
        <f t="shared" si="2"/>
        <v>9406107.1725000013</v>
      </c>
      <c r="I33" s="642">
        <f>SUM(I7:I32)</f>
        <v>64175272.738700978</v>
      </c>
      <c r="J33" s="642">
        <f t="shared" ref="J33:N33" si="3">SUM(J7:J32)</f>
        <v>26507591.300000995</v>
      </c>
      <c r="K33" s="642">
        <f t="shared" si="3"/>
        <v>11017762.252999991</v>
      </c>
      <c r="L33" s="642">
        <f t="shared" si="3"/>
        <v>10466493.399399992</v>
      </c>
      <c r="M33" s="642">
        <f t="shared" si="3"/>
        <v>6777318.6137999995</v>
      </c>
      <c r="N33" s="642">
        <f t="shared" si="3"/>
        <v>9406107.1725000013</v>
      </c>
      <c r="O33" s="532"/>
    </row>
    <row r="34" spans="1:15">
      <c r="A34" s="542"/>
      <c r="B34" s="542"/>
      <c r="C34" s="542"/>
      <c r="D34" s="542"/>
      <c r="E34" s="542"/>
      <c r="H34" s="542"/>
      <c r="I34" s="542"/>
      <c r="O34" s="542"/>
    </row>
    <row r="35" spans="1:15">
      <c r="A35" s="542"/>
      <c r="B35" s="544"/>
      <c r="C35" s="544"/>
      <c r="D35" s="542"/>
      <c r="E35" s="542"/>
      <c r="H35" s="542"/>
      <c r="I35" s="542"/>
      <c r="O35" s="542"/>
    </row>
    <row r="36" spans="1:15">
      <c r="A36" s="542"/>
      <c r="B36" s="542"/>
      <c r="C36" s="542"/>
      <c r="D36" s="542"/>
      <c r="E36" s="542"/>
      <c r="H36" s="542"/>
      <c r="I36" s="542"/>
      <c r="O36" s="542"/>
    </row>
    <row r="37" spans="1:15">
      <c r="A37" s="542"/>
      <c r="B37" s="542"/>
      <c r="C37" s="542"/>
      <c r="D37" s="542"/>
      <c r="E37" s="542"/>
      <c r="H37" s="542"/>
      <c r="I37" s="542"/>
      <c r="O37" s="542"/>
    </row>
    <row r="38" spans="1:15">
      <c r="A38" s="542"/>
      <c r="B38" s="542"/>
      <c r="C38" s="542"/>
      <c r="D38" s="542"/>
      <c r="E38" s="542"/>
      <c r="H38" s="542"/>
      <c r="I38" s="542"/>
      <c r="O38" s="542"/>
    </row>
    <row r="39" spans="1:15">
      <c r="A39" s="542"/>
      <c r="B39" s="542"/>
      <c r="C39" s="542"/>
      <c r="D39" s="542"/>
      <c r="E39" s="542"/>
      <c r="H39" s="542"/>
      <c r="I39" s="542"/>
      <c r="O39" s="542"/>
    </row>
    <row r="40" spans="1:15">
      <c r="A40" s="542"/>
      <c r="B40" s="542"/>
      <c r="C40" s="542"/>
      <c r="D40" s="542"/>
      <c r="E40" s="542"/>
      <c r="H40" s="542"/>
      <c r="I40" s="542"/>
      <c r="O40" s="542"/>
    </row>
    <row r="41" spans="1:15">
      <c r="A41" s="545"/>
      <c r="B41" s="545"/>
      <c r="C41" s="545"/>
      <c r="D41" s="542"/>
      <c r="E41" s="542"/>
      <c r="H41" s="542"/>
      <c r="I41" s="542"/>
      <c r="O41" s="542"/>
    </row>
    <row r="42" spans="1:15">
      <c r="A42" s="545"/>
      <c r="B42" s="545"/>
      <c r="C42" s="545"/>
      <c r="D42" s="542"/>
      <c r="E42" s="542"/>
      <c r="H42" s="542"/>
      <c r="I42" s="542"/>
      <c r="O42" s="542"/>
    </row>
    <row r="43" spans="1:15">
      <c r="A43" s="542"/>
      <c r="B43" s="546"/>
      <c r="C43" s="546"/>
      <c r="D43" s="542"/>
      <c r="E43" s="542"/>
      <c r="H43" s="542"/>
      <c r="I43" s="542"/>
      <c r="O43" s="542"/>
    </row>
    <row r="44" spans="1:15">
      <c r="A44" s="542"/>
      <c r="B44" s="546"/>
      <c r="C44" s="546"/>
      <c r="D44" s="542"/>
      <c r="E44" s="542"/>
      <c r="H44" s="542"/>
      <c r="I44" s="542"/>
      <c r="O44" s="542"/>
    </row>
    <row r="45" spans="1:15">
      <c r="A45" s="542"/>
      <c r="B45" s="546"/>
      <c r="C45" s="546"/>
      <c r="D45" s="542"/>
      <c r="E45" s="542"/>
      <c r="H45" s="542"/>
      <c r="I45" s="542"/>
      <c r="O45" s="542"/>
    </row>
    <row r="46" spans="1:15">
      <c r="A46" s="542"/>
      <c r="B46" s="542"/>
      <c r="C46" s="542"/>
      <c r="D46" s="542"/>
      <c r="E46" s="542"/>
      <c r="H46" s="542"/>
      <c r="I46" s="542"/>
      <c r="O46" s="54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B1" zoomScale="85" zoomScaleNormal="85" workbookViewId="0">
      <selection activeCell="L15" sqref="L15"/>
    </sheetView>
  </sheetViews>
  <sheetFormatPr defaultColWidth="8.7109375" defaultRowHeight="12"/>
  <cols>
    <col min="1" max="1" width="11.85546875" style="585" bestFit="1" customWidth="1"/>
    <col min="2" max="2" width="80.140625" style="585" customWidth="1"/>
    <col min="3" max="11" width="28.28515625" style="585" customWidth="1"/>
    <col min="12" max="16384" width="8.7109375" style="585"/>
  </cols>
  <sheetData>
    <row r="1" spans="1:11" s="517" customFormat="1" ht="13.5">
      <c r="A1" s="516" t="s">
        <v>188</v>
      </c>
      <c r="B1" s="434" t="str">
        <f>Info!C2</f>
        <v>სს "კრედო ბანკი"</v>
      </c>
    </row>
    <row r="2" spans="1:11" s="517" customFormat="1" ht="12.75">
      <c r="A2" s="518" t="s">
        <v>189</v>
      </c>
      <c r="B2" s="520">
        <f>'1. key ratios'!B2</f>
        <v>44561</v>
      </c>
    </row>
    <row r="3" spans="1:11" s="517" customFormat="1" ht="12.75">
      <c r="A3" s="519" t="s">
        <v>689</v>
      </c>
    </row>
    <row r="4" spans="1:11">
      <c r="C4" s="586" t="s">
        <v>539</v>
      </c>
      <c r="D4" s="586" t="s">
        <v>540</v>
      </c>
      <c r="E4" s="586" t="s">
        <v>541</v>
      </c>
      <c r="F4" s="586" t="s">
        <v>542</v>
      </c>
      <c r="G4" s="586" t="s">
        <v>543</v>
      </c>
      <c r="H4" s="586" t="s">
        <v>544</v>
      </c>
      <c r="I4" s="586" t="s">
        <v>545</v>
      </c>
      <c r="J4" s="586" t="s">
        <v>546</v>
      </c>
      <c r="K4" s="586" t="s">
        <v>547</v>
      </c>
    </row>
    <row r="5" spans="1:11" ht="104.1" customHeight="1">
      <c r="A5" s="801" t="s">
        <v>690</v>
      </c>
      <c r="B5" s="802"/>
      <c r="C5" s="521" t="s">
        <v>691</v>
      </c>
      <c r="D5" s="521" t="s">
        <v>677</v>
      </c>
      <c r="E5" s="521" t="s">
        <v>678</v>
      </c>
      <c r="F5" s="521" t="s">
        <v>692</v>
      </c>
      <c r="G5" s="521" t="s">
        <v>693</v>
      </c>
      <c r="H5" s="521" t="s">
        <v>694</v>
      </c>
      <c r="I5" s="521" t="s">
        <v>695</v>
      </c>
      <c r="J5" s="521" t="s">
        <v>696</v>
      </c>
      <c r="K5" s="521" t="s">
        <v>697</v>
      </c>
    </row>
    <row r="6" spans="1:11" ht="12.75">
      <c r="A6" s="532">
        <v>1</v>
      </c>
      <c r="B6" s="532" t="s">
        <v>698</v>
      </c>
      <c r="C6" s="633">
        <v>5509467.3118999992</v>
      </c>
      <c r="D6" s="633">
        <v>8530610</v>
      </c>
      <c r="E6" s="633"/>
      <c r="F6" s="633">
        <v>79300.94</v>
      </c>
      <c r="G6" s="633">
        <v>288517189.15659988</v>
      </c>
      <c r="H6" s="633"/>
      <c r="I6" s="633">
        <v>26431108.109000001</v>
      </c>
      <c r="J6" s="633">
        <v>46523.133199999997</v>
      </c>
      <c r="K6" s="633">
        <v>1163675799.4493001</v>
      </c>
    </row>
    <row r="7" spans="1:11" ht="12.75">
      <c r="A7" s="532">
        <v>2</v>
      </c>
      <c r="B7" s="533" t="s">
        <v>699</v>
      </c>
      <c r="C7" s="633"/>
      <c r="D7" s="633"/>
      <c r="E7" s="633"/>
      <c r="F7" s="633"/>
      <c r="G7" s="633"/>
      <c r="H7" s="633"/>
      <c r="I7" s="633"/>
      <c r="J7" s="633"/>
      <c r="K7" s="633"/>
    </row>
    <row r="8" spans="1:11" ht="12.75">
      <c r="A8" s="532">
        <v>3</v>
      </c>
      <c r="B8" s="533" t="s">
        <v>649</v>
      </c>
      <c r="C8" s="633"/>
      <c r="D8" s="633"/>
      <c r="E8" s="633"/>
      <c r="F8" s="633"/>
      <c r="G8" s="633">
        <v>30000</v>
      </c>
      <c r="H8" s="633"/>
      <c r="I8" s="633"/>
      <c r="J8" s="633"/>
      <c r="K8" s="633">
        <v>33524504.449999999</v>
      </c>
    </row>
    <row r="9" spans="1:11" ht="12.75">
      <c r="A9" s="532">
        <v>4</v>
      </c>
      <c r="B9" s="566" t="s">
        <v>700</v>
      </c>
      <c r="C9" s="633"/>
      <c r="D9" s="633"/>
      <c r="E9" s="633"/>
      <c r="F9" s="633"/>
      <c r="G9" s="633">
        <v>15792897.308899997</v>
      </c>
      <c r="H9" s="633"/>
      <c r="I9" s="633">
        <v>846088.57279999997</v>
      </c>
      <c r="J9" s="633">
        <v>3673.6297</v>
      </c>
      <c r="K9" s="633">
        <v>41206396.217700005</v>
      </c>
    </row>
    <row r="10" spans="1:11" ht="12.75">
      <c r="A10" s="532">
        <v>5</v>
      </c>
      <c r="B10" s="587" t="s">
        <v>701</v>
      </c>
      <c r="C10" s="633"/>
      <c r="D10" s="633"/>
      <c r="E10" s="633"/>
      <c r="F10" s="633"/>
      <c r="G10" s="633"/>
      <c r="H10" s="633"/>
      <c r="I10" s="633"/>
      <c r="J10" s="633"/>
      <c r="K10" s="633"/>
    </row>
    <row r="11" spans="1:11" ht="12.75">
      <c r="A11" s="532">
        <v>6</v>
      </c>
      <c r="B11" s="587" t="s">
        <v>702</v>
      </c>
      <c r="C11" s="633"/>
      <c r="D11" s="633"/>
      <c r="E11" s="633"/>
      <c r="F11" s="633"/>
      <c r="G11" s="633"/>
      <c r="H11" s="633"/>
      <c r="I11" s="633"/>
      <c r="J11" s="633"/>
      <c r="K11" s="63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tabSelected="1" zoomScale="80" zoomScaleNormal="80" workbookViewId="0">
      <pane xSplit="1" topLeftCell="H1" activePane="topRight" state="frozen"/>
      <selection pane="topRight" activeCell="S20" sqref="S20"/>
    </sheetView>
  </sheetViews>
  <sheetFormatPr defaultRowHeight="15"/>
  <cols>
    <col min="1" max="1" width="10" bestFit="1" customWidth="1"/>
    <col min="2" max="2" width="48.85546875" customWidth="1"/>
    <col min="3" max="3" width="15.85546875" bestFit="1" customWidth="1"/>
    <col min="4" max="4" width="15.28515625" bestFit="1" customWidth="1"/>
    <col min="5" max="5" width="14.28515625" bestFit="1" customWidth="1"/>
    <col min="6" max="6" width="16.140625" bestFit="1" customWidth="1"/>
    <col min="7" max="7" width="12.85546875" bestFit="1" customWidth="1"/>
    <col min="8" max="8" width="13.140625" bestFit="1" customWidth="1"/>
    <col min="9" max="9" width="14.28515625" bestFit="1" customWidth="1"/>
    <col min="10" max="10" width="13.140625" bestFit="1" customWidth="1"/>
    <col min="11" max="11" width="12.28515625" bestFit="1" customWidth="1"/>
    <col min="12" max="12" width="16.140625" bestFit="1" customWidth="1"/>
    <col min="13" max="14" width="13.140625" bestFit="1" customWidth="1"/>
    <col min="15" max="15" width="18" bestFit="1" customWidth="1"/>
    <col min="16" max="17" width="26.5703125" customWidth="1"/>
    <col min="18" max="19" width="26.42578125" customWidth="1"/>
  </cols>
  <sheetData>
    <row r="1" spans="1:19">
      <c r="A1" s="663" t="s">
        <v>188</v>
      </c>
      <c r="B1" s="434" t="str">
        <f>'25. Collateral'!B1</f>
        <v>სს "კრედო ბანკი"</v>
      </c>
    </row>
    <row r="2" spans="1:19">
      <c r="A2" s="663" t="s">
        <v>189</v>
      </c>
      <c r="B2" s="520">
        <f>'25. Collateral'!B2</f>
        <v>44561</v>
      </c>
    </row>
    <row r="3" spans="1:19">
      <c r="A3" s="664" t="s">
        <v>716</v>
      </c>
      <c r="B3" s="517"/>
    </row>
    <row r="4" spans="1:19">
      <c r="A4" s="664"/>
      <c r="B4" s="517"/>
    </row>
    <row r="5" spans="1:19" ht="24" customHeight="1">
      <c r="A5" s="804" t="s">
        <v>732</v>
      </c>
      <c r="B5" s="804"/>
      <c r="C5" s="805" t="s">
        <v>652</v>
      </c>
      <c r="D5" s="805"/>
      <c r="E5" s="805"/>
      <c r="F5" s="805"/>
      <c r="G5" s="805"/>
      <c r="H5" s="805"/>
      <c r="I5" s="805" t="s">
        <v>738</v>
      </c>
      <c r="J5" s="805"/>
      <c r="K5" s="805"/>
      <c r="L5" s="805"/>
      <c r="M5" s="805"/>
      <c r="N5" s="805"/>
      <c r="O5" s="803" t="s">
        <v>729</v>
      </c>
      <c r="P5" s="803" t="s">
        <v>735</v>
      </c>
      <c r="Q5" s="803" t="s">
        <v>734</v>
      </c>
      <c r="R5" s="803" t="s">
        <v>737</v>
      </c>
      <c r="S5" s="803" t="s">
        <v>730</v>
      </c>
    </row>
    <row r="6" spans="1:19" ht="36" customHeight="1">
      <c r="A6" s="804"/>
      <c r="B6" s="804"/>
      <c r="C6" s="601"/>
      <c r="D6" s="651" t="s">
        <v>683</v>
      </c>
      <c r="E6" s="651" t="s">
        <v>684</v>
      </c>
      <c r="F6" s="651" t="s">
        <v>685</v>
      </c>
      <c r="G6" s="651" t="s">
        <v>686</v>
      </c>
      <c r="H6" s="651" t="s">
        <v>687</v>
      </c>
      <c r="I6" s="601"/>
      <c r="J6" s="651" t="s">
        <v>683</v>
      </c>
      <c r="K6" s="651" t="s">
        <v>684</v>
      </c>
      <c r="L6" s="651" t="s">
        <v>685</v>
      </c>
      <c r="M6" s="651" t="s">
        <v>686</v>
      </c>
      <c r="N6" s="651" t="s">
        <v>687</v>
      </c>
      <c r="O6" s="803"/>
      <c r="P6" s="803"/>
      <c r="Q6" s="803"/>
      <c r="R6" s="803"/>
      <c r="S6" s="803"/>
    </row>
    <row r="7" spans="1:19">
      <c r="A7" s="599">
        <v>1</v>
      </c>
      <c r="B7" s="665" t="s">
        <v>717</v>
      </c>
      <c r="C7" s="650">
        <f>SUM(D7:H7)</f>
        <v>17259810.039999995</v>
      </c>
      <c r="D7" s="648">
        <v>15166527.689999999</v>
      </c>
      <c r="E7" s="648">
        <v>1074660.58</v>
      </c>
      <c r="F7" s="648">
        <v>598854.74</v>
      </c>
      <c r="G7" s="648">
        <v>265668.81</v>
      </c>
      <c r="H7" s="648">
        <v>154098.22</v>
      </c>
      <c r="I7" s="650">
        <f>SUM(J7:N7)</f>
        <v>877385.67</v>
      </c>
      <c r="J7" s="648">
        <v>303330.55</v>
      </c>
      <c r="K7" s="648">
        <v>107466.06000000001</v>
      </c>
      <c r="L7" s="648">
        <v>179656.43</v>
      </c>
      <c r="M7" s="648">
        <v>132834.41</v>
      </c>
      <c r="N7" s="648">
        <v>154098.22</v>
      </c>
      <c r="O7" s="648">
        <v>16788</v>
      </c>
      <c r="P7" s="677">
        <v>0.18344741628884881</v>
      </c>
      <c r="Q7" s="677">
        <v>0.28757758419429658</v>
      </c>
      <c r="R7" s="677">
        <v>0.22</v>
      </c>
      <c r="S7" s="674">
        <v>26.183171999999999</v>
      </c>
    </row>
    <row r="8" spans="1:19">
      <c r="A8" s="599">
        <v>2</v>
      </c>
      <c r="B8" s="666" t="s">
        <v>718</v>
      </c>
      <c r="C8" s="650">
        <f t="shared" ref="C8:C18" si="0">SUM(D8:H8)</f>
        <v>661045380.11000013</v>
      </c>
      <c r="D8" s="648">
        <v>590403185.53000009</v>
      </c>
      <c r="E8" s="648">
        <v>46578422.810000002</v>
      </c>
      <c r="F8" s="648">
        <v>14433927.379999999</v>
      </c>
      <c r="G8" s="648">
        <v>5689209.2200000007</v>
      </c>
      <c r="H8" s="648">
        <v>3940635.17</v>
      </c>
      <c r="I8" s="650">
        <f t="shared" ref="I8:I18" si="1">SUM(J8:N8)</f>
        <v>27593649.170000002</v>
      </c>
      <c r="J8" s="648">
        <v>11820388.9</v>
      </c>
      <c r="K8" s="648">
        <v>4657842.2700000005</v>
      </c>
      <c r="L8" s="648">
        <v>4330178.22</v>
      </c>
      <c r="M8" s="648">
        <v>2844604.62</v>
      </c>
      <c r="N8" s="648">
        <v>3940635.1599999997</v>
      </c>
      <c r="O8" s="648">
        <v>192289</v>
      </c>
      <c r="P8" s="677">
        <v>0.23346288813564828</v>
      </c>
      <c r="Q8" s="677">
        <v>0.32627978946662839</v>
      </c>
      <c r="R8" s="677">
        <v>0.24</v>
      </c>
      <c r="S8" s="674">
        <v>32.792054999999998</v>
      </c>
    </row>
    <row r="9" spans="1:19">
      <c r="A9" s="599">
        <v>3</v>
      </c>
      <c r="B9" s="666" t="s">
        <v>719</v>
      </c>
      <c r="C9" s="650">
        <f t="shared" si="0"/>
        <v>0</v>
      </c>
      <c r="D9" s="648">
        <v>0</v>
      </c>
      <c r="E9" s="648">
        <v>0</v>
      </c>
      <c r="F9" s="648">
        <v>0</v>
      </c>
      <c r="G9" s="648">
        <v>0</v>
      </c>
      <c r="H9" s="648">
        <v>0</v>
      </c>
      <c r="I9" s="650">
        <f t="shared" si="1"/>
        <v>0</v>
      </c>
      <c r="J9" s="648">
        <v>0</v>
      </c>
      <c r="K9" s="648">
        <v>0</v>
      </c>
      <c r="L9" s="648">
        <v>0</v>
      </c>
      <c r="M9" s="648">
        <v>0</v>
      </c>
      <c r="N9" s="648">
        <v>0</v>
      </c>
      <c r="O9" s="648">
        <v>0</v>
      </c>
      <c r="P9" s="678"/>
      <c r="Q9" s="677"/>
      <c r="R9" s="678"/>
      <c r="S9" s="674"/>
    </row>
    <row r="10" spans="1:19">
      <c r="A10" s="599">
        <v>4</v>
      </c>
      <c r="B10" s="666" t="s">
        <v>720</v>
      </c>
      <c r="C10" s="650">
        <f t="shared" si="0"/>
        <v>165529820.04999995</v>
      </c>
      <c r="D10" s="648">
        <v>160682450.06999999</v>
      </c>
      <c r="E10" s="648">
        <v>2541967.89</v>
      </c>
      <c r="F10" s="648">
        <v>1213347</v>
      </c>
      <c r="G10" s="648">
        <v>1009396.2</v>
      </c>
      <c r="H10" s="648">
        <v>82658.89</v>
      </c>
      <c r="I10" s="650">
        <f t="shared" si="1"/>
        <v>4419206.88</v>
      </c>
      <c r="J10" s="648">
        <v>3213649</v>
      </c>
      <c r="K10" s="648">
        <v>254196.79</v>
      </c>
      <c r="L10" s="648">
        <v>364004.1</v>
      </c>
      <c r="M10" s="648">
        <v>504698.1</v>
      </c>
      <c r="N10" s="648">
        <v>82658.89</v>
      </c>
      <c r="O10" s="648">
        <v>249415</v>
      </c>
      <c r="P10" s="677">
        <v>1.9999999999999997E-2</v>
      </c>
      <c r="Q10" s="677">
        <v>0.21256175495491939</v>
      </c>
      <c r="R10" s="677">
        <v>0.02</v>
      </c>
      <c r="S10" s="674">
        <v>11.110906</v>
      </c>
    </row>
    <row r="11" spans="1:19">
      <c r="A11" s="599">
        <v>5</v>
      </c>
      <c r="B11" s="666" t="s">
        <v>721</v>
      </c>
      <c r="C11" s="650">
        <f t="shared" si="0"/>
        <v>668093.07000000007</v>
      </c>
      <c r="D11" s="648">
        <v>625277.43000000005</v>
      </c>
      <c r="E11" s="648">
        <v>24172.89</v>
      </c>
      <c r="F11" s="648">
        <v>16619.439999999999</v>
      </c>
      <c r="G11" s="648">
        <v>2022.89</v>
      </c>
      <c r="H11" s="648">
        <v>0.42</v>
      </c>
      <c r="I11" s="650">
        <f t="shared" si="1"/>
        <v>20920.53</v>
      </c>
      <c r="J11" s="648">
        <v>12505.539999999999</v>
      </c>
      <c r="K11" s="648">
        <v>2417.2900000000004</v>
      </c>
      <c r="L11" s="648">
        <v>4985.83</v>
      </c>
      <c r="M11" s="648">
        <v>1011.45</v>
      </c>
      <c r="N11" s="648">
        <v>0.42</v>
      </c>
      <c r="O11" s="648">
        <v>752</v>
      </c>
      <c r="P11" s="677">
        <v>0.27676019187541756</v>
      </c>
      <c r="Q11" s="677">
        <v>0.4437773832809197</v>
      </c>
      <c r="R11" s="677">
        <v>0.04</v>
      </c>
      <c r="S11" s="674">
        <v>0.61312900000000004</v>
      </c>
    </row>
    <row r="12" spans="1:19">
      <c r="A12" s="599">
        <v>6</v>
      </c>
      <c r="B12" s="666" t="s">
        <v>722</v>
      </c>
      <c r="C12" s="650">
        <f t="shared" si="0"/>
        <v>4244290.8899999997</v>
      </c>
      <c r="D12" s="648">
        <v>4163768.05</v>
      </c>
      <c r="E12" s="648">
        <v>36347.24</v>
      </c>
      <c r="F12" s="648">
        <v>10265</v>
      </c>
      <c r="G12" s="648">
        <v>28886.22</v>
      </c>
      <c r="H12" s="648">
        <v>5024.38</v>
      </c>
      <c r="I12" s="650">
        <f t="shared" si="1"/>
        <v>109456.79000000001</v>
      </c>
      <c r="J12" s="648">
        <v>83275.08</v>
      </c>
      <c r="K12" s="648">
        <v>3634.72</v>
      </c>
      <c r="L12" s="648">
        <v>3079.5</v>
      </c>
      <c r="M12" s="648">
        <v>14443.11</v>
      </c>
      <c r="N12" s="648">
        <v>5024.38</v>
      </c>
      <c r="O12" s="648">
        <v>20730</v>
      </c>
      <c r="P12" s="677">
        <v>0.29888617433215869</v>
      </c>
      <c r="Q12" s="677">
        <v>0.37</v>
      </c>
      <c r="R12" s="677">
        <v>0.28000000000000003</v>
      </c>
      <c r="S12" s="674">
        <v>283.79388599999999</v>
      </c>
    </row>
    <row r="13" spans="1:19">
      <c r="A13" s="599">
        <v>7</v>
      </c>
      <c r="B13" s="666" t="s">
        <v>723</v>
      </c>
      <c r="C13" s="650">
        <f t="shared" si="0"/>
        <v>137679144.20000002</v>
      </c>
      <c r="D13" s="648">
        <v>130053533.92999999</v>
      </c>
      <c r="E13" s="648">
        <v>4091257.04</v>
      </c>
      <c r="F13" s="648">
        <v>2000899.44</v>
      </c>
      <c r="G13" s="648">
        <v>1152063.3600000001</v>
      </c>
      <c r="H13" s="648">
        <v>381390.43</v>
      </c>
      <c r="I13" s="650">
        <f t="shared" si="1"/>
        <v>4567888.3599999994</v>
      </c>
      <c r="J13" s="648">
        <v>2601070.69</v>
      </c>
      <c r="K13" s="648">
        <v>409125.70999999996</v>
      </c>
      <c r="L13" s="648">
        <v>600269.83999999985</v>
      </c>
      <c r="M13" s="648">
        <v>576031.69000000006</v>
      </c>
      <c r="N13" s="648">
        <v>381390.43</v>
      </c>
      <c r="O13" s="648">
        <v>21080</v>
      </c>
      <c r="P13" s="677">
        <v>0.21200892035041657</v>
      </c>
      <c r="Q13" s="677">
        <v>0.28896650159449327</v>
      </c>
      <c r="R13" s="677">
        <v>0.21</v>
      </c>
      <c r="S13" s="674">
        <v>42.426042000000002</v>
      </c>
    </row>
    <row r="14" spans="1:19" ht="25.5">
      <c r="A14" s="667">
        <v>7.1</v>
      </c>
      <c r="B14" s="668" t="s">
        <v>724</v>
      </c>
      <c r="C14" s="650">
        <f t="shared" si="0"/>
        <v>24030198.050000001</v>
      </c>
      <c r="D14" s="648">
        <v>22878119.670000002</v>
      </c>
      <c r="E14" s="648">
        <v>510760.19999999995</v>
      </c>
      <c r="F14" s="648">
        <v>449188.07</v>
      </c>
      <c r="G14" s="648">
        <v>178529.78</v>
      </c>
      <c r="H14" s="648">
        <v>13600.33</v>
      </c>
      <c r="I14" s="650">
        <f t="shared" si="1"/>
        <v>746260.07</v>
      </c>
      <c r="J14" s="648">
        <v>457562.39999999997</v>
      </c>
      <c r="K14" s="648">
        <v>51076.03</v>
      </c>
      <c r="L14" s="648">
        <v>134756.42000000001</v>
      </c>
      <c r="M14" s="648">
        <v>89264.89</v>
      </c>
      <c r="N14" s="648">
        <v>13600.33</v>
      </c>
      <c r="O14" s="648">
        <v>700</v>
      </c>
      <c r="P14" s="677">
        <v>0.13973595562115554</v>
      </c>
      <c r="Q14" s="677">
        <v>0.16973595562115554</v>
      </c>
      <c r="R14" s="677">
        <v>0.14000000000000001</v>
      </c>
      <c r="S14" s="674">
        <v>89.423000999999999</v>
      </c>
    </row>
    <row r="15" spans="1:19" ht="25.5">
      <c r="A15" s="667">
        <v>7.2</v>
      </c>
      <c r="B15" s="668" t="s">
        <v>725</v>
      </c>
      <c r="C15" s="650">
        <f t="shared" si="0"/>
        <v>2168109.9199999995</v>
      </c>
      <c r="D15" s="648">
        <v>2100099.2199999997</v>
      </c>
      <c r="E15" s="648">
        <v>46810.38</v>
      </c>
      <c r="F15" s="648">
        <v>20638.77</v>
      </c>
      <c r="G15" s="648">
        <v>561.54999999999995</v>
      </c>
      <c r="H15" s="648">
        <v>0</v>
      </c>
      <c r="I15" s="650">
        <f t="shared" si="1"/>
        <v>53155.439999999995</v>
      </c>
      <c r="J15" s="648">
        <v>42001.99</v>
      </c>
      <c r="K15" s="648">
        <v>4681.04</v>
      </c>
      <c r="L15" s="648">
        <v>6191.6299999999992</v>
      </c>
      <c r="M15" s="648">
        <v>280.77999999999997</v>
      </c>
      <c r="N15" s="648">
        <v>0</v>
      </c>
      <c r="O15" s="648">
        <v>66</v>
      </c>
      <c r="P15" s="677">
        <v>0.14085910652920963</v>
      </c>
      <c r="Q15" s="677">
        <v>0.16465635738831616</v>
      </c>
      <c r="R15" s="677">
        <v>0.15</v>
      </c>
      <c r="S15" s="674">
        <v>99.427897000000002</v>
      </c>
    </row>
    <row r="16" spans="1:19">
      <c r="A16" s="667">
        <v>7.3</v>
      </c>
      <c r="B16" s="668" t="s">
        <v>726</v>
      </c>
      <c r="C16" s="650">
        <f t="shared" si="0"/>
        <v>111480836.22999999</v>
      </c>
      <c r="D16" s="648">
        <v>105075315.04000001</v>
      </c>
      <c r="E16" s="648">
        <v>3533686.46</v>
      </c>
      <c r="F16" s="648">
        <v>1531072.5999999999</v>
      </c>
      <c r="G16" s="648">
        <v>972972.02999999991</v>
      </c>
      <c r="H16" s="648">
        <v>367790.1</v>
      </c>
      <c r="I16" s="650">
        <f t="shared" si="1"/>
        <v>3768472.85</v>
      </c>
      <c r="J16" s="648">
        <v>2101506.2999999998</v>
      </c>
      <c r="K16" s="648">
        <v>353368.64</v>
      </c>
      <c r="L16" s="648">
        <v>459321.79000000004</v>
      </c>
      <c r="M16" s="648">
        <v>486486.01999999996</v>
      </c>
      <c r="N16" s="648">
        <v>367790.1</v>
      </c>
      <c r="O16" s="648">
        <v>20314</v>
      </c>
      <c r="P16" s="677">
        <v>0.23000094955955797</v>
      </c>
      <c r="Q16" s="677">
        <v>0.31321333293674852</v>
      </c>
      <c r="R16" s="677">
        <v>0.23</v>
      </c>
      <c r="S16" s="674">
        <v>31.054148999999999</v>
      </c>
    </row>
    <row r="17" spans="1:19">
      <c r="A17" s="599">
        <v>8</v>
      </c>
      <c r="B17" s="666" t="s">
        <v>727</v>
      </c>
      <c r="C17" s="650">
        <f t="shared" si="0"/>
        <v>0</v>
      </c>
      <c r="D17" s="648">
        <v>0</v>
      </c>
      <c r="E17" s="648">
        <v>0</v>
      </c>
      <c r="F17" s="648">
        <v>0</v>
      </c>
      <c r="G17" s="648">
        <v>0</v>
      </c>
      <c r="H17" s="648">
        <v>0</v>
      </c>
      <c r="I17" s="650">
        <f t="shared" si="1"/>
        <v>0</v>
      </c>
      <c r="J17" s="648">
        <v>0</v>
      </c>
      <c r="K17" s="648">
        <v>0</v>
      </c>
      <c r="L17" s="648">
        <v>0</v>
      </c>
      <c r="M17" s="648">
        <v>0</v>
      </c>
      <c r="N17" s="648">
        <v>0</v>
      </c>
      <c r="O17" s="648">
        <v>0</v>
      </c>
      <c r="P17" s="678"/>
      <c r="Q17" s="677"/>
      <c r="R17" s="678"/>
      <c r="S17" s="674"/>
    </row>
    <row r="18" spans="1:19">
      <c r="A18" s="600">
        <v>9</v>
      </c>
      <c r="B18" s="669" t="s">
        <v>728</v>
      </c>
      <c r="C18" s="650">
        <f t="shared" si="0"/>
        <v>2373367.7599999993</v>
      </c>
      <c r="D18" s="649">
        <v>2145525.7599999998</v>
      </c>
      <c r="E18" s="649">
        <v>172946.59</v>
      </c>
      <c r="F18" s="649">
        <v>32923.69</v>
      </c>
      <c r="G18" s="649">
        <v>12830.26</v>
      </c>
      <c r="H18" s="649">
        <v>9141.4599999999991</v>
      </c>
      <c r="I18" s="650">
        <f t="shared" si="1"/>
        <v>85638.88</v>
      </c>
      <c r="J18" s="649">
        <v>42910.52</v>
      </c>
      <c r="K18" s="649">
        <v>17294.66</v>
      </c>
      <c r="L18" s="649">
        <v>9877.11</v>
      </c>
      <c r="M18" s="649">
        <v>6415.13</v>
      </c>
      <c r="N18" s="649">
        <v>9141.4599999999991</v>
      </c>
      <c r="O18" s="649">
        <v>1080</v>
      </c>
      <c r="P18" s="679">
        <v>0.18236954572526229</v>
      </c>
      <c r="Q18" s="679">
        <v>0.24015550450609649</v>
      </c>
      <c r="R18" s="679">
        <v>0.16</v>
      </c>
      <c r="S18" s="675">
        <v>28.458387999999999</v>
      </c>
    </row>
    <row r="19" spans="1:19">
      <c r="A19" s="599">
        <v>10</v>
      </c>
      <c r="B19" s="670" t="s">
        <v>733</v>
      </c>
      <c r="C19" s="650">
        <f>SUM(C7:C13)+SUM(C17:C18)</f>
        <v>988799906.12000012</v>
      </c>
      <c r="D19" s="650">
        <f>SUM(D7:D13)+SUM(D17:D18)</f>
        <v>903240268.46000004</v>
      </c>
      <c r="E19" s="650">
        <f t="shared" ref="E19:H19" si="2">SUM(E7:E13)+SUM(E17:E18)</f>
        <v>54519775.040000007</v>
      </c>
      <c r="F19" s="650">
        <f t="shared" si="2"/>
        <v>18306836.690000001</v>
      </c>
      <c r="G19" s="650">
        <f t="shared" si="2"/>
        <v>8160076.96</v>
      </c>
      <c r="H19" s="650">
        <f t="shared" si="2"/>
        <v>4572948.97</v>
      </c>
      <c r="I19" s="650">
        <f>SUM(I7:I13)+SUM(I17:I18)</f>
        <v>37674146.280000009</v>
      </c>
      <c r="J19" s="650">
        <f>SUM(J7:J13)+SUM(J17:J18)</f>
        <v>18077130.280000001</v>
      </c>
      <c r="K19" s="650">
        <f t="shared" ref="K19:O19" si="3">SUM(K7:K13)+SUM(K17:K18)</f>
        <v>5451977.5</v>
      </c>
      <c r="L19" s="650">
        <f t="shared" si="3"/>
        <v>5492051.0299999993</v>
      </c>
      <c r="M19" s="650">
        <f t="shared" si="3"/>
        <v>4080038.5100000002</v>
      </c>
      <c r="N19" s="650">
        <f t="shared" si="3"/>
        <v>4572948.96</v>
      </c>
      <c r="O19" s="650">
        <f t="shared" si="3"/>
        <v>502134</v>
      </c>
      <c r="P19" s="673">
        <v>0.17958990427037547</v>
      </c>
      <c r="Q19" s="673">
        <v>0.29361137724674619</v>
      </c>
      <c r="R19" s="673">
        <v>0.20028835752671342</v>
      </c>
      <c r="S19" s="676">
        <v>31.32</v>
      </c>
    </row>
    <row r="20" spans="1:19" ht="25.5">
      <c r="A20" s="667">
        <v>10.1</v>
      </c>
      <c r="B20" s="668" t="s">
        <v>736</v>
      </c>
      <c r="C20" s="648"/>
      <c r="D20" s="648"/>
      <c r="E20" s="648"/>
      <c r="F20" s="648"/>
      <c r="G20" s="648"/>
      <c r="H20" s="648"/>
      <c r="I20" s="648"/>
      <c r="J20" s="648"/>
      <c r="K20" s="648"/>
      <c r="L20" s="648"/>
      <c r="M20" s="648"/>
      <c r="N20" s="648"/>
      <c r="O20" s="648"/>
      <c r="P20" s="671"/>
      <c r="Q20" s="671"/>
      <c r="R20" s="671"/>
      <c r="S20" s="672"/>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7" activePane="bottomRight" state="frozen"/>
      <selection pane="topRight" activeCell="B1" sqref="B1"/>
      <selection pane="bottomLeft" activeCell="A5" sqref="A5"/>
      <selection pane="bottomRight" activeCell="E19" sqref="E19"/>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9" ht="15.75">
      <c r="A1" s="17" t="s">
        <v>188</v>
      </c>
      <c r="B1" s="338" t="str">
        <f>Info!C2</f>
        <v>სს "კრედო ბანკი"</v>
      </c>
    </row>
    <row r="2" spans="1:9" ht="15.75">
      <c r="A2" s="17" t="s">
        <v>189</v>
      </c>
      <c r="B2" s="472">
        <f>'1. key ratios'!B2</f>
        <v>44561</v>
      </c>
    </row>
    <row r="3" spans="1:9" ht="15.75">
      <c r="A3" s="17"/>
    </row>
    <row r="4" spans="1:9" ht="16.5" thickBot="1">
      <c r="A4" s="30" t="s">
        <v>328</v>
      </c>
      <c r="B4" s="69" t="s">
        <v>243</v>
      </c>
      <c r="C4" s="30"/>
      <c r="D4" s="31"/>
      <c r="E4" s="31"/>
      <c r="F4" s="32"/>
      <c r="G4" s="32"/>
      <c r="H4" s="33" t="s">
        <v>93</v>
      </c>
    </row>
    <row r="5" spans="1:9" ht="15.75">
      <c r="A5" s="34"/>
      <c r="B5" s="35"/>
      <c r="C5" s="701" t="s">
        <v>194</v>
      </c>
      <c r="D5" s="702"/>
      <c r="E5" s="703"/>
      <c r="F5" s="701" t="s">
        <v>195</v>
      </c>
      <c r="G5" s="702"/>
      <c r="H5" s="704"/>
    </row>
    <row r="6" spans="1:9" ht="15.75">
      <c r="A6" s="36" t="s">
        <v>26</v>
      </c>
      <c r="B6" s="37" t="s">
        <v>153</v>
      </c>
      <c r="C6" s="38" t="s">
        <v>27</v>
      </c>
      <c r="D6" s="38" t="s">
        <v>94</v>
      </c>
      <c r="E6" s="38" t="s">
        <v>68</v>
      </c>
      <c r="F6" s="38" t="s">
        <v>27</v>
      </c>
      <c r="G6" s="38" t="s">
        <v>94</v>
      </c>
      <c r="H6" s="39" t="s">
        <v>68</v>
      </c>
    </row>
    <row r="7" spans="1:9" ht="15.75">
      <c r="A7" s="36">
        <v>1</v>
      </c>
      <c r="B7" s="40" t="s">
        <v>154</v>
      </c>
      <c r="C7" s="230">
        <v>64538233.75</v>
      </c>
      <c r="D7" s="230">
        <v>27478969.570000004</v>
      </c>
      <c r="E7" s="231">
        <f>C7+D7</f>
        <v>92017203.320000008</v>
      </c>
      <c r="F7" s="232">
        <v>30473193.150000002</v>
      </c>
      <c r="G7" s="233">
        <v>19461765.079999998</v>
      </c>
      <c r="H7" s="234">
        <f>F7+G7</f>
        <v>49934958.230000004</v>
      </c>
    </row>
    <row r="8" spans="1:9" ht="15.75">
      <c r="A8" s="36">
        <v>2</v>
      </c>
      <c r="B8" s="40" t="s">
        <v>155</v>
      </c>
      <c r="C8" s="230">
        <v>40377311.130000003</v>
      </c>
      <c r="D8" s="230">
        <v>19420040.77</v>
      </c>
      <c r="E8" s="231">
        <f t="shared" ref="E8:E20" si="0">C8+D8</f>
        <v>59797351.900000006</v>
      </c>
      <c r="F8" s="232">
        <v>53432824.700000003</v>
      </c>
      <c r="G8" s="233">
        <v>58426000.800000004</v>
      </c>
      <c r="H8" s="234">
        <f t="shared" ref="H8:H40" si="1">F8+G8</f>
        <v>111858825.5</v>
      </c>
    </row>
    <row r="9" spans="1:9" ht="15.75">
      <c r="A9" s="36">
        <v>3</v>
      </c>
      <c r="B9" s="40" t="s">
        <v>156</v>
      </c>
      <c r="C9" s="230">
        <v>1039152.09</v>
      </c>
      <c r="D9" s="230">
        <v>51404304.909999996</v>
      </c>
      <c r="E9" s="231">
        <f t="shared" si="0"/>
        <v>52443457</v>
      </c>
      <c r="F9" s="232">
        <v>1016741.17</v>
      </c>
      <c r="G9" s="233">
        <v>53184840.589999996</v>
      </c>
      <c r="H9" s="234">
        <f t="shared" si="1"/>
        <v>54201581.759999998</v>
      </c>
    </row>
    <row r="10" spans="1:9" ht="15.75">
      <c r="A10" s="36">
        <v>4</v>
      </c>
      <c r="B10" s="40" t="s">
        <v>185</v>
      </c>
      <c r="C10" s="230">
        <v>0</v>
      </c>
      <c r="D10" s="230">
        <v>0</v>
      </c>
      <c r="E10" s="231">
        <f t="shared" si="0"/>
        <v>0</v>
      </c>
      <c r="F10" s="232">
        <v>0</v>
      </c>
      <c r="G10" s="233">
        <v>0</v>
      </c>
      <c r="H10" s="234">
        <f t="shared" si="1"/>
        <v>0</v>
      </c>
    </row>
    <row r="11" spans="1:9" ht="15.75">
      <c r="A11" s="36">
        <v>5</v>
      </c>
      <c r="B11" s="40" t="s">
        <v>157</v>
      </c>
      <c r="C11" s="230">
        <v>52158677.649999999</v>
      </c>
      <c r="D11" s="230">
        <v>0</v>
      </c>
      <c r="E11" s="231">
        <f t="shared" si="0"/>
        <v>52158677.649999999</v>
      </c>
      <c r="F11" s="232">
        <v>42801067.269999996</v>
      </c>
      <c r="G11" s="233">
        <v>0</v>
      </c>
      <c r="H11" s="234">
        <f t="shared" si="1"/>
        <v>42801067.269999996</v>
      </c>
    </row>
    <row r="12" spans="1:9" ht="15.75">
      <c r="A12" s="36">
        <v>6.1</v>
      </c>
      <c r="B12" s="41" t="s">
        <v>158</v>
      </c>
      <c r="C12" s="230">
        <v>1356607537.0600004</v>
      </c>
      <c r="D12" s="230">
        <v>136182461.31310001</v>
      </c>
      <c r="E12" s="231">
        <f t="shared" si="0"/>
        <v>1492789998.3731005</v>
      </c>
      <c r="F12" s="232">
        <v>963154982.31000006</v>
      </c>
      <c r="G12" s="233">
        <v>102114490.5563</v>
      </c>
      <c r="H12" s="234">
        <f t="shared" si="1"/>
        <v>1065269472.8663001</v>
      </c>
    </row>
    <row r="13" spans="1:9" ht="15.75">
      <c r="A13" s="36">
        <v>6.2</v>
      </c>
      <c r="B13" s="41" t="s">
        <v>159</v>
      </c>
      <c r="C13" s="230">
        <v>-54594295.840800002</v>
      </c>
      <c r="D13" s="230">
        <v>-9580976.8979000002</v>
      </c>
      <c r="E13" s="231">
        <f t="shared" si="0"/>
        <v>-64175272.738700002</v>
      </c>
      <c r="F13" s="232">
        <v>-34049178.269999996</v>
      </c>
      <c r="G13" s="233">
        <v>-4394187.67</v>
      </c>
      <c r="H13" s="234">
        <f t="shared" si="1"/>
        <v>-38443365.939999998</v>
      </c>
    </row>
    <row r="14" spans="1:9" ht="15.75">
      <c r="A14" s="36">
        <v>6</v>
      </c>
      <c r="B14" s="40" t="s">
        <v>160</v>
      </c>
      <c r="C14" s="231">
        <f>C12+C13</f>
        <v>1302013241.2192004</v>
      </c>
      <c r="D14" s="231">
        <f>D12+D13</f>
        <v>126601484.41520001</v>
      </c>
      <c r="E14" s="231">
        <f t="shared" si="0"/>
        <v>1428614725.6344004</v>
      </c>
      <c r="F14" s="231">
        <f>F12+F13</f>
        <v>929105804.04000008</v>
      </c>
      <c r="G14" s="231">
        <f>G12+G13</f>
        <v>97720302.886299998</v>
      </c>
      <c r="H14" s="234">
        <f t="shared" si="1"/>
        <v>1026826106.9263</v>
      </c>
      <c r="I14" s="610"/>
    </row>
    <row r="15" spans="1:9" ht="15.75">
      <c r="A15" s="36">
        <v>7</v>
      </c>
      <c r="B15" s="40" t="s">
        <v>161</v>
      </c>
      <c r="C15" s="230">
        <v>24107899.889999993</v>
      </c>
      <c r="D15" s="230">
        <v>1353919.0999999996</v>
      </c>
      <c r="E15" s="231">
        <f t="shared" si="0"/>
        <v>25461818.989999995</v>
      </c>
      <c r="F15" s="232">
        <v>24200501.689999998</v>
      </c>
      <c r="G15" s="233">
        <v>1687688.9666559997</v>
      </c>
      <c r="H15" s="234">
        <f t="shared" si="1"/>
        <v>25888190.656655997</v>
      </c>
    </row>
    <row r="16" spans="1:9" ht="15.75">
      <c r="A16" s="36">
        <v>8</v>
      </c>
      <c r="B16" s="40" t="s">
        <v>162</v>
      </c>
      <c r="C16" s="230">
        <v>1744358.73</v>
      </c>
      <c r="D16" s="230">
        <v>0</v>
      </c>
      <c r="E16" s="231">
        <f t="shared" si="0"/>
        <v>1744358.73</v>
      </c>
      <c r="F16" s="232">
        <v>1113654.5</v>
      </c>
      <c r="G16" s="233">
        <v>0</v>
      </c>
      <c r="H16" s="234">
        <f t="shared" si="1"/>
        <v>1113654.5</v>
      </c>
    </row>
    <row r="17" spans="1:8" ht="15.75">
      <c r="A17" s="36">
        <v>9</v>
      </c>
      <c r="B17" s="40" t="s">
        <v>163</v>
      </c>
      <c r="C17" s="230">
        <v>0</v>
      </c>
      <c r="D17" s="230">
        <v>0</v>
      </c>
      <c r="E17" s="231">
        <f t="shared" si="0"/>
        <v>0</v>
      </c>
      <c r="F17" s="232">
        <v>0</v>
      </c>
      <c r="G17" s="233">
        <v>0</v>
      </c>
      <c r="H17" s="234">
        <f t="shared" si="1"/>
        <v>0</v>
      </c>
    </row>
    <row r="18" spans="1:8" ht="15.75">
      <c r="A18" s="36">
        <v>10</v>
      </c>
      <c r="B18" s="40" t="s">
        <v>164</v>
      </c>
      <c r="C18" s="230">
        <v>36653888.449999996</v>
      </c>
      <c r="D18" s="230">
        <v>0</v>
      </c>
      <c r="E18" s="231">
        <f t="shared" si="0"/>
        <v>36653888.449999996</v>
      </c>
      <c r="F18" s="232">
        <v>29008892.930000007</v>
      </c>
      <c r="G18" s="233">
        <v>0</v>
      </c>
      <c r="H18" s="234">
        <f t="shared" si="1"/>
        <v>29008892.930000007</v>
      </c>
    </row>
    <row r="19" spans="1:8" ht="15.75">
      <c r="A19" s="36">
        <v>11</v>
      </c>
      <c r="B19" s="40" t="s">
        <v>165</v>
      </c>
      <c r="C19" s="230">
        <v>35744581.490000002</v>
      </c>
      <c r="D19" s="230">
        <v>3203220.7099999995</v>
      </c>
      <c r="E19" s="231">
        <f t="shared" si="0"/>
        <v>38947802.200000003</v>
      </c>
      <c r="F19" s="232">
        <v>45957399.259999998</v>
      </c>
      <c r="G19" s="233">
        <v>7433603.2300000004</v>
      </c>
      <c r="H19" s="234">
        <f t="shared" si="1"/>
        <v>53391002.489999995</v>
      </c>
    </row>
    <row r="20" spans="1:8" ht="15.75">
      <c r="A20" s="36">
        <v>12</v>
      </c>
      <c r="B20" s="42" t="s">
        <v>166</v>
      </c>
      <c r="C20" s="231">
        <f>SUM(C7:C11)+SUM(C14:C19)</f>
        <v>1558377344.3992004</v>
      </c>
      <c r="D20" s="231">
        <f>SUM(D7:D11)+SUM(D14:D19)</f>
        <v>229461939.4752</v>
      </c>
      <c r="E20" s="231">
        <f t="shared" si="0"/>
        <v>1787839283.8744004</v>
      </c>
      <c r="F20" s="231">
        <f>SUM(F7:F11)+SUM(F14:F19)</f>
        <v>1157110078.71</v>
      </c>
      <c r="G20" s="231">
        <f>SUM(G7:G11)+SUM(G14:G19)</f>
        <v>237914201.55295599</v>
      </c>
      <c r="H20" s="234">
        <f t="shared" si="1"/>
        <v>1395024280.2629561</v>
      </c>
    </row>
    <row r="21" spans="1:8" ht="15.75">
      <c r="A21" s="36"/>
      <c r="B21" s="37" t="s">
        <v>183</v>
      </c>
      <c r="C21" s="235"/>
      <c r="D21" s="235"/>
      <c r="E21" s="235"/>
      <c r="F21" s="236"/>
      <c r="G21" s="237"/>
      <c r="H21" s="238"/>
    </row>
    <row r="22" spans="1:8" ht="15.75">
      <c r="A22" s="36">
        <v>13</v>
      </c>
      <c r="B22" s="40" t="s">
        <v>167</v>
      </c>
      <c r="C22" s="230">
        <v>0</v>
      </c>
      <c r="D22" s="230">
        <v>0</v>
      </c>
      <c r="E22" s="231">
        <f>C22+D22</f>
        <v>0</v>
      </c>
      <c r="F22" s="232">
        <v>0</v>
      </c>
      <c r="G22" s="233">
        <v>0</v>
      </c>
      <c r="H22" s="234">
        <f t="shared" si="1"/>
        <v>0</v>
      </c>
    </row>
    <row r="23" spans="1:8" ht="15.75">
      <c r="A23" s="36">
        <v>14</v>
      </c>
      <c r="B23" s="40" t="s">
        <v>168</v>
      </c>
      <c r="C23" s="230">
        <v>71003260.319999993</v>
      </c>
      <c r="D23" s="230">
        <v>25082353.437599998</v>
      </c>
      <c r="E23" s="231">
        <f t="shared" ref="E23:E40" si="2">C23+D23</f>
        <v>96085613.757599995</v>
      </c>
      <c r="F23" s="232">
        <v>49483460.629999995</v>
      </c>
      <c r="G23" s="233">
        <v>13424050.089999998</v>
      </c>
      <c r="H23" s="234">
        <f t="shared" si="1"/>
        <v>62907510.719999991</v>
      </c>
    </row>
    <row r="24" spans="1:8" ht="15.75">
      <c r="A24" s="36">
        <v>15</v>
      </c>
      <c r="B24" s="40" t="s">
        <v>169</v>
      </c>
      <c r="C24" s="230">
        <v>11825672.313000001</v>
      </c>
      <c r="D24" s="230">
        <v>17397148.2951</v>
      </c>
      <c r="E24" s="231">
        <f t="shared" si="2"/>
        <v>29222820.608100001</v>
      </c>
      <c r="F24" s="232">
        <v>8492604.870000001</v>
      </c>
      <c r="G24" s="233">
        <v>11765911.710000003</v>
      </c>
      <c r="H24" s="234">
        <f t="shared" si="1"/>
        <v>20258516.580000006</v>
      </c>
    </row>
    <row r="25" spans="1:8" ht="15.75">
      <c r="A25" s="36">
        <v>16</v>
      </c>
      <c r="B25" s="40" t="s">
        <v>170</v>
      </c>
      <c r="C25" s="230">
        <v>265378852.94</v>
      </c>
      <c r="D25" s="230">
        <v>52168277.877099998</v>
      </c>
      <c r="E25" s="231">
        <f t="shared" si="2"/>
        <v>317547130.81709999</v>
      </c>
      <c r="F25" s="232">
        <v>61541573.780000001</v>
      </c>
      <c r="G25" s="233">
        <v>18201079.759999998</v>
      </c>
      <c r="H25" s="234">
        <f t="shared" si="1"/>
        <v>79742653.539999992</v>
      </c>
    </row>
    <row r="26" spans="1:8" ht="15.75">
      <c r="A26" s="36">
        <v>17</v>
      </c>
      <c r="B26" s="40" t="s">
        <v>171</v>
      </c>
      <c r="C26" s="235"/>
      <c r="D26" s="235"/>
      <c r="E26" s="231">
        <f t="shared" si="2"/>
        <v>0</v>
      </c>
      <c r="F26" s="236"/>
      <c r="G26" s="237"/>
      <c r="H26" s="234">
        <f t="shared" si="1"/>
        <v>0</v>
      </c>
    </row>
    <row r="27" spans="1:8" ht="15.75">
      <c r="A27" s="36">
        <v>18</v>
      </c>
      <c r="B27" s="40" t="s">
        <v>172</v>
      </c>
      <c r="C27" s="230">
        <v>820961937.93476188</v>
      </c>
      <c r="D27" s="230">
        <v>134319269.98864001</v>
      </c>
      <c r="E27" s="231">
        <f t="shared" si="2"/>
        <v>955281207.92340183</v>
      </c>
      <c r="F27" s="232">
        <v>666465763.26650786</v>
      </c>
      <c r="G27" s="233">
        <v>264544373.57773992</v>
      </c>
      <c r="H27" s="234">
        <f t="shared" si="1"/>
        <v>931010136.84424782</v>
      </c>
    </row>
    <row r="28" spans="1:8" ht="15.75">
      <c r="A28" s="36">
        <v>19</v>
      </c>
      <c r="B28" s="40" t="s">
        <v>173</v>
      </c>
      <c r="C28" s="230">
        <v>24799955.800000001</v>
      </c>
      <c r="D28" s="230">
        <v>1230465.23</v>
      </c>
      <c r="E28" s="231">
        <f t="shared" si="2"/>
        <v>26030421.030000001</v>
      </c>
      <c r="F28" s="232">
        <v>17255024.170000002</v>
      </c>
      <c r="G28" s="233">
        <v>1880962.9899999998</v>
      </c>
      <c r="H28" s="234">
        <f t="shared" si="1"/>
        <v>19135987.16</v>
      </c>
    </row>
    <row r="29" spans="1:8" ht="15.75">
      <c r="A29" s="36">
        <v>20</v>
      </c>
      <c r="B29" s="40" t="s">
        <v>95</v>
      </c>
      <c r="C29" s="230">
        <v>75778261.270000011</v>
      </c>
      <c r="D29" s="230">
        <v>5983806.120000001</v>
      </c>
      <c r="E29" s="231">
        <f t="shared" si="2"/>
        <v>81762067.390000015</v>
      </c>
      <c r="F29" s="232">
        <v>83009396.030000016</v>
      </c>
      <c r="G29" s="233">
        <v>10367088.189999999</v>
      </c>
      <c r="H29" s="234">
        <f t="shared" si="1"/>
        <v>93376484.220000014</v>
      </c>
    </row>
    <row r="30" spans="1:8" ht="15.75">
      <c r="A30" s="36">
        <v>21</v>
      </c>
      <c r="B30" s="40" t="s">
        <v>174</v>
      </c>
      <c r="C30" s="230">
        <v>61847730</v>
      </c>
      <c r="D30" s="230">
        <v>15488000</v>
      </c>
      <c r="E30" s="231">
        <f t="shared" si="2"/>
        <v>77335730</v>
      </c>
      <c r="F30" s="232">
        <v>35336780</v>
      </c>
      <c r="G30" s="233">
        <v>0</v>
      </c>
      <c r="H30" s="234">
        <f t="shared" si="1"/>
        <v>35336780</v>
      </c>
    </row>
    <row r="31" spans="1:8" ht="15.75">
      <c r="A31" s="36">
        <v>22</v>
      </c>
      <c r="B31" s="42" t="s">
        <v>175</v>
      </c>
      <c r="C31" s="231">
        <f>SUM(C22:C30)</f>
        <v>1331595670.5777619</v>
      </c>
      <c r="D31" s="231">
        <f>SUM(D22:D30)</f>
        <v>251669320.94843999</v>
      </c>
      <c r="E31" s="231">
        <f>C31+D31</f>
        <v>1583264991.526202</v>
      </c>
      <c r="F31" s="231">
        <f>SUM(F22:F30)</f>
        <v>921584602.74650776</v>
      </c>
      <c r="G31" s="231">
        <f>SUM(G22:G30)</f>
        <v>320183466.3177399</v>
      </c>
      <c r="H31" s="234">
        <f t="shared" si="1"/>
        <v>1241768069.0642476</v>
      </c>
    </row>
    <row r="32" spans="1:8" ht="15.75">
      <c r="A32" s="36"/>
      <c r="B32" s="37" t="s">
        <v>184</v>
      </c>
      <c r="C32" s="235"/>
      <c r="D32" s="235"/>
      <c r="E32" s="230"/>
      <c r="F32" s="236"/>
      <c r="G32" s="237"/>
      <c r="H32" s="238"/>
    </row>
    <row r="33" spans="1:9" ht="15.75">
      <c r="A33" s="36">
        <v>23</v>
      </c>
      <c r="B33" s="40" t="s">
        <v>176</v>
      </c>
      <c r="C33" s="230">
        <v>5176780</v>
      </c>
      <c r="D33" s="235"/>
      <c r="E33" s="231">
        <f t="shared" si="2"/>
        <v>5176780</v>
      </c>
      <c r="F33" s="232">
        <v>4400000</v>
      </c>
      <c r="G33" s="237"/>
      <c r="H33" s="234">
        <f t="shared" si="1"/>
        <v>4400000</v>
      </c>
    </row>
    <row r="34" spans="1:9" ht="15.75">
      <c r="A34" s="36">
        <v>24</v>
      </c>
      <c r="B34" s="40" t="s">
        <v>177</v>
      </c>
      <c r="C34" s="230">
        <v>0</v>
      </c>
      <c r="D34" s="235"/>
      <c r="E34" s="231">
        <f t="shared" si="2"/>
        <v>0</v>
      </c>
      <c r="F34" s="232">
        <v>0</v>
      </c>
      <c r="G34" s="237"/>
      <c r="H34" s="234">
        <f t="shared" si="1"/>
        <v>0</v>
      </c>
    </row>
    <row r="35" spans="1:9" ht="15.75">
      <c r="A35" s="36">
        <v>25</v>
      </c>
      <c r="B35" s="41" t="s">
        <v>178</v>
      </c>
      <c r="C35" s="230">
        <v>0</v>
      </c>
      <c r="D35" s="235"/>
      <c r="E35" s="231">
        <f t="shared" si="2"/>
        <v>0</v>
      </c>
      <c r="F35" s="232">
        <v>0</v>
      </c>
      <c r="G35" s="237"/>
      <c r="H35" s="234">
        <f t="shared" si="1"/>
        <v>0</v>
      </c>
    </row>
    <row r="36" spans="1:9" ht="15.75">
      <c r="A36" s="36">
        <v>26</v>
      </c>
      <c r="B36" s="40" t="s">
        <v>179</v>
      </c>
      <c r="C36" s="230">
        <v>35312039.400000006</v>
      </c>
      <c r="D36" s="235"/>
      <c r="E36" s="231">
        <f t="shared" si="2"/>
        <v>35312039.400000006</v>
      </c>
      <c r="F36" s="232">
        <v>0</v>
      </c>
      <c r="G36" s="237"/>
      <c r="H36" s="234">
        <f t="shared" si="1"/>
        <v>0</v>
      </c>
    </row>
    <row r="37" spans="1:9" ht="15.75">
      <c r="A37" s="36">
        <v>27</v>
      </c>
      <c r="B37" s="40" t="s">
        <v>180</v>
      </c>
      <c r="C37" s="230">
        <v>0</v>
      </c>
      <c r="D37" s="235"/>
      <c r="E37" s="231">
        <f t="shared" si="2"/>
        <v>0</v>
      </c>
      <c r="F37" s="232">
        <v>0</v>
      </c>
      <c r="G37" s="237"/>
      <c r="H37" s="234">
        <f t="shared" si="1"/>
        <v>0</v>
      </c>
    </row>
    <row r="38" spans="1:9" ht="15.75">
      <c r="A38" s="36">
        <v>28</v>
      </c>
      <c r="B38" s="40" t="s">
        <v>181</v>
      </c>
      <c r="C38" s="230">
        <v>163689014.45999995</v>
      </c>
      <c r="D38" s="235"/>
      <c r="E38" s="231">
        <f t="shared" si="2"/>
        <v>163689014.45999995</v>
      </c>
      <c r="F38" s="232">
        <v>148459752.15999964</v>
      </c>
      <c r="G38" s="237"/>
      <c r="H38" s="234">
        <f t="shared" si="1"/>
        <v>148459752.15999964</v>
      </c>
    </row>
    <row r="39" spans="1:9" ht="15.75">
      <c r="A39" s="36">
        <v>29</v>
      </c>
      <c r="B39" s="40" t="s">
        <v>196</v>
      </c>
      <c r="C39" s="230">
        <v>396459</v>
      </c>
      <c r="D39" s="235"/>
      <c r="E39" s="231">
        <f t="shared" si="2"/>
        <v>396459</v>
      </c>
      <c r="F39" s="232">
        <v>396459</v>
      </c>
      <c r="G39" s="237"/>
      <c r="H39" s="234">
        <f t="shared" si="1"/>
        <v>396459</v>
      </c>
    </row>
    <row r="40" spans="1:9" ht="15.75">
      <c r="A40" s="36">
        <v>30</v>
      </c>
      <c r="B40" s="42" t="s">
        <v>182</v>
      </c>
      <c r="C40" s="230">
        <f>SUM(C33:C39)</f>
        <v>204574292.85999995</v>
      </c>
      <c r="D40" s="235"/>
      <c r="E40" s="231">
        <f t="shared" si="2"/>
        <v>204574292.85999995</v>
      </c>
      <c r="F40" s="230">
        <f>SUM(F33:F39)</f>
        <v>153256211.15999964</v>
      </c>
      <c r="G40" s="237"/>
      <c r="H40" s="234">
        <f t="shared" si="1"/>
        <v>153256211.15999964</v>
      </c>
      <c r="I40" s="610"/>
    </row>
    <row r="41" spans="1:9" ht="16.5" thickBot="1">
      <c r="A41" s="43">
        <v>31</v>
      </c>
      <c r="B41" s="44" t="s">
        <v>197</v>
      </c>
      <c r="C41" s="239">
        <f>C31+C40</f>
        <v>1536169963.4377618</v>
      </c>
      <c r="D41" s="239">
        <f>D31+D40</f>
        <v>251669320.94843999</v>
      </c>
      <c r="E41" s="239">
        <f>C41+D41</f>
        <v>1787839284.3862019</v>
      </c>
      <c r="F41" s="239">
        <f>F31+F40</f>
        <v>1074840813.9065075</v>
      </c>
      <c r="G41" s="239">
        <f>G31+G40</f>
        <v>320183466.3177399</v>
      </c>
      <c r="H41" s="240">
        <f>F41+G41</f>
        <v>1395024280.2242475</v>
      </c>
    </row>
    <row r="43" spans="1:9">
      <c r="B43" s="45"/>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5" activePane="bottomRight" state="frozen"/>
      <selection pane="topRight" activeCell="B1" sqref="B1"/>
      <selection pane="bottomLeft" activeCell="A6" sqref="A6"/>
      <selection pane="bottomRight" activeCell="C66" sqref="C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188</v>
      </c>
      <c r="B1" s="16" t="str">
        <f>Info!C2</f>
        <v>სს "კრედო ბანკი"</v>
      </c>
      <c r="C1" s="16"/>
    </row>
    <row r="2" spans="1:8" ht="15.75">
      <c r="A2" s="17" t="s">
        <v>189</v>
      </c>
      <c r="B2" s="472">
        <f>'1. key ratios'!B2</f>
        <v>44561</v>
      </c>
      <c r="C2" s="28"/>
      <c r="D2" s="18"/>
      <c r="E2" s="18"/>
      <c r="F2" s="18"/>
      <c r="G2" s="18"/>
      <c r="H2" s="18"/>
    </row>
    <row r="3" spans="1:8" ht="15.75">
      <c r="A3" s="17"/>
      <c r="B3" s="16"/>
      <c r="C3" s="28"/>
      <c r="D3" s="18"/>
      <c r="E3" s="18"/>
      <c r="F3" s="18"/>
      <c r="G3" s="18"/>
      <c r="H3" s="18"/>
    </row>
    <row r="4" spans="1:8" ht="16.5" thickBot="1">
      <c r="A4" s="46" t="s">
        <v>329</v>
      </c>
      <c r="B4" s="29" t="s">
        <v>222</v>
      </c>
      <c r="C4" s="32"/>
      <c r="D4" s="32"/>
      <c r="E4" s="32"/>
      <c r="F4" s="46"/>
      <c r="G4" s="46"/>
      <c r="H4" s="47" t="s">
        <v>93</v>
      </c>
    </row>
    <row r="5" spans="1:8" ht="15.75">
      <c r="A5" s="121"/>
      <c r="B5" s="122"/>
      <c r="C5" s="701" t="s">
        <v>194</v>
      </c>
      <c r="D5" s="702"/>
      <c r="E5" s="703"/>
      <c r="F5" s="701" t="s">
        <v>195</v>
      </c>
      <c r="G5" s="702"/>
      <c r="H5" s="704"/>
    </row>
    <row r="6" spans="1:8">
      <c r="A6" s="123" t="s">
        <v>26</v>
      </c>
      <c r="B6" s="48"/>
      <c r="C6" s="49" t="s">
        <v>27</v>
      </c>
      <c r="D6" s="49" t="s">
        <v>96</v>
      </c>
      <c r="E6" s="49" t="s">
        <v>68</v>
      </c>
      <c r="F6" s="49" t="s">
        <v>27</v>
      </c>
      <c r="G6" s="49" t="s">
        <v>96</v>
      </c>
      <c r="H6" s="124" t="s">
        <v>68</v>
      </c>
    </row>
    <row r="7" spans="1:8">
      <c r="A7" s="125"/>
      <c r="B7" s="51" t="s">
        <v>92</v>
      </c>
      <c r="C7" s="52"/>
      <c r="D7" s="52"/>
      <c r="E7" s="52"/>
      <c r="F7" s="52"/>
      <c r="G7" s="52"/>
      <c r="H7" s="126"/>
    </row>
    <row r="8" spans="1:8" ht="15.75">
      <c r="A8" s="125">
        <v>1</v>
      </c>
      <c r="B8" s="53" t="s">
        <v>97</v>
      </c>
      <c r="C8" s="241">
        <v>6231953.9699999997</v>
      </c>
      <c r="D8" s="241">
        <v>-267388.40999999997</v>
      </c>
      <c r="E8" s="231">
        <f>C8+D8</f>
        <v>5964565.5599999996</v>
      </c>
      <c r="F8" s="241">
        <v>2248293.33</v>
      </c>
      <c r="G8" s="241">
        <v>-52085.05</v>
      </c>
      <c r="H8" s="242">
        <f>F8+G8</f>
        <v>2196208.2800000003</v>
      </c>
    </row>
    <row r="9" spans="1:8" ht="15.75">
      <c r="A9" s="125">
        <v>2</v>
      </c>
      <c r="B9" s="53" t="s">
        <v>98</v>
      </c>
      <c r="C9" s="243">
        <f>SUM(C10:C18)</f>
        <v>239953715.94999999</v>
      </c>
      <c r="D9" s="243">
        <f>SUM(D10:D18)</f>
        <v>7623007.2699999996</v>
      </c>
      <c r="E9" s="231">
        <f t="shared" ref="E9:E67" si="0">C9+D9</f>
        <v>247576723.22</v>
      </c>
      <c r="F9" s="243">
        <f>SUM(F10:F18)</f>
        <v>176432567.27999997</v>
      </c>
      <c r="G9" s="243">
        <f>SUM(G10:G18)</f>
        <v>6933677.4400000013</v>
      </c>
      <c r="H9" s="242">
        <f t="shared" ref="H9:H67" si="1">F9+G9</f>
        <v>183366244.71999997</v>
      </c>
    </row>
    <row r="10" spans="1:8" ht="15.75">
      <c r="A10" s="125">
        <v>2.1</v>
      </c>
      <c r="B10" s="54" t="s">
        <v>99</v>
      </c>
      <c r="C10" s="241">
        <v>0</v>
      </c>
      <c r="D10" s="241">
        <v>0</v>
      </c>
      <c r="E10" s="231">
        <f t="shared" si="0"/>
        <v>0</v>
      </c>
      <c r="F10" s="241">
        <v>0</v>
      </c>
      <c r="G10" s="241">
        <v>0</v>
      </c>
      <c r="H10" s="242">
        <f t="shared" si="1"/>
        <v>0</v>
      </c>
    </row>
    <row r="11" spans="1:8" ht="15.75">
      <c r="A11" s="125">
        <v>2.2000000000000002</v>
      </c>
      <c r="B11" s="54" t="s">
        <v>100</v>
      </c>
      <c r="C11" s="241">
        <v>1331703.3799999999</v>
      </c>
      <c r="D11" s="241">
        <v>1419178.69</v>
      </c>
      <c r="E11" s="231">
        <f t="shared" si="0"/>
        <v>2750882.07</v>
      </c>
      <c r="F11" s="241">
        <v>512163.7</v>
      </c>
      <c r="G11" s="241">
        <v>1196149.5</v>
      </c>
      <c r="H11" s="242">
        <f t="shared" si="1"/>
        <v>1708313.2</v>
      </c>
    </row>
    <row r="12" spans="1:8" ht="15.75">
      <c r="A12" s="125">
        <v>2.2999999999999998</v>
      </c>
      <c r="B12" s="54" t="s">
        <v>101</v>
      </c>
      <c r="C12" s="241">
        <v>0</v>
      </c>
      <c r="D12" s="241">
        <v>0</v>
      </c>
      <c r="E12" s="231">
        <f t="shared" si="0"/>
        <v>0</v>
      </c>
      <c r="F12" s="241">
        <v>0</v>
      </c>
      <c r="G12" s="241">
        <v>0</v>
      </c>
      <c r="H12" s="242">
        <f t="shared" si="1"/>
        <v>0</v>
      </c>
    </row>
    <row r="13" spans="1:8" ht="15.75">
      <c r="A13" s="125">
        <v>2.4</v>
      </c>
      <c r="B13" s="54" t="s">
        <v>102</v>
      </c>
      <c r="C13" s="241">
        <v>146973.73000000001</v>
      </c>
      <c r="D13" s="241">
        <v>23078.52</v>
      </c>
      <c r="E13" s="231">
        <f t="shared" si="0"/>
        <v>170052.25</v>
      </c>
      <c r="F13" s="241">
        <v>29477.99</v>
      </c>
      <c r="G13" s="241">
        <v>32571.07</v>
      </c>
      <c r="H13" s="242">
        <f t="shared" si="1"/>
        <v>62049.06</v>
      </c>
    </row>
    <row r="14" spans="1:8" ht="15.75">
      <c r="A14" s="125">
        <v>2.5</v>
      </c>
      <c r="B14" s="54" t="s">
        <v>103</v>
      </c>
      <c r="C14" s="241">
        <v>90944.89</v>
      </c>
      <c r="D14" s="241">
        <v>201941.08</v>
      </c>
      <c r="E14" s="231">
        <f t="shared" si="0"/>
        <v>292885.96999999997</v>
      </c>
      <c r="F14" s="241">
        <v>25210.13</v>
      </c>
      <c r="G14" s="241">
        <v>199934.63</v>
      </c>
      <c r="H14" s="242">
        <f t="shared" si="1"/>
        <v>225144.76</v>
      </c>
    </row>
    <row r="15" spans="1:8" ht="15.75">
      <c r="A15" s="125">
        <v>2.6</v>
      </c>
      <c r="B15" s="54" t="s">
        <v>104</v>
      </c>
      <c r="C15" s="241">
        <v>311829.27</v>
      </c>
      <c r="D15" s="241">
        <v>196841.43</v>
      </c>
      <c r="E15" s="231">
        <f t="shared" si="0"/>
        <v>508670.7</v>
      </c>
      <c r="F15" s="241">
        <v>185081.33</v>
      </c>
      <c r="G15" s="241">
        <v>96408.6</v>
      </c>
      <c r="H15" s="242">
        <f t="shared" si="1"/>
        <v>281489.93</v>
      </c>
    </row>
    <row r="16" spans="1:8" ht="15.75">
      <c r="A16" s="125">
        <v>2.7</v>
      </c>
      <c r="B16" s="54" t="s">
        <v>105</v>
      </c>
      <c r="C16" s="241">
        <v>98871.52</v>
      </c>
      <c r="D16" s="241">
        <v>131804.10999999999</v>
      </c>
      <c r="E16" s="231">
        <f t="shared" si="0"/>
        <v>230675.63</v>
      </c>
      <c r="F16" s="241">
        <v>61814.82</v>
      </c>
      <c r="G16" s="241">
        <v>125816.09</v>
      </c>
      <c r="H16" s="242">
        <f t="shared" si="1"/>
        <v>187630.91</v>
      </c>
    </row>
    <row r="17" spans="1:8" ht="15.75">
      <c r="A17" s="125">
        <v>2.8</v>
      </c>
      <c r="B17" s="54" t="s">
        <v>106</v>
      </c>
      <c r="C17" s="241">
        <v>237874778.06999999</v>
      </c>
      <c r="D17" s="241">
        <v>5637903.0399999991</v>
      </c>
      <c r="E17" s="231">
        <f t="shared" si="0"/>
        <v>243512681.10999998</v>
      </c>
      <c r="F17" s="241">
        <v>175530622.70999998</v>
      </c>
      <c r="G17" s="241">
        <v>5237153.6100000003</v>
      </c>
      <c r="H17" s="242">
        <f t="shared" si="1"/>
        <v>180767776.31999999</v>
      </c>
    </row>
    <row r="18" spans="1:8" ht="15.75">
      <c r="A18" s="125">
        <v>2.9</v>
      </c>
      <c r="B18" s="54" t="s">
        <v>107</v>
      </c>
      <c r="C18" s="241">
        <v>98615.090000000011</v>
      </c>
      <c r="D18" s="241">
        <v>12260.400000000001</v>
      </c>
      <c r="E18" s="231">
        <f t="shared" si="0"/>
        <v>110875.49000000002</v>
      </c>
      <c r="F18" s="241">
        <v>88196.6</v>
      </c>
      <c r="G18" s="241">
        <v>45643.94</v>
      </c>
      <c r="H18" s="242">
        <f t="shared" si="1"/>
        <v>133840.54</v>
      </c>
    </row>
    <row r="19" spans="1:8" ht="15.75">
      <c r="A19" s="125">
        <v>3</v>
      </c>
      <c r="B19" s="53" t="s">
        <v>108</v>
      </c>
      <c r="C19" s="241">
        <v>15560506.049999999</v>
      </c>
      <c r="D19" s="241">
        <v>196214.37000000002</v>
      </c>
      <c r="E19" s="231">
        <f t="shared" si="0"/>
        <v>15756720.419999998</v>
      </c>
      <c r="F19" s="241">
        <v>6448717.3600000003</v>
      </c>
      <c r="G19" s="241">
        <v>170533.34</v>
      </c>
      <c r="H19" s="242">
        <f t="shared" si="1"/>
        <v>6619250.7000000002</v>
      </c>
    </row>
    <row r="20" spans="1:8" ht="15.75">
      <c r="A20" s="125">
        <v>4</v>
      </c>
      <c r="B20" s="53" t="s">
        <v>109</v>
      </c>
      <c r="C20" s="241">
        <v>4659452.3</v>
      </c>
      <c r="D20" s="241">
        <v>0</v>
      </c>
      <c r="E20" s="231">
        <f t="shared" si="0"/>
        <v>4659452.3</v>
      </c>
      <c r="F20" s="241">
        <v>3125962.8</v>
      </c>
      <c r="G20" s="241">
        <v>0</v>
      </c>
      <c r="H20" s="242">
        <f t="shared" si="1"/>
        <v>3125962.8</v>
      </c>
    </row>
    <row r="21" spans="1:8" ht="15.75">
      <c r="A21" s="125">
        <v>5</v>
      </c>
      <c r="B21" s="53" t="s">
        <v>110</v>
      </c>
      <c r="C21" s="241">
        <v>0</v>
      </c>
      <c r="D21" s="241">
        <v>0</v>
      </c>
      <c r="E21" s="231">
        <f t="shared" si="0"/>
        <v>0</v>
      </c>
      <c r="F21" s="241">
        <v>0</v>
      </c>
      <c r="G21" s="241">
        <v>0</v>
      </c>
      <c r="H21" s="242">
        <f>F21+G21</f>
        <v>0</v>
      </c>
    </row>
    <row r="22" spans="1:8" ht="15.75">
      <c r="A22" s="125">
        <v>6</v>
      </c>
      <c r="B22" s="55" t="s">
        <v>111</v>
      </c>
      <c r="C22" s="243">
        <f>C8+C9+C19+C20+C21</f>
        <v>266405628.27000001</v>
      </c>
      <c r="D22" s="243">
        <f>D8+D9+D19+D20+D21</f>
        <v>7551833.2299999995</v>
      </c>
      <c r="E22" s="231">
        <f>C22+D22</f>
        <v>273957461.5</v>
      </c>
      <c r="F22" s="243">
        <f>F8+F9+F19+F20+F21</f>
        <v>188255540.77000001</v>
      </c>
      <c r="G22" s="243">
        <f>G8+G9+G19+G20+G21</f>
        <v>7052125.7300000014</v>
      </c>
      <c r="H22" s="242">
        <f>F22+G22</f>
        <v>195307666.5</v>
      </c>
    </row>
    <row r="23" spans="1:8" ht="15.75">
      <c r="A23" s="125"/>
      <c r="B23" s="51" t="s">
        <v>90</v>
      </c>
      <c r="C23" s="241"/>
      <c r="D23" s="241"/>
      <c r="E23" s="230"/>
      <c r="F23" s="241"/>
      <c r="G23" s="241"/>
      <c r="H23" s="244"/>
    </row>
    <row r="24" spans="1:8" ht="15.75">
      <c r="A24" s="125">
        <v>7</v>
      </c>
      <c r="B24" s="53" t="s">
        <v>112</v>
      </c>
      <c r="C24" s="241">
        <v>1376345.6</v>
      </c>
      <c r="D24" s="241">
        <v>37489.299999999996</v>
      </c>
      <c r="E24" s="231">
        <f t="shared" si="0"/>
        <v>1413834.9000000001</v>
      </c>
      <c r="F24" s="241">
        <v>488875.93</v>
      </c>
      <c r="G24" s="241">
        <v>53242.61</v>
      </c>
      <c r="H24" s="242">
        <f t="shared" si="1"/>
        <v>542118.54</v>
      </c>
    </row>
    <row r="25" spans="1:8" ht="15.75">
      <c r="A25" s="125">
        <v>8</v>
      </c>
      <c r="B25" s="53" t="s">
        <v>113</v>
      </c>
      <c r="C25" s="241">
        <v>16905418.879999999</v>
      </c>
      <c r="D25" s="241">
        <v>379568.12</v>
      </c>
      <c r="E25" s="231">
        <f t="shared" si="0"/>
        <v>17284987</v>
      </c>
      <c r="F25" s="241">
        <v>5046996.4400000004</v>
      </c>
      <c r="G25" s="241">
        <v>305751.24</v>
      </c>
      <c r="H25" s="242">
        <f t="shared" si="1"/>
        <v>5352747.6800000006</v>
      </c>
    </row>
    <row r="26" spans="1:8" ht="15.75">
      <c r="A26" s="125">
        <v>9</v>
      </c>
      <c r="B26" s="53" t="s">
        <v>114</v>
      </c>
      <c r="C26" s="241">
        <v>613643.84</v>
      </c>
      <c r="D26" s="241">
        <v>3524.9</v>
      </c>
      <c r="E26" s="231">
        <f t="shared" si="0"/>
        <v>617168.74</v>
      </c>
      <c r="F26" s="241">
        <v>543134.24</v>
      </c>
      <c r="G26" s="241">
        <v>80265.58</v>
      </c>
      <c r="H26" s="242">
        <f t="shared" si="1"/>
        <v>623399.81999999995</v>
      </c>
    </row>
    <row r="27" spans="1:8" ht="15.75">
      <c r="A27" s="125">
        <v>10</v>
      </c>
      <c r="B27" s="53" t="s">
        <v>115</v>
      </c>
      <c r="C27" s="241">
        <v>0</v>
      </c>
      <c r="D27" s="241">
        <v>0</v>
      </c>
      <c r="E27" s="231">
        <f t="shared" si="0"/>
        <v>0</v>
      </c>
      <c r="F27" s="241">
        <v>0</v>
      </c>
      <c r="G27" s="241">
        <v>0</v>
      </c>
      <c r="H27" s="242">
        <f t="shared" si="1"/>
        <v>0</v>
      </c>
    </row>
    <row r="28" spans="1:8" ht="15.75">
      <c r="A28" s="125">
        <v>11</v>
      </c>
      <c r="B28" s="53" t="s">
        <v>116</v>
      </c>
      <c r="C28" s="241">
        <v>111778243.34</v>
      </c>
      <c r="D28" s="241">
        <v>9297176.3600000013</v>
      </c>
      <c r="E28" s="231">
        <f t="shared" si="0"/>
        <v>121075419.7</v>
      </c>
      <c r="F28" s="241">
        <v>86646278.939999998</v>
      </c>
      <c r="G28" s="241">
        <v>9328135.4299999997</v>
      </c>
      <c r="H28" s="242">
        <f t="shared" si="1"/>
        <v>95974414.370000005</v>
      </c>
    </row>
    <row r="29" spans="1:8" ht="15.75">
      <c r="A29" s="125">
        <v>12</v>
      </c>
      <c r="B29" s="53" t="s">
        <v>117</v>
      </c>
      <c r="C29" s="241">
        <v>0</v>
      </c>
      <c r="D29" s="241">
        <v>0</v>
      </c>
      <c r="E29" s="231">
        <f t="shared" si="0"/>
        <v>0</v>
      </c>
      <c r="F29" s="241">
        <v>0</v>
      </c>
      <c r="G29" s="241">
        <v>0</v>
      </c>
      <c r="H29" s="242">
        <f t="shared" si="1"/>
        <v>0</v>
      </c>
    </row>
    <row r="30" spans="1:8" ht="15.75">
      <c r="A30" s="125">
        <v>13</v>
      </c>
      <c r="B30" s="56" t="s">
        <v>118</v>
      </c>
      <c r="C30" s="243">
        <f>SUM(C24:C29)</f>
        <v>130673651.66</v>
      </c>
      <c r="D30" s="243">
        <f>SUM(D24:D29)</f>
        <v>9717758.6800000016</v>
      </c>
      <c r="E30" s="231">
        <f t="shared" si="0"/>
        <v>140391410.34</v>
      </c>
      <c r="F30" s="243">
        <f>SUM(F24:F29)</f>
        <v>92725285.549999997</v>
      </c>
      <c r="G30" s="243">
        <f>SUM(G24:G29)</f>
        <v>9767394.8599999994</v>
      </c>
      <c r="H30" s="242">
        <f t="shared" si="1"/>
        <v>102492680.41</v>
      </c>
    </row>
    <row r="31" spans="1:8" ht="15.75">
      <c r="A31" s="125">
        <v>14</v>
      </c>
      <c r="B31" s="56" t="s">
        <v>119</v>
      </c>
      <c r="C31" s="243">
        <f>C22-C30</f>
        <v>135731976.61000001</v>
      </c>
      <c r="D31" s="243">
        <f>D22-D30</f>
        <v>-2165925.450000002</v>
      </c>
      <c r="E31" s="231">
        <f t="shared" si="0"/>
        <v>133566051.16000001</v>
      </c>
      <c r="F31" s="243">
        <f>F22-F30</f>
        <v>95530255.220000014</v>
      </c>
      <c r="G31" s="243">
        <f>G22-G30</f>
        <v>-2715269.129999998</v>
      </c>
      <c r="H31" s="242">
        <f t="shared" si="1"/>
        <v>92814986.090000018</v>
      </c>
    </row>
    <row r="32" spans="1:8">
      <c r="A32" s="125"/>
      <c r="B32" s="51"/>
      <c r="C32" s="245"/>
      <c r="D32" s="245"/>
      <c r="E32" s="245"/>
      <c r="F32" s="245"/>
      <c r="G32" s="245"/>
      <c r="H32" s="246"/>
    </row>
    <row r="33" spans="1:8" ht="15.75">
      <c r="A33" s="125"/>
      <c r="B33" s="51" t="s">
        <v>120</v>
      </c>
      <c r="C33" s="241"/>
      <c r="D33" s="241"/>
      <c r="E33" s="230"/>
      <c r="F33" s="241"/>
      <c r="G33" s="241"/>
      <c r="H33" s="244"/>
    </row>
    <row r="34" spans="1:8" ht="15.75">
      <c r="A34" s="125">
        <v>15</v>
      </c>
      <c r="B34" s="50" t="s">
        <v>91</v>
      </c>
      <c r="C34" s="247">
        <f>C35-C36</f>
        <v>70865899.439999983</v>
      </c>
      <c r="D34" s="247">
        <f>D35-D36</f>
        <v>-1435289.9899999993</v>
      </c>
      <c r="E34" s="231">
        <f t="shared" si="0"/>
        <v>69430609.449999988</v>
      </c>
      <c r="F34" s="247">
        <f>F35-F36</f>
        <v>53378583.04999999</v>
      </c>
      <c r="G34" s="247">
        <f>G35-G36</f>
        <v>-809843.61000000057</v>
      </c>
      <c r="H34" s="242">
        <f t="shared" si="1"/>
        <v>52568739.43999999</v>
      </c>
    </row>
    <row r="35" spans="1:8" ht="15.75">
      <c r="A35" s="125">
        <v>15.1</v>
      </c>
      <c r="B35" s="54" t="s">
        <v>121</v>
      </c>
      <c r="C35" s="241">
        <v>82040364.959999979</v>
      </c>
      <c r="D35" s="241">
        <v>2236813.5700000003</v>
      </c>
      <c r="E35" s="231">
        <f t="shared" si="0"/>
        <v>84277178.529999971</v>
      </c>
      <c r="F35" s="241">
        <v>60644921.039999992</v>
      </c>
      <c r="G35" s="241">
        <v>1962763.4599999997</v>
      </c>
      <c r="H35" s="242">
        <f t="shared" si="1"/>
        <v>62607684.499999993</v>
      </c>
    </row>
    <row r="36" spans="1:8" ht="15.75">
      <c r="A36" s="125">
        <v>15.2</v>
      </c>
      <c r="B36" s="54" t="s">
        <v>122</v>
      </c>
      <c r="C36" s="241">
        <v>11174465.52</v>
      </c>
      <c r="D36" s="241">
        <v>3672103.5599999996</v>
      </c>
      <c r="E36" s="231">
        <f t="shared" si="0"/>
        <v>14846569.079999998</v>
      </c>
      <c r="F36" s="241">
        <v>7266337.9900000002</v>
      </c>
      <c r="G36" s="241">
        <v>2772607.0700000003</v>
      </c>
      <c r="H36" s="242">
        <f t="shared" si="1"/>
        <v>10038945.060000001</v>
      </c>
    </row>
    <row r="37" spans="1:8" ht="15.75">
      <c r="A37" s="125">
        <v>16</v>
      </c>
      <c r="B37" s="53" t="s">
        <v>123</v>
      </c>
      <c r="C37" s="241">
        <v>0</v>
      </c>
      <c r="D37" s="241">
        <v>0</v>
      </c>
      <c r="E37" s="231">
        <f t="shared" si="0"/>
        <v>0</v>
      </c>
      <c r="F37" s="241">
        <v>0</v>
      </c>
      <c r="G37" s="241">
        <v>0</v>
      </c>
      <c r="H37" s="242">
        <f t="shared" si="1"/>
        <v>0</v>
      </c>
    </row>
    <row r="38" spans="1:8" ht="15.75">
      <c r="A38" s="125">
        <v>17</v>
      </c>
      <c r="B38" s="53" t="s">
        <v>124</v>
      </c>
      <c r="C38" s="241">
        <v>0</v>
      </c>
      <c r="D38" s="241">
        <v>0</v>
      </c>
      <c r="E38" s="231">
        <f t="shared" si="0"/>
        <v>0</v>
      </c>
      <c r="F38" s="241">
        <v>0</v>
      </c>
      <c r="G38" s="241">
        <v>0</v>
      </c>
      <c r="H38" s="242">
        <f t="shared" si="1"/>
        <v>0</v>
      </c>
    </row>
    <row r="39" spans="1:8" ht="15.75">
      <c r="A39" s="125">
        <v>18</v>
      </c>
      <c r="B39" s="53" t="s">
        <v>125</v>
      </c>
      <c r="C39" s="241">
        <v>0</v>
      </c>
      <c r="D39" s="241">
        <v>0</v>
      </c>
      <c r="E39" s="231">
        <f t="shared" si="0"/>
        <v>0</v>
      </c>
      <c r="F39" s="241">
        <v>0</v>
      </c>
      <c r="G39" s="241">
        <v>0</v>
      </c>
      <c r="H39" s="242">
        <f t="shared" si="1"/>
        <v>0</v>
      </c>
    </row>
    <row r="40" spans="1:8" ht="15.75">
      <c r="A40" s="125">
        <v>19</v>
      </c>
      <c r="B40" s="53" t="s">
        <v>126</v>
      </c>
      <c r="C40" s="241">
        <v>-3311605.1499999994</v>
      </c>
      <c r="D40" s="241"/>
      <c r="E40" s="231">
        <f t="shared" si="0"/>
        <v>-3311605.1499999994</v>
      </c>
      <c r="F40" s="241">
        <v>-1753620.7400000012</v>
      </c>
      <c r="G40" s="241"/>
      <c r="H40" s="242">
        <f t="shared" si="1"/>
        <v>-1753620.7400000012</v>
      </c>
    </row>
    <row r="41" spans="1:8" ht="15.75">
      <c r="A41" s="125">
        <v>20</v>
      </c>
      <c r="B41" s="53" t="s">
        <v>127</v>
      </c>
      <c r="C41" s="241">
        <v>210102.09999993443</v>
      </c>
      <c r="D41" s="241"/>
      <c r="E41" s="231">
        <f t="shared" si="0"/>
        <v>210102.09999993443</v>
      </c>
      <c r="F41" s="241">
        <v>-1141329.830000367</v>
      </c>
      <c r="G41" s="241"/>
      <c r="H41" s="242">
        <f t="shared" si="1"/>
        <v>-1141329.830000367</v>
      </c>
    </row>
    <row r="42" spans="1:8" ht="15.75">
      <c r="A42" s="125">
        <v>21</v>
      </c>
      <c r="B42" s="53" t="s">
        <v>128</v>
      </c>
      <c r="C42" s="241">
        <v>10519.429999999993</v>
      </c>
      <c r="D42" s="241">
        <v>0</v>
      </c>
      <c r="E42" s="231">
        <f t="shared" si="0"/>
        <v>10519.429999999993</v>
      </c>
      <c r="F42" s="241">
        <v>483.79000000000815</v>
      </c>
      <c r="G42" s="241">
        <v>0</v>
      </c>
      <c r="H42" s="242">
        <f t="shared" si="1"/>
        <v>483.79000000000815</v>
      </c>
    </row>
    <row r="43" spans="1:8" ht="15.75">
      <c r="A43" s="125">
        <v>22</v>
      </c>
      <c r="B43" s="53" t="s">
        <v>129</v>
      </c>
      <c r="C43" s="241">
        <v>28015.39</v>
      </c>
      <c r="D43" s="241">
        <v>441.45</v>
      </c>
      <c r="E43" s="231">
        <f t="shared" si="0"/>
        <v>28456.84</v>
      </c>
      <c r="F43" s="241">
        <v>327513.98000000004</v>
      </c>
      <c r="G43" s="241">
        <v>140.13</v>
      </c>
      <c r="H43" s="242">
        <f t="shared" si="1"/>
        <v>327654.11000000004</v>
      </c>
    </row>
    <row r="44" spans="1:8" ht="15.75">
      <c r="A44" s="125">
        <v>23</v>
      </c>
      <c r="B44" s="53" t="s">
        <v>130</v>
      </c>
      <c r="C44" s="241">
        <v>1505071.2500000002</v>
      </c>
      <c r="D44" s="241">
        <v>0</v>
      </c>
      <c r="E44" s="231">
        <f t="shared" si="0"/>
        <v>1505071.2500000002</v>
      </c>
      <c r="F44" s="241">
        <v>672545.33</v>
      </c>
      <c r="G44" s="241">
        <v>0</v>
      </c>
      <c r="H44" s="242">
        <f t="shared" si="1"/>
        <v>672545.33</v>
      </c>
    </row>
    <row r="45" spans="1:8" ht="15.75">
      <c r="A45" s="125">
        <v>24</v>
      </c>
      <c r="B45" s="56" t="s">
        <v>131</v>
      </c>
      <c r="C45" s="243">
        <f>C34+C37+C38+C39+C40+C41+C42+C43+C44</f>
        <v>69308002.459999919</v>
      </c>
      <c r="D45" s="243">
        <f>D34+D37+D38+D39+D40+D41+D42+D43+D44</f>
        <v>-1434848.5399999993</v>
      </c>
      <c r="E45" s="231">
        <f t="shared" si="0"/>
        <v>67873153.919999912</v>
      </c>
      <c r="F45" s="243">
        <f>F34+F37+F38+F39+F40+F41+F42+F43+F44</f>
        <v>51484175.579999611</v>
      </c>
      <c r="G45" s="243">
        <f>G34+G37+G38+G39+G40+G41+G42+G43+G44</f>
        <v>-809703.48000000056</v>
      </c>
      <c r="H45" s="242">
        <f t="shared" si="1"/>
        <v>50674472.099999607</v>
      </c>
    </row>
    <row r="46" spans="1:8">
      <c r="A46" s="125"/>
      <c r="B46" s="51" t="s">
        <v>132</v>
      </c>
      <c r="C46" s="241"/>
      <c r="D46" s="241"/>
      <c r="E46" s="241"/>
      <c r="F46" s="241"/>
      <c r="G46" s="241"/>
      <c r="H46" s="248"/>
    </row>
    <row r="47" spans="1:8" ht="15.75">
      <c r="A47" s="125">
        <v>25</v>
      </c>
      <c r="B47" s="53" t="s">
        <v>133</v>
      </c>
      <c r="C47" s="241">
        <v>2787197.45</v>
      </c>
      <c r="D47" s="241">
        <v>249693.34000000003</v>
      </c>
      <c r="E47" s="231">
        <f t="shared" si="0"/>
        <v>3036890.79</v>
      </c>
      <c r="F47" s="241">
        <v>1505535.0199999998</v>
      </c>
      <c r="G47" s="241">
        <v>194773.38</v>
      </c>
      <c r="H47" s="242">
        <f t="shared" si="1"/>
        <v>1700308.4</v>
      </c>
    </row>
    <row r="48" spans="1:8" ht="15.75">
      <c r="A48" s="125">
        <v>26</v>
      </c>
      <c r="B48" s="53" t="s">
        <v>134</v>
      </c>
      <c r="C48" s="241">
        <v>3825919.1400000011</v>
      </c>
      <c r="D48" s="241">
        <v>580150.05999999994</v>
      </c>
      <c r="E48" s="231">
        <f t="shared" si="0"/>
        <v>4406069.2000000011</v>
      </c>
      <c r="F48" s="241">
        <v>3972062.8600000003</v>
      </c>
      <c r="G48" s="241">
        <v>191989.27000000002</v>
      </c>
      <c r="H48" s="242">
        <f t="shared" si="1"/>
        <v>4164052.1300000004</v>
      </c>
    </row>
    <row r="49" spans="1:9" ht="15.75">
      <c r="A49" s="125">
        <v>27</v>
      </c>
      <c r="B49" s="53" t="s">
        <v>135</v>
      </c>
      <c r="C49" s="241">
        <v>90920741.539999992</v>
      </c>
      <c r="D49" s="241"/>
      <c r="E49" s="231">
        <f t="shared" si="0"/>
        <v>90920741.539999992</v>
      </c>
      <c r="F49" s="241">
        <v>73221961.590000004</v>
      </c>
      <c r="G49" s="241"/>
      <c r="H49" s="242">
        <f t="shared" si="1"/>
        <v>73221961.590000004</v>
      </c>
    </row>
    <row r="50" spans="1:9" ht="15.75">
      <c r="A50" s="125">
        <v>28</v>
      </c>
      <c r="B50" s="53" t="s">
        <v>270</v>
      </c>
      <c r="C50" s="241">
        <v>2095821.2200000002</v>
      </c>
      <c r="D50" s="241"/>
      <c r="E50" s="231">
        <f t="shared" si="0"/>
        <v>2095821.2200000002</v>
      </c>
      <c r="F50" s="241">
        <v>694099.7</v>
      </c>
      <c r="G50" s="241"/>
      <c r="H50" s="242">
        <f t="shared" si="1"/>
        <v>694099.7</v>
      </c>
    </row>
    <row r="51" spans="1:9" ht="15.75">
      <c r="A51" s="125">
        <v>29</v>
      </c>
      <c r="B51" s="53" t="s">
        <v>136</v>
      </c>
      <c r="C51" s="241">
        <v>14791183.880000001</v>
      </c>
      <c r="D51" s="241"/>
      <c r="E51" s="231">
        <f t="shared" si="0"/>
        <v>14791183.880000001</v>
      </c>
      <c r="F51" s="241">
        <v>11916041.57</v>
      </c>
      <c r="G51" s="241"/>
      <c r="H51" s="242">
        <f t="shared" si="1"/>
        <v>11916041.57</v>
      </c>
    </row>
    <row r="52" spans="1:9" ht="15.75">
      <c r="A52" s="125">
        <v>30</v>
      </c>
      <c r="B52" s="53" t="s">
        <v>137</v>
      </c>
      <c r="C52" s="241">
        <v>18293269.370000001</v>
      </c>
      <c r="D52" s="241">
        <v>918235.14</v>
      </c>
      <c r="E52" s="231">
        <f t="shared" si="0"/>
        <v>19211504.510000002</v>
      </c>
      <c r="F52" s="241">
        <v>12329797.07</v>
      </c>
      <c r="G52" s="241">
        <v>144442.01999999999</v>
      </c>
      <c r="H52" s="242">
        <f t="shared" si="1"/>
        <v>12474239.09</v>
      </c>
    </row>
    <row r="53" spans="1:9" ht="15.75">
      <c r="A53" s="125">
        <v>31</v>
      </c>
      <c r="B53" s="56" t="s">
        <v>138</v>
      </c>
      <c r="C53" s="243">
        <f>C47+C48+C49+C50+C51+C52</f>
        <v>132714132.59999999</v>
      </c>
      <c r="D53" s="243">
        <f>D47+D48+D49+D50+D51+D52</f>
        <v>1748078.54</v>
      </c>
      <c r="E53" s="231">
        <f t="shared" si="0"/>
        <v>134462211.13999999</v>
      </c>
      <c r="F53" s="243">
        <f>F47+F48+F49+F50+F51+F52</f>
        <v>103639497.81</v>
      </c>
      <c r="G53" s="243">
        <f>G47+G48+G49+G50+G51+G52</f>
        <v>531204.67000000004</v>
      </c>
      <c r="H53" s="242">
        <f t="shared" si="1"/>
        <v>104170702.48</v>
      </c>
    </row>
    <row r="54" spans="1:9" ht="15.75">
      <c r="A54" s="125">
        <v>32</v>
      </c>
      <c r="B54" s="56" t="s">
        <v>139</v>
      </c>
      <c r="C54" s="243">
        <f>C45-C53</f>
        <v>-63406130.140000075</v>
      </c>
      <c r="D54" s="243">
        <f>D45-D53</f>
        <v>-3182927.0799999991</v>
      </c>
      <c r="E54" s="231">
        <f t="shared" si="0"/>
        <v>-66589057.220000073</v>
      </c>
      <c r="F54" s="243">
        <f>F45-F53</f>
        <v>-52155322.230000392</v>
      </c>
      <c r="G54" s="243">
        <f>G45-G53</f>
        <v>-1340908.1500000006</v>
      </c>
      <c r="H54" s="242">
        <f t="shared" si="1"/>
        <v>-53496230.38000039</v>
      </c>
    </row>
    <row r="55" spans="1:9">
      <c r="A55" s="125"/>
      <c r="B55" s="51"/>
      <c r="C55" s="245"/>
      <c r="D55" s="245"/>
      <c r="E55" s="245"/>
      <c r="F55" s="245"/>
      <c r="G55" s="245"/>
      <c r="H55" s="246"/>
    </row>
    <row r="56" spans="1:9" ht="15.75">
      <c r="A56" s="125">
        <v>33</v>
      </c>
      <c r="B56" s="56" t="s">
        <v>140</v>
      </c>
      <c r="C56" s="243">
        <f>C31+C54</f>
        <v>72325846.469999939</v>
      </c>
      <c r="D56" s="243">
        <f>D31+D54</f>
        <v>-5348852.5300000012</v>
      </c>
      <c r="E56" s="231">
        <f t="shared" si="0"/>
        <v>66976993.939999938</v>
      </c>
      <c r="F56" s="243">
        <f>F31+F54</f>
        <v>43374932.989999622</v>
      </c>
      <c r="G56" s="243">
        <f>G31+G54</f>
        <v>-4056177.2799999984</v>
      </c>
      <c r="H56" s="242">
        <f t="shared" si="1"/>
        <v>39318755.709999621</v>
      </c>
    </row>
    <row r="57" spans="1:9">
      <c r="A57" s="125"/>
      <c r="B57" s="51"/>
      <c r="C57" s="245"/>
      <c r="D57" s="245"/>
      <c r="E57" s="245"/>
      <c r="F57" s="245"/>
      <c r="G57" s="245"/>
      <c r="H57" s="246"/>
    </row>
    <row r="58" spans="1:9" ht="15.75">
      <c r="A58" s="125">
        <v>34</v>
      </c>
      <c r="B58" s="53" t="s">
        <v>141</v>
      </c>
      <c r="C58" s="241">
        <v>33433644.660000004</v>
      </c>
      <c r="D58" s="241"/>
      <c r="E58" s="231">
        <f t="shared" si="0"/>
        <v>33433644.660000004</v>
      </c>
      <c r="F58" s="241">
        <v>22406271.210000001</v>
      </c>
      <c r="G58" s="241">
        <v>0</v>
      </c>
      <c r="H58" s="242">
        <f t="shared" si="1"/>
        <v>22406271.210000001</v>
      </c>
    </row>
    <row r="59" spans="1:9" s="204" customFormat="1" ht="15.75">
      <c r="A59" s="125">
        <v>35</v>
      </c>
      <c r="B59" s="50" t="s">
        <v>142</v>
      </c>
      <c r="C59" s="249"/>
      <c r="D59" s="249"/>
      <c r="E59" s="250">
        <f t="shared" si="0"/>
        <v>0</v>
      </c>
      <c r="F59" s="251"/>
      <c r="G59" s="251">
        <v>0</v>
      </c>
      <c r="H59" s="252">
        <f t="shared" si="1"/>
        <v>0</v>
      </c>
      <c r="I59" s="203"/>
    </row>
    <row r="60" spans="1:9" ht="15.75">
      <c r="A60" s="125">
        <v>36</v>
      </c>
      <c r="B60" s="53" t="s">
        <v>143</v>
      </c>
      <c r="C60" s="241">
        <v>916205.97</v>
      </c>
      <c r="D60" s="241"/>
      <c r="E60" s="231">
        <f t="shared" si="0"/>
        <v>916205.97</v>
      </c>
      <c r="F60" s="241">
        <v>595673.59999999998</v>
      </c>
      <c r="G60" s="241">
        <v>0</v>
      </c>
      <c r="H60" s="242">
        <f t="shared" si="1"/>
        <v>595673.59999999998</v>
      </c>
    </row>
    <row r="61" spans="1:9" ht="15.75">
      <c r="A61" s="125">
        <v>37</v>
      </c>
      <c r="B61" s="56" t="s">
        <v>144</v>
      </c>
      <c r="C61" s="243">
        <f>C58+C59+C60</f>
        <v>34349850.630000003</v>
      </c>
      <c r="D61" s="243">
        <f>D58+D59+D60</f>
        <v>0</v>
      </c>
      <c r="E61" s="231">
        <f t="shared" si="0"/>
        <v>34349850.630000003</v>
      </c>
      <c r="F61" s="243">
        <f>F58+F59+F60</f>
        <v>23001944.810000002</v>
      </c>
      <c r="G61" s="243">
        <f>G58+G59+G60</f>
        <v>0</v>
      </c>
      <c r="H61" s="242">
        <f t="shared" si="1"/>
        <v>23001944.810000002</v>
      </c>
    </row>
    <row r="62" spans="1:9">
      <c r="A62" s="125"/>
      <c r="B62" s="57"/>
      <c r="C62" s="241"/>
      <c r="D62" s="241"/>
      <c r="E62" s="241"/>
      <c r="F62" s="241"/>
      <c r="G62" s="241"/>
      <c r="H62" s="248"/>
    </row>
    <row r="63" spans="1:9" ht="15.75">
      <c r="A63" s="125">
        <v>38</v>
      </c>
      <c r="B63" s="58" t="s">
        <v>271</v>
      </c>
      <c r="C63" s="243">
        <f>C56-C61</f>
        <v>37975995.839999937</v>
      </c>
      <c r="D63" s="243">
        <f>D56-D61</f>
        <v>-5348852.5300000012</v>
      </c>
      <c r="E63" s="231">
        <f t="shared" si="0"/>
        <v>32627143.309999935</v>
      </c>
      <c r="F63" s="243">
        <f>F56-F61</f>
        <v>20372988.17999962</v>
      </c>
      <c r="G63" s="243">
        <f>G56-G61</f>
        <v>-4056177.2799999984</v>
      </c>
      <c r="H63" s="242">
        <f t="shared" si="1"/>
        <v>16316810.899999622</v>
      </c>
    </row>
    <row r="64" spans="1:9" ht="15.75">
      <c r="A64" s="123">
        <v>39</v>
      </c>
      <c r="B64" s="53" t="s">
        <v>145</v>
      </c>
      <c r="C64" s="253">
        <v>5264622.6300000008</v>
      </c>
      <c r="D64" s="253"/>
      <c r="E64" s="231">
        <f t="shared" si="0"/>
        <v>5264622.6300000008</v>
      </c>
      <c r="F64" s="253">
        <v>2321305.4499999997</v>
      </c>
      <c r="G64" s="253"/>
      <c r="H64" s="242">
        <f t="shared" si="1"/>
        <v>2321305.4499999997</v>
      </c>
    </row>
    <row r="65" spans="1:8" ht="15.75">
      <c r="A65" s="125">
        <v>40</v>
      </c>
      <c r="B65" s="56" t="s">
        <v>146</v>
      </c>
      <c r="C65" s="243">
        <f>C63-C64</f>
        <v>32711373.209999934</v>
      </c>
      <c r="D65" s="243">
        <f>D63-D64</f>
        <v>-5348852.5300000012</v>
      </c>
      <c r="E65" s="231">
        <f t="shared" si="0"/>
        <v>27362520.679999933</v>
      </c>
      <c r="F65" s="243">
        <f>F63-F64</f>
        <v>18051682.72999962</v>
      </c>
      <c r="G65" s="243">
        <f>G63-G64</f>
        <v>-4056177.2799999984</v>
      </c>
      <c r="H65" s="242">
        <f t="shared" si="1"/>
        <v>13995505.449999623</v>
      </c>
    </row>
    <row r="66" spans="1:8" ht="15.75">
      <c r="A66" s="123">
        <v>41</v>
      </c>
      <c r="B66" s="53" t="s">
        <v>147</v>
      </c>
      <c r="C66" s="253">
        <v>-14158.42</v>
      </c>
      <c r="D66" s="253"/>
      <c r="E66" s="231">
        <f t="shared" si="0"/>
        <v>-14158.42</v>
      </c>
      <c r="F66" s="253">
        <v>-44891.75</v>
      </c>
      <c r="G66" s="253"/>
      <c r="H66" s="242">
        <f t="shared" si="1"/>
        <v>-44891.75</v>
      </c>
    </row>
    <row r="67" spans="1:8" ht="16.5" thickBot="1">
      <c r="A67" s="127">
        <v>42</v>
      </c>
      <c r="B67" s="128" t="s">
        <v>148</v>
      </c>
      <c r="C67" s="254">
        <f>C65+C66</f>
        <v>32697214.789999932</v>
      </c>
      <c r="D67" s="254">
        <f>D65+D66</f>
        <v>-5348852.5300000012</v>
      </c>
      <c r="E67" s="239">
        <f t="shared" si="0"/>
        <v>27348362.259999931</v>
      </c>
      <c r="F67" s="254">
        <f>F65+F66</f>
        <v>18006790.97999962</v>
      </c>
      <c r="G67" s="254">
        <f>G65+G66</f>
        <v>-4056177.2799999984</v>
      </c>
      <c r="H67" s="255">
        <f t="shared" si="1"/>
        <v>13950613.699999623</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3" zoomScaleNormal="100" workbookViewId="0">
      <selection activeCell="C43" sqref="C43:D44"/>
    </sheetView>
  </sheetViews>
  <sheetFormatPr defaultRowHeight="15"/>
  <cols>
    <col min="1" max="1" width="9.5703125" bestFit="1" customWidth="1"/>
    <col min="2" max="2" width="72.28515625" customWidth="1"/>
    <col min="3" max="8" width="12.7109375" customWidth="1"/>
  </cols>
  <sheetData>
    <row r="1" spans="1:8">
      <c r="A1" s="2" t="s">
        <v>188</v>
      </c>
      <c r="B1" t="str">
        <f>Info!C2</f>
        <v>სს "კრედო ბანკი"</v>
      </c>
    </row>
    <row r="2" spans="1:8">
      <c r="A2" s="2" t="s">
        <v>189</v>
      </c>
      <c r="B2" s="472">
        <f>'1. key ratios'!B2</f>
        <v>44561</v>
      </c>
    </row>
    <row r="3" spans="1:8">
      <c r="A3" s="2"/>
    </row>
    <row r="4" spans="1:8" ht="16.5" thickBot="1">
      <c r="A4" s="2" t="s">
        <v>330</v>
      </c>
      <c r="B4" s="2"/>
      <c r="C4" s="213"/>
      <c r="D4" s="213"/>
      <c r="E4" s="213"/>
      <c r="F4" s="214"/>
      <c r="G4" s="214"/>
      <c r="H4" s="215" t="s">
        <v>93</v>
      </c>
    </row>
    <row r="5" spans="1:8" ht="15.75">
      <c r="A5" s="705" t="s">
        <v>26</v>
      </c>
      <c r="B5" s="707" t="s">
        <v>244</v>
      </c>
      <c r="C5" s="709" t="s">
        <v>194</v>
      </c>
      <c r="D5" s="709"/>
      <c r="E5" s="709"/>
      <c r="F5" s="709" t="s">
        <v>195</v>
      </c>
      <c r="G5" s="709"/>
      <c r="H5" s="710"/>
    </row>
    <row r="6" spans="1:8">
      <c r="A6" s="706"/>
      <c r="B6" s="708"/>
      <c r="C6" s="38" t="s">
        <v>27</v>
      </c>
      <c r="D6" s="38" t="s">
        <v>94</v>
      </c>
      <c r="E6" s="38" t="s">
        <v>68</v>
      </c>
      <c r="F6" s="38" t="s">
        <v>27</v>
      </c>
      <c r="G6" s="38" t="s">
        <v>94</v>
      </c>
      <c r="H6" s="39" t="s">
        <v>68</v>
      </c>
    </row>
    <row r="7" spans="1:8" s="3" customFormat="1" ht="15.75">
      <c r="A7" s="216">
        <v>1</v>
      </c>
      <c r="B7" s="217" t="s">
        <v>365</v>
      </c>
      <c r="C7" s="233">
        <f t="shared" ref="C7:D7" si="0">SUM(C8:C11)</f>
        <v>28361823.710000001</v>
      </c>
      <c r="D7" s="233">
        <f t="shared" si="0"/>
        <v>5192680.74</v>
      </c>
      <c r="E7" s="256">
        <f>SUM(E8:E11)</f>
        <v>33554504.450000003</v>
      </c>
      <c r="F7" s="233">
        <f t="shared" ref="F7:G7" si="1">SUM(F8:F11)</f>
        <v>30757458.720000003</v>
      </c>
      <c r="G7" s="233">
        <f t="shared" si="1"/>
        <v>1705471.29</v>
      </c>
      <c r="H7" s="256">
        <f>SUM(H8:H11)</f>
        <v>32462930.010000002</v>
      </c>
    </row>
    <row r="8" spans="1:8" s="3" customFormat="1" ht="15.75">
      <c r="A8" s="216">
        <v>1.1000000000000001</v>
      </c>
      <c r="B8" s="218" t="s">
        <v>275</v>
      </c>
      <c r="C8" s="233">
        <v>30000</v>
      </c>
      <c r="D8" s="233"/>
      <c r="E8" s="256">
        <f t="shared" ref="E8:E53" si="2">C8+D8</f>
        <v>30000</v>
      </c>
      <c r="F8" s="233">
        <v>35000</v>
      </c>
      <c r="G8" s="233"/>
      <c r="H8" s="234">
        <f t="shared" ref="H8:H53" si="3">F8+G8</f>
        <v>35000</v>
      </c>
    </row>
    <row r="9" spans="1:8" s="3" customFormat="1" ht="15.75">
      <c r="A9" s="216">
        <v>1.2</v>
      </c>
      <c r="B9" s="218" t="s">
        <v>276</v>
      </c>
      <c r="C9" s="233"/>
      <c r="D9" s="233"/>
      <c r="E9" s="256">
        <f t="shared" si="2"/>
        <v>0</v>
      </c>
      <c r="F9" s="233"/>
      <c r="G9" s="233"/>
      <c r="H9" s="234">
        <f t="shared" si="3"/>
        <v>0</v>
      </c>
    </row>
    <row r="10" spans="1:8" s="3" customFormat="1" ht="15.75">
      <c r="A10" s="216">
        <v>1.3</v>
      </c>
      <c r="B10" s="218" t="s">
        <v>277</v>
      </c>
      <c r="C10" s="233">
        <v>12335365.49</v>
      </c>
      <c r="D10" s="233">
        <v>5192680.74</v>
      </c>
      <c r="E10" s="256">
        <f t="shared" si="2"/>
        <v>17528046.23</v>
      </c>
      <c r="F10" s="233">
        <v>3379942.71</v>
      </c>
      <c r="G10" s="233">
        <v>1705471.29</v>
      </c>
      <c r="H10" s="234">
        <f t="shared" si="3"/>
        <v>5085414</v>
      </c>
    </row>
    <row r="11" spans="1:8" s="3" customFormat="1" ht="15.75">
      <c r="A11" s="216">
        <v>1.4</v>
      </c>
      <c r="B11" s="218" t="s">
        <v>278</v>
      </c>
      <c r="C11" s="233">
        <v>15996458.220000001</v>
      </c>
      <c r="D11" s="233"/>
      <c r="E11" s="256">
        <f t="shared" si="2"/>
        <v>15996458.220000001</v>
      </c>
      <c r="F11" s="233">
        <v>27342516.010000002</v>
      </c>
      <c r="G11" s="233"/>
      <c r="H11" s="234">
        <f t="shared" si="3"/>
        <v>27342516.010000002</v>
      </c>
    </row>
    <row r="12" spans="1:8" s="3" customFormat="1" ht="29.25" customHeight="1">
      <c r="A12" s="216">
        <v>2</v>
      </c>
      <c r="B12" s="217" t="s">
        <v>279</v>
      </c>
      <c r="C12" s="233"/>
      <c r="D12" s="233"/>
      <c r="E12" s="256">
        <f t="shared" si="2"/>
        <v>0</v>
      </c>
      <c r="F12" s="233"/>
      <c r="G12" s="233"/>
      <c r="H12" s="234">
        <f t="shared" si="3"/>
        <v>0</v>
      </c>
    </row>
    <row r="13" spans="1:8" s="3" customFormat="1" ht="25.5">
      <c r="A13" s="216">
        <v>3</v>
      </c>
      <c r="B13" s="217" t="s">
        <v>280</v>
      </c>
      <c r="C13" s="233"/>
      <c r="D13" s="233"/>
      <c r="E13" s="256">
        <f t="shared" si="2"/>
        <v>0</v>
      </c>
      <c r="F13" s="233"/>
      <c r="G13" s="233"/>
      <c r="H13" s="234">
        <f t="shared" si="3"/>
        <v>0</v>
      </c>
    </row>
    <row r="14" spans="1:8" s="3" customFormat="1" ht="15.75">
      <c r="A14" s="216">
        <v>3.1</v>
      </c>
      <c r="B14" s="218" t="s">
        <v>281</v>
      </c>
      <c r="C14" s="233"/>
      <c r="D14" s="233"/>
      <c r="E14" s="256">
        <f t="shared" si="2"/>
        <v>0</v>
      </c>
      <c r="F14" s="233"/>
      <c r="G14" s="233"/>
      <c r="H14" s="234">
        <f t="shared" si="3"/>
        <v>0</v>
      </c>
    </row>
    <row r="15" spans="1:8" s="3" customFormat="1" ht="15.75">
      <c r="A15" s="216">
        <v>3.2</v>
      </c>
      <c r="B15" s="218" t="s">
        <v>282</v>
      </c>
      <c r="C15" s="233"/>
      <c r="D15" s="233"/>
      <c r="E15" s="256">
        <f t="shared" si="2"/>
        <v>0</v>
      </c>
      <c r="F15" s="233"/>
      <c r="G15" s="233"/>
      <c r="H15" s="234">
        <f t="shared" si="3"/>
        <v>0</v>
      </c>
    </row>
    <row r="16" spans="1:8" s="3" customFormat="1" ht="15.75">
      <c r="A16" s="216">
        <v>4</v>
      </c>
      <c r="B16" s="217" t="s">
        <v>283</v>
      </c>
      <c r="C16" s="233"/>
      <c r="D16" s="233"/>
      <c r="E16" s="256">
        <f>E17+E18</f>
        <v>869644272.90999997</v>
      </c>
      <c r="F16" s="233"/>
      <c r="G16" s="233"/>
      <c r="H16" s="256">
        <f>H17+H18</f>
        <v>5287015.62</v>
      </c>
    </row>
    <row r="17" spans="1:8" s="3" customFormat="1" ht="15.75">
      <c r="A17" s="216">
        <v>4.0999999999999996</v>
      </c>
      <c r="B17" s="218" t="s">
        <v>284</v>
      </c>
      <c r="C17" s="233">
        <v>869373167.90999997</v>
      </c>
      <c r="D17" s="233"/>
      <c r="E17" s="256">
        <f t="shared" si="2"/>
        <v>869373167.90999997</v>
      </c>
      <c r="F17" s="233">
        <v>5020910.62</v>
      </c>
      <c r="G17" s="233"/>
      <c r="H17" s="234">
        <f t="shared" si="3"/>
        <v>5020910.62</v>
      </c>
    </row>
    <row r="18" spans="1:8" s="3" customFormat="1" ht="15.75">
      <c r="A18" s="216">
        <v>4.2</v>
      </c>
      <c r="B18" s="218" t="s">
        <v>285</v>
      </c>
      <c r="C18" s="233">
        <v>271105</v>
      </c>
      <c r="D18" s="233"/>
      <c r="E18" s="256">
        <f t="shared" si="2"/>
        <v>271105</v>
      </c>
      <c r="F18" s="233">
        <v>266105</v>
      </c>
      <c r="G18" s="233"/>
      <c r="H18" s="234">
        <f t="shared" si="3"/>
        <v>266105</v>
      </c>
    </row>
    <row r="19" spans="1:8" s="3" customFormat="1" ht="25.5">
      <c r="A19" s="216">
        <v>5</v>
      </c>
      <c r="B19" s="217" t="s">
        <v>286</v>
      </c>
      <c r="C19" s="233"/>
      <c r="D19" s="233"/>
      <c r="E19" s="256">
        <f>E20+E21+E22+E28</f>
        <v>669545065.46000004</v>
      </c>
      <c r="F19" s="233"/>
      <c r="G19" s="233"/>
      <c r="H19" s="256">
        <f>H20+H21+H22+H28</f>
        <v>696453453.67000008</v>
      </c>
    </row>
    <row r="20" spans="1:8" s="3" customFormat="1" ht="15.75">
      <c r="A20" s="216">
        <v>5.0999999999999996</v>
      </c>
      <c r="B20" s="218" t="s">
        <v>287</v>
      </c>
      <c r="C20" s="233">
        <v>11374758.27</v>
      </c>
      <c r="D20" s="233"/>
      <c r="E20" s="256">
        <f t="shared" si="2"/>
        <v>11374758.27</v>
      </c>
      <c r="F20" s="233">
        <v>2250969.35</v>
      </c>
      <c r="G20" s="233"/>
      <c r="H20" s="234">
        <f t="shared" si="3"/>
        <v>2250969.35</v>
      </c>
    </row>
    <row r="21" spans="1:8" s="3" customFormat="1" ht="15.75">
      <c r="A21" s="216">
        <v>5.2</v>
      </c>
      <c r="B21" s="218" t="s">
        <v>288</v>
      </c>
      <c r="C21" s="233">
        <v>48351.76</v>
      </c>
      <c r="D21" s="233"/>
      <c r="E21" s="256">
        <f t="shared" si="2"/>
        <v>48351.76</v>
      </c>
      <c r="F21" s="233">
        <v>103810.38</v>
      </c>
      <c r="G21" s="233"/>
      <c r="H21" s="234">
        <f t="shared" si="3"/>
        <v>103810.38</v>
      </c>
    </row>
    <row r="22" spans="1:8" s="3" customFormat="1" ht="15.75">
      <c r="A22" s="216">
        <v>5.3</v>
      </c>
      <c r="B22" s="218" t="s">
        <v>289</v>
      </c>
      <c r="C22" s="611">
        <f>SUM(C23:C27)</f>
        <v>617916157.60000002</v>
      </c>
      <c r="D22" s="233"/>
      <c r="E22" s="256">
        <f t="shared" si="2"/>
        <v>617916157.60000002</v>
      </c>
      <c r="F22" s="611">
        <f>SUM(F23:F27)</f>
        <v>681340903.18000007</v>
      </c>
      <c r="G22" s="233"/>
      <c r="H22" s="234">
        <f t="shared" si="3"/>
        <v>681340903.18000007</v>
      </c>
    </row>
    <row r="23" spans="1:8" s="3" customFormat="1" ht="15.75">
      <c r="A23" s="216" t="s">
        <v>290</v>
      </c>
      <c r="B23" s="219" t="s">
        <v>291</v>
      </c>
      <c r="C23" s="233">
        <v>424488392.74000001</v>
      </c>
      <c r="D23" s="233"/>
      <c r="E23" s="256">
        <f t="shared" si="2"/>
        <v>424488392.74000001</v>
      </c>
      <c r="F23" s="233">
        <v>471445468.97000003</v>
      </c>
      <c r="G23" s="233"/>
      <c r="H23" s="234">
        <f t="shared" si="3"/>
        <v>471445468.97000003</v>
      </c>
    </row>
    <row r="24" spans="1:8" s="3" customFormat="1" ht="15.75">
      <c r="A24" s="216" t="s">
        <v>292</v>
      </c>
      <c r="B24" s="219" t="s">
        <v>293</v>
      </c>
      <c r="C24" s="233">
        <v>94891200.670000002</v>
      </c>
      <c r="D24" s="233"/>
      <c r="E24" s="256">
        <f t="shared" si="2"/>
        <v>94891200.670000002</v>
      </c>
      <c r="F24" s="233">
        <v>115878818.48999999</v>
      </c>
      <c r="G24" s="233"/>
      <c r="H24" s="234">
        <f t="shared" si="3"/>
        <v>115878818.48999999</v>
      </c>
    </row>
    <row r="25" spans="1:8" s="3" customFormat="1" ht="15.75">
      <c r="A25" s="216" t="s">
        <v>294</v>
      </c>
      <c r="B25" s="220" t="s">
        <v>295</v>
      </c>
      <c r="C25" s="233">
        <v>0</v>
      </c>
      <c r="D25" s="233"/>
      <c r="E25" s="256">
        <f t="shared" si="2"/>
        <v>0</v>
      </c>
      <c r="F25" s="233">
        <v>0</v>
      </c>
      <c r="G25" s="233"/>
      <c r="H25" s="234">
        <f t="shared" si="3"/>
        <v>0</v>
      </c>
    </row>
    <row r="26" spans="1:8" s="3" customFormat="1" ht="15.75">
      <c r="A26" s="216" t="s">
        <v>296</v>
      </c>
      <c r="B26" s="219" t="s">
        <v>297</v>
      </c>
      <c r="C26" s="233">
        <v>95860250.180000007</v>
      </c>
      <c r="D26" s="233"/>
      <c r="E26" s="256">
        <f t="shared" si="2"/>
        <v>95860250.180000007</v>
      </c>
      <c r="F26" s="233">
        <v>86721560.719999999</v>
      </c>
      <c r="G26" s="233"/>
      <c r="H26" s="234">
        <f t="shared" si="3"/>
        <v>86721560.719999999</v>
      </c>
    </row>
    <row r="27" spans="1:8" s="3" customFormat="1" ht="15.75">
      <c r="A27" s="216" t="s">
        <v>298</v>
      </c>
      <c r="B27" s="219" t="s">
        <v>299</v>
      </c>
      <c r="C27" s="233">
        <v>2676314.0099999998</v>
      </c>
      <c r="D27" s="233"/>
      <c r="E27" s="256">
        <f t="shared" si="2"/>
        <v>2676314.0099999998</v>
      </c>
      <c r="F27" s="233">
        <v>7295055</v>
      </c>
      <c r="G27" s="233"/>
      <c r="H27" s="234">
        <f t="shared" si="3"/>
        <v>7295055</v>
      </c>
    </row>
    <row r="28" spans="1:8" s="3" customFormat="1" ht="15.75">
      <c r="A28" s="216">
        <v>5.4</v>
      </c>
      <c r="B28" s="218" t="s">
        <v>300</v>
      </c>
      <c r="C28" s="233">
        <v>40205797.829999998</v>
      </c>
      <c r="D28" s="233"/>
      <c r="E28" s="256">
        <f t="shared" si="2"/>
        <v>40205797.829999998</v>
      </c>
      <c r="F28" s="233">
        <v>12757770.76</v>
      </c>
      <c r="G28" s="233"/>
      <c r="H28" s="234">
        <f t="shared" si="3"/>
        <v>12757770.76</v>
      </c>
    </row>
    <row r="29" spans="1:8" s="3" customFormat="1" ht="15.75">
      <c r="A29" s="216">
        <v>5.5</v>
      </c>
      <c r="B29" s="218" t="s">
        <v>301</v>
      </c>
      <c r="C29" s="233"/>
      <c r="D29" s="233"/>
      <c r="E29" s="256">
        <f t="shared" si="2"/>
        <v>0</v>
      </c>
      <c r="F29" s="233"/>
      <c r="G29" s="233"/>
      <c r="H29" s="234">
        <f t="shared" si="3"/>
        <v>0</v>
      </c>
    </row>
    <row r="30" spans="1:8" s="3" customFormat="1" ht="15.75">
      <c r="A30" s="216">
        <v>5.6</v>
      </c>
      <c r="B30" s="218" t="s">
        <v>302</v>
      </c>
      <c r="C30" s="233"/>
      <c r="D30" s="233"/>
      <c r="E30" s="256">
        <f t="shared" si="2"/>
        <v>0</v>
      </c>
      <c r="F30" s="233"/>
      <c r="G30" s="233"/>
      <c r="H30" s="234">
        <f t="shared" si="3"/>
        <v>0</v>
      </c>
    </row>
    <row r="31" spans="1:8" s="3" customFormat="1" ht="15.75">
      <c r="A31" s="216">
        <v>5.7</v>
      </c>
      <c r="B31" s="218" t="s">
        <v>303</v>
      </c>
      <c r="C31" s="233"/>
      <c r="D31" s="233"/>
      <c r="E31" s="256">
        <f t="shared" si="2"/>
        <v>0</v>
      </c>
      <c r="F31" s="233"/>
      <c r="G31" s="233"/>
      <c r="H31" s="234">
        <f t="shared" si="3"/>
        <v>0</v>
      </c>
    </row>
    <row r="32" spans="1:8" s="3" customFormat="1" ht="15.75">
      <c r="A32" s="216">
        <v>6</v>
      </c>
      <c r="B32" s="217" t="s">
        <v>304</v>
      </c>
      <c r="C32" s="233">
        <f t="shared" ref="C32:H32" si="4">C33+C34</f>
        <v>14236850</v>
      </c>
      <c r="D32" s="233">
        <f t="shared" si="4"/>
        <v>1541857.39</v>
      </c>
      <c r="E32" s="256">
        <f t="shared" si="4"/>
        <v>15778707.390000001</v>
      </c>
      <c r="F32" s="233">
        <f t="shared" si="4"/>
        <v>77655920</v>
      </c>
      <c r="G32" s="233">
        <f t="shared" si="4"/>
        <v>1641475.68</v>
      </c>
      <c r="H32" s="256">
        <f t="shared" si="4"/>
        <v>79297395.680000007</v>
      </c>
    </row>
    <row r="33" spans="1:8" s="3" customFormat="1" ht="25.5">
      <c r="A33" s="216">
        <v>6.1</v>
      </c>
      <c r="B33" s="218" t="s">
        <v>366</v>
      </c>
      <c r="C33" s="233">
        <v>14236850</v>
      </c>
      <c r="D33" s="233">
        <v>1541857.39</v>
      </c>
      <c r="E33" s="256">
        <f t="shared" si="2"/>
        <v>15778707.390000001</v>
      </c>
      <c r="F33" s="233">
        <v>77655920</v>
      </c>
      <c r="G33" s="233">
        <v>1641475.68</v>
      </c>
      <c r="H33" s="234">
        <f t="shared" si="3"/>
        <v>79297395.680000007</v>
      </c>
    </row>
    <row r="34" spans="1:8" s="3" customFormat="1" ht="25.5">
      <c r="A34" s="216">
        <v>6.2</v>
      </c>
      <c r="B34" s="218" t="s">
        <v>305</v>
      </c>
      <c r="C34" s="233"/>
      <c r="D34" s="233"/>
      <c r="E34" s="256">
        <f t="shared" si="2"/>
        <v>0</v>
      </c>
      <c r="F34" s="233"/>
      <c r="G34" s="233"/>
      <c r="H34" s="234">
        <f t="shared" si="3"/>
        <v>0</v>
      </c>
    </row>
    <row r="35" spans="1:8" s="3" customFormat="1" ht="25.5">
      <c r="A35" s="216">
        <v>6.3</v>
      </c>
      <c r="B35" s="218" t="s">
        <v>306</v>
      </c>
      <c r="C35" s="233"/>
      <c r="D35" s="233"/>
      <c r="E35" s="256">
        <f t="shared" si="2"/>
        <v>0</v>
      </c>
      <c r="F35" s="233"/>
      <c r="G35" s="233"/>
      <c r="H35" s="234">
        <f t="shared" si="3"/>
        <v>0</v>
      </c>
    </row>
    <row r="36" spans="1:8" s="3" customFormat="1" ht="15.75">
      <c r="A36" s="216">
        <v>6.4</v>
      </c>
      <c r="B36" s="218" t="s">
        <v>307</v>
      </c>
      <c r="C36" s="233"/>
      <c r="D36" s="233"/>
      <c r="E36" s="256">
        <f t="shared" si="2"/>
        <v>0</v>
      </c>
      <c r="F36" s="233"/>
      <c r="G36" s="233"/>
      <c r="H36" s="234">
        <f t="shared" si="3"/>
        <v>0</v>
      </c>
    </row>
    <row r="37" spans="1:8" s="3" customFormat="1" ht="15.75">
      <c r="A37" s="216">
        <v>6.5</v>
      </c>
      <c r="B37" s="218" t="s">
        <v>308</v>
      </c>
      <c r="C37" s="233"/>
      <c r="D37" s="233"/>
      <c r="E37" s="256">
        <f t="shared" si="2"/>
        <v>0</v>
      </c>
      <c r="F37" s="233"/>
      <c r="G37" s="233"/>
      <c r="H37" s="234">
        <f t="shared" si="3"/>
        <v>0</v>
      </c>
    </row>
    <row r="38" spans="1:8" s="3" customFormat="1" ht="25.5">
      <c r="A38" s="216">
        <v>6.6</v>
      </c>
      <c r="B38" s="218" t="s">
        <v>309</v>
      </c>
      <c r="C38" s="233"/>
      <c r="D38" s="233"/>
      <c r="E38" s="256">
        <f t="shared" si="2"/>
        <v>0</v>
      </c>
      <c r="F38" s="233"/>
      <c r="G38" s="233"/>
      <c r="H38" s="234">
        <f t="shared" si="3"/>
        <v>0</v>
      </c>
    </row>
    <row r="39" spans="1:8" s="3" customFormat="1" ht="25.5">
      <c r="A39" s="216">
        <v>6.7</v>
      </c>
      <c r="B39" s="218" t="s">
        <v>310</v>
      </c>
      <c r="C39" s="233"/>
      <c r="D39" s="233"/>
      <c r="E39" s="256">
        <f t="shared" si="2"/>
        <v>0</v>
      </c>
      <c r="F39" s="233"/>
      <c r="G39" s="233"/>
      <c r="H39" s="234">
        <f t="shared" si="3"/>
        <v>0</v>
      </c>
    </row>
    <row r="40" spans="1:8" s="3" customFormat="1" ht="15.75">
      <c r="A40" s="216">
        <v>7</v>
      </c>
      <c r="B40" s="217" t="s">
        <v>311</v>
      </c>
      <c r="C40" s="256">
        <f t="shared" ref="C40:H40" si="5">SUM(C41:C44)</f>
        <v>98748521.689999968</v>
      </c>
      <c r="D40" s="256">
        <f t="shared" si="5"/>
        <v>25045029.053054001</v>
      </c>
      <c r="E40" s="256">
        <f t="shared" si="5"/>
        <v>123793550.74305397</v>
      </c>
      <c r="F40" s="256">
        <f t="shared" si="5"/>
        <v>43595075.540000021</v>
      </c>
      <c r="G40" s="256">
        <f t="shared" si="5"/>
        <v>24627347.125346001</v>
      </c>
      <c r="H40" s="256">
        <f t="shared" si="5"/>
        <v>68222422.665346026</v>
      </c>
    </row>
    <row r="41" spans="1:8" s="3" customFormat="1" ht="25.5">
      <c r="A41" s="216">
        <v>7.1</v>
      </c>
      <c r="B41" s="218" t="s">
        <v>312</v>
      </c>
      <c r="C41" s="233">
        <v>10110062.219999989</v>
      </c>
      <c r="D41" s="233">
        <v>65389.995263999997</v>
      </c>
      <c r="E41" s="256">
        <f t="shared" si="2"/>
        <v>10175452.215263989</v>
      </c>
      <c r="F41" s="233">
        <v>1456948.5099999986</v>
      </c>
      <c r="G41" s="233">
        <v>14864.590794</v>
      </c>
      <c r="H41" s="234">
        <f t="shared" si="3"/>
        <v>1471813.1007939987</v>
      </c>
    </row>
    <row r="42" spans="1:8" s="3" customFormat="1" ht="25.5">
      <c r="A42" s="216">
        <v>7.2</v>
      </c>
      <c r="B42" s="218" t="s">
        <v>313</v>
      </c>
      <c r="C42" s="233">
        <v>5918876.5999999791</v>
      </c>
      <c r="D42" s="233">
        <v>6679.5717119999999</v>
      </c>
      <c r="E42" s="256">
        <f t="shared" si="2"/>
        <v>5925556.1717119794</v>
      </c>
      <c r="F42" s="233">
        <v>1909622.7200000016</v>
      </c>
      <c r="G42" s="233">
        <v>15439.534163000004</v>
      </c>
      <c r="H42" s="234">
        <f t="shared" si="3"/>
        <v>1925062.2541630017</v>
      </c>
    </row>
    <row r="43" spans="1:8" s="3" customFormat="1" ht="25.5">
      <c r="A43" s="216">
        <v>7.3</v>
      </c>
      <c r="B43" s="218" t="s">
        <v>314</v>
      </c>
      <c r="C43" s="233">
        <v>49914089.180000022</v>
      </c>
      <c r="D43" s="233">
        <v>16966279.328375001</v>
      </c>
      <c r="E43" s="256">
        <f t="shared" si="2"/>
        <v>66880368.508375019</v>
      </c>
      <c r="F43" s="233">
        <v>24104308.220000017</v>
      </c>
      <c r="G43" s="233">
        <v>16653985.086498</v>
      </c>
      <c r="H43" s="234">
        <f t="shared" si="3"/>
        <v>40758293.306498021</v>
      </c>
    </row>
    <row r="44" spans="1:8" s="3" customFormat="1" ht="25.5">
      <c r="A44" s="216">
        <v>7.4</v>
      </c>
      <c r="B44" s="218" t="s">
        <v>315</v>
      </c>
      <c r="C44" s="233">
        <v>32805493.689999983</v>
      </c>
      <c r="D44" s="233">
        <v>8006680.1577030001</v>
      </c>
      <c r="E44" s="256">
        <f t="shared" si="2"/>
        <v>40812173.84770298</v>
      </c>
      <c r="F44" s="233">
        <v>16124196.090000004</v>
      </c>
      <c r="G44" s="233">
        <v>7943057.9138909997</v>
      </c>
      <c r="H44" s="234">
        <f t="shared" si="3"/>
        <v>24067254.003891002</v>
      </c>
    </row>
    <row r="45" spans="1:8" s="3" customFormat="1" ht="15.75">
      <c r="A45" s="216">
        <v>8</v>
      </c>
      <c r="B45" s="217" t="s">
        <v>316</v>
      </c>
      <c r="C45" s="233"/>
      <c r="D45" s="233"/>
      <c r="E45" s="256">
        <f t="shared" si="2"/>
        <v>0</v>
      </c>
      <c r="F45" s="233"/>
      <c r="G45" s="233"/>
      <c r="H45" s="234">
        <f t="shared" si="3"/>
        <v>0</v>
      </c>
    </row>
    <row r="46" spans="1:8" s="3" customFormat="1" ht="15.75">
      <c r="A46" s="216">
        <v>8.1</v>
      </c>
      <c r="B46" s="218" t="s">
        <v>317</v>
      </c>
      <c r="C46" s="233"/>
      <c r="D46" s="233"/>
      <c r="E46" s="256">
        <f t="shared" si="2"/>
        <v>0</v>
      </c>
      <c r="F46" s="233"/>
      <c r="G46" s="233"/>
      <c r="H46" s="234">
        <f t="shared" si="3"/>
        <v>0</v>
      </c>
    </row>
    <row r="47" spans="1:8" s="3" customFormat="1" ht="15.75">
      <c r="A47" s="216">
        <v>8.1999999999999993</v>
      </c>
      <c r="B47" s="218" t="s">
        <v>318</v>
      </c>
      <c r="C47" s="233"/>
      <c r="D47" s="233"/>
      <c r="E47" s="256">
        <f t="shared" si="2"/>
        <v>0</v>
      </c>
      <c r="F47" s="233"/>
      <c r="G47" s="233"/>
      <c r="H47" s="234">
        <f t="shared" si="3"/>
        <v>0</v>
      </c>
    </row>
    <row r="48" spans="1:8" s="3" customFormat="1" ht="15.75">
      <c r="A48" s="216">
        <v>8.3000000000000007</v>
      </c>
      <c r="B48" s="218" t="s">
        <v>319</v>
      </c>
      <c r="C48" s="233"/>
      <c r="D48" s="233"/>
      <c r="E48" s="256">
        <f t="shared" si="2"/>
        <v>0</v>
      </c>
      <c r="F48" s="233"/>
      <c r="G48" s="233"/>
      <c r="H48" s="234">
        <f t="shared" si="3"/>
        <v>0</v>
      </c>
    </row>
    <row r="49" spans="1:8" s="3" customFormat="1" ht="15.75">
      <c r="A49" s="216">
        <v>8.4</v>
      </c>
      <c r="B49" s="218" t="s">
        <v>320</v>
      </c>
      <c r="C49" s="233"/>
      <c r="D49" s="233"/>
      <c r="E49" s="256">
        <f t="shared" si="2"/>
        <v>0</v>
      </c>
      <c r="F49" s="233"/>
      <c r="G49" s="233"/>
      <c r="H49" s="234">
        <f t="shared" si="3"/>
        <v>0</v>
      </c>
    </row>
    <row r="50" spans="1:8" s="3" customFormat="1" ht="15.75">
      <c r="A50" s="216">
        <v>8.5</v>
      </c>
      <c r="B50" s="218" t="s">
        <v>321</v>
      </c>
      <c r="C50" s="233"/>
      <c r="D50" s="233"/>
      <c r="E50" s="256">
        <f t="shared" si="2"/>
        <v>0</v>
      </c>
      <c r="F50" s="233"/>
      <c r="G50" s="233"/>
      <c r="H50" s="234">
        <f t="shared" si="3"/>
        <v>0</v>
      </c>
    </row>
    <row r="51" spans="1:8" s="3" customFormat="1" ht="15.75">
      <c r="A51" s="216">
        <v>8.6</v>
      </c>
      <c r="B51" s="218" t="s">
        <v>322</v>
      </c>
      <c r="C51" s="233"/>
      <c r="D51" s="233"/>
      <c r="E51" s="256">
        <f t="shared" si="2"/>
        <v>0</v>
      </c>
      <c r="F51" s="233"/>
      <c r="G51" s="233"/>
      <c r="H51" s="234">
        <f t="shared" si="3"/>
        <v>0</v>
      </c>
    </row>
    <row r="52" spans="1:8" s="3" customFormat="1" ht="15.75">
      <c r="A52" s="216">
        <v>8.6999999999999993</v>
      </c>
      <c r="B52" s="218" t="s">
        <v>323</v>
      </c>
      <c r="C52" s="233"/>
      <c r="D52" s="233"/>
      <c r="E52" s="256">
        <f t="shared" si="2"/>
        <v>0</v>
      </c>
      <c r="F52" s="233"/>
      <c r="G52" s="233"/>
      <c r="H52" s="234">
        <f t="shared" si="3"/>
        <v>0</v>
      </c>
    </row>
    <row r="53" spans="1:8" s="3" customFormat="1" ht="26.25" thickBot="1">
      <c r="A53" s="221">
        <v>9</v>
      </c>
      <c r="B53" s="222" t="s">
        <v>324</v>
      </c>
      <c r="C53" s="257"/>
      <c r="D53" s="257"/>
      <c r="E53" s="258">
        <f t="shared" si="2"/>
        <v>0</v>
      </c>
      <c r="F53" s="257"/>
      <c r="G53" s="257"/>
      <c r="H53" s="240">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7" sqref="B17"/>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188</v>
      </c>
      <c r="B1" s="16" t="str">
        <f>Info!C2</f>
        <v>სს "კრედო ბანკი"</v>
      </c>
      <c r="C1" s="16"/>
      <c r="D1" s="338"/>
    </row>
    <row r="2" spans="1:8" ht="15">
      <c r="A2" s="17" t="s">
        <v>189</v>
      </c>
      <c r="B2" s="456">
        <f>'1. key ratios'!B2</f>
        <v>44561</v>
      </c>
      <c r="C2" s="28"/>
      <c r="D2" s="18"/>
      <c r="E2" s="12"/>
      <c r="F2" s="12"/>
      <c r="G2" s="12"/>
      <c r="H2" s="12"/>
    </row>
    <row r="3" spans="1:8" ht="15">
      <c r="A3" s="17"/>
      <c r="B3" s="16"/>
      <c r="C3" s="28"/>
      <c r="D3" s="18"/>
      <c r="E3" s="12"/>
      <c r="F3" s="12"/>
      <c r="G3" s="12"/>
      <c r="H3" s="12"/>
    </row>
    <row r="4" spans="1:8" ht="15" customHeight="1" thickBot="1">
      <c r="A4" s="210" t="s">
        <v>331</v>
      </c>
      <c r="B4" s="211" t="s">
        <v>187</v>
      </c>
      <c r="C4" s="212" t="s">
        <v>93</v>
      </c>
    </row>
    <row r="5" spans="1:8" ht="15" customHeight="1">
      <c r="A5" s="208" t="s">
        <v>26</v>
      </c>
      <c r="B5" s="209"/>
      <c r="C5" s="457" t="str">
        <f>INT((MONTH($B$2))/3)&amp;"Q"&amp;"-"&amp;YEAR($B$2)</f>
        <v>4Q-2021</v>
      </c>
      <c r="D5" s="457" t="str">
        <f>IF(INT(MONTH($B$2))=3, "4"&amp;"Q"&amp;"-"&amp;YEAR($B$2)-1, IF(INT(MONTH($B$2))=6, "1"&amp;"Q"&amp;"-"&amp;YEAR($B$2), IF(INT(MONTH($B$2))=9, "2"&amp;"Q"&amp;"-"&amp;YEAR($B$2),IF(INT(MONTH($B$2))=12, "3"&amp;"Q"&amp;"-"&amp;YEAR($B$2), 0))))</f>
        <v>3Q-2021</v>
      </c>
      <c r="E5" s="457" t="str">
        <f>IF(INT(MONTH($B$2))=3, "3"&amp;"Q"&amp;"-"&amp;YEAR($B$2)-1, IF(INT(MONTH($B$2))=6, "4"&amp;"Q"&amp;"-"&amp;YEAR($B$2)-1, IF(INT(MONTH($B$2))=9, "1"&amp;"Q"&amp;"-"&amp;YEAR($B$2),IF(INT(MONTH($B$2))=12, "2"&amp;"Q"&amp;"-"&amp;YEAR($B$2), 0))))</f>
        <v>2Q-2021</v>
      </c>
      <c r="F5" s="457" t="str">
        <f>IF(INT(MONTH($B$2))=3, "2"&amp;"Q"&amp;"-"&amp;YEAR($B$2)-1, IF(INT(MONTH($B$2))=6, "3"&amp;"Q"&amp;"-"&amp;YEAR($B$2)-1, IF(INT(MONTH($B$2))=9, "4"&amp;"Q"&amp;"-"&amp;YEAR($B$2)-1,IF(INT(MONTH($B$2))=12, "1"&amp;"Q"&amp;"-"&amp;YEAR($B$2), 0))))</f>
        <v>1Q-2021</v>
      </c>
      <c r="G5" s="457" t="str">
        <f>IF(INT(MONTH($B$2))=3, "1"&amp;"Q"&amp;"-"&amp;YEAR($B$2)-1, IF(INT(MONTH($B$2))=6, "2"&amp;"Q"&amp;"-"&amp;YEAR($B$2)-1, IF(INT(MONTH($B$2))=9, "3"&amp;"Q"&amp;"-"&amp;YEAR($B$2)-1,IF(INT(MONTH($B$2))=12, "4"&amp;"Q"&amp;"-"&amp;YEAR($B$2)-1, 0))))</f>
        <v>4Q-2020</v>
      </c>
    </row>
    <row r="6" spans="1:8" ht="15" customHeight="1">
      <c r="A6" s="382">
        <v>1</v>
      </c>
      <c r="B6" s="441" t="s">
        <v>192</v>
      </c>
      <c r="C6" s="383">
        <f>C7+C9+C10</f>
        <v>1302738555.0045171</v>
      </c>
      <c r="D6" s="444">
        <f>D7+D9+D10</f>
        <v>1100423981.5046682</v>
      </c>
      <c r="E6" s="384">
        <f t="shared" ref="E6:G6" si="0">E7+E9+E10</f>
        <v>1050330912.8101695</v>
      </c>
      <c r="F6" s="383">
        <f t="shared" si="0"/>
        <v>1017900326.6960396</v>
      </c>
      <c r="G6" s="445">
        <f t="shared" si="0"/>
        <v>996989379.07512736</v>
      </c>
    </row>
    <row r="7" spans="1:8" ht="15" customHeight="1">
      <c r="A7" s="382">
        <v>1.1000000000000001</v>
      </c>
      <c r="B7" s="385" t="s">
        <v>475</v>
      </c>
      <c r="C7" s="386">
        <v>1295844527.668267</v>
      </c>
      <c r="D7" s="446">
        <v>1095982955.7234182</v>
      </c>
      <c r="E7" s="386">
        <v>1046961019.8576695</v>
      </c>
      <c r="F7" s="386">
        <v>1014780858.7297896</v>
      </c>
      <c r="G7" s="447">
        <v>994250073.82512736</v>
      </c>
    </row>
    <row r="8" spans="1:8" ht="25.5">
      <c r="A8" s="382" t="s">
        <v>251</v>
      </c>
      <c r="B8" s="387" t="s">
        <v>325</v>
      </c>
      <c r="C8" s="386">
        <v>810408.24</v>
      </c>
      <c r="D8" s="446">
        <v>15504176.054999962</v>
      </c>
      <c r="E8" s="386"/>
      <c r="F8" s="386"/>
      <c r="G8" s="447"/>
    </row>
    <row r="9" spans="1:8" ht="15" customHeight="1">
      <c r="A9" s="382">
        <v>1.2</v>
      </c>
      <c r="B9" s="385" t="s">
        <v>22</v>
      </c>
      <c r="C9" s="386">
        <v>6584267.3362499997</v>
      </c>
      <c r="D9" s="446">
        <v>3660325.78125</v>
      </c>
      <c r="E9" s="386">
        <v>2579817.9525000001</v>
      </c>
      <c r="F9" s="386">
        <v>2266517.9662500001</v>
      </c>
      <c r="G9" s="447">
        <v>1920155.25</v>
      </c>
    </row>
    <row r="10" spans="1:8" ht="15" customHeight="1">
      <c r="A10" s="382">
        <v>1.3</v>
      </c>
      <c r="B10" s="442" t="s">
        <v>77</v>
      </c>
      <c r="C10" s="388">
        <v>309760</v>
      </c>
      <c r="D10" s="446">
        <v>780700</v>
      </c>
      <c r="E10" s="388">
        <v>790075</v>
      </c>
      <c r="F10" s="386">
        <v>852950</v>
      </c>
      <c r="G10" s="448">
        <v>819150</v>
      </c>
    </row>
    <row r="11" spans="1:8" ht="15" customHeight="1">
      <c r="A11" s="382">
        <v>2</v>
      </c>
      <c r="B11" s="441" t="s">
        <v>193</v>
      </c>
      <c r="C11" s="386">
        <v>1358496.962495995</v>
      </c>
      <c r="D11" s="446">
        <v>3551131.222152031</v>
      </c>
      <c r="E11" s="386">
        <v>2528123</v>
      </c>
      <c r="F11" s="386">
        <v>4121641.3017799947</v>
      </c>
      <c r="G11" s="447">
        <v>1286239.2924999779</v>
      </c>
    </row>
    <row r="12" spans="1:8" ht="15" customHeight="1">
      <c r="A12" s="399">
        <v>3</v>
      </c>
      <c r="B12" s="443" t="s">
        <v>191</v>
      </c>
      <c r="C12" s="388">
        <v>351858011.60018724</v>
      </c>
      <c r="D12" s="446">
        <v>250750724.04375002</v>
      </c>
      <c r="E12" s="388">
        <v>250750724.04375002</v>
      </c>
      <c r="F12" s="386">
        <v>250750724.04375002</v>
      </c>
      <c r="G12" s="448">
        <v>250750724.04375002</v>
      </c>
    </row>
    <row r="13" spans="1:8" ht="15" customHeight="1" thickBot="1">
      <c r="A13" s="130">
        <v>4</v>
      </c>
      <c r="B13" s="451" t="s">
        <v>252</v>
      </c>
      <c r="C13" s="259">
        <f>C6+C11+C12</f>
        <v>1655955063.5672004</v>
      </c>
      <c r="D13" s="449">
        <f>D6+D11+D12</f>
        <v>1354725836.7705703</v>
      </c>
      <c r="E13" s="260">
        <f t="shared" ref="E13:G13" si="1">E6+E11+E12</f>
        <v>1303609759.8539195</v>
      </c>
      <c r="F13" s="259">
        <f t="shared" si="1"/>
        <v>1272772692.0415695</v>
      </c>
      <c r="G13" s="450">
        <f t="shared" si="1"/>
        <v>1249026342.4113774</v>
      </c>
    </row>
    <row r="14" spans="1:8">
      <c r="B14" s="23"/>
    </row>
    <row r="15" spans="1:8" ht="25.5">
      <c r="B15" s="103" t="s">
        <v>476</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5" activePane="bottomRight" state="frozen"/>
      <selection pane="topRight" activeCell="B1" sqref="B1"/>
      <selection pane="bottomLeft" activeCell="A4" sqref="A4"/>
      <selection pane="bottomRight" activeCell="E35" sqref="E35"/>
    </sheetView>
  </sheetViews>
  <sheetFormatPr defaultRowHeight="15"/>
  <cols>
    <col min="1" max="1" width="9.5703125" style="2" bestFit="1" customWidth="1"/>
    <col min="2" max="2" width="58.85546875" style="2" customWidth="1"/>
    <col min="3" max="3" width="41.140625" style="2" bestFit="1" customWidth="1"/>
  </cols>
  <sheetData>
    <row r="1" spans="1:8">
      <c r="A1" s="2" t="s">
        <v>188</v>
      </c>
      <c r="B1" s="338" t="str">
        <f>Info!C2</f>
        <v>სს "კრედო ბანკი"</v>
      </c>
    </row>
    <row r="2" spans="1:8">
      <c r="A2" s="2" t="s">
        <v>189</v>
      </c>
      <c r="B2" s="472">
        <f>'1. key ratios'!B2</f>
        <v>44561</v>
      </c>
    </row>
    <row r="3" spans="1:8" ht="13.5" customHeight="1"/>
    <row r="4" spans="1:8" ht="33.75" customHeight="1" thickBot="1">
      <c r="A4" s="223" t="s">
        <v>332</v>
      </c>
      <c r="B4" s="60" t="s">
        <v>149</v>
      </c>
      <c r="C4" s="14"/>
    </row>
    <row r="5" spans="1:8" ht="15.75">
      <c r="A5" s="11"/>
      <c r="B5" s="436" t="s">
        <v>150</v>
      </c>
      <c r="C5" s="454" t="s">
        <v>490</v>
      </c>
    </row>
    <row r="6" spans="1:8">
      <c r="A6" s="15">
        <v>1</v>
      </c>
      <c r="B6" s="61" t="s">
        <v>749</v>
      </c>
      <c r="C6" s="452" t="s">
        <v>750</v>
      </c>
    </row>
    <row r="7" spans="1:8">
      <c r="A7" s="15">
        <v>2</v>
      </c>
      <c r="B7" s="61" t="s">
        <v>780</v>
      </c>
      <c r="C7" s="452" t="s">
        <v>751</v>
      </c>
    </row>
    <row r="8" spans="1:8">
      <c r="A8" s="15">
        <v>3</v>
      </c>
      <c r="B8" s="61" t="s">
        <v>752</v>
      </c>
      <c r="C8" s="452" t="s">
        <v>753</v>
      </c>
    </row>
    <row r="9" spans="1:8">
      <c r="A9" s="15">
        <v>4</v>
      </c>
      <c r="B9" s="61" t="s">
        <v>754</v>
      </c>
      <c r="C9" s="452" t="s">
        <v>750</v>
      </c>
    </row>
    <row r="10" spans="1:8">
      <c r="A10" s="15">
        <v>5</v>
      </c>
      <c r="B10" s="61" t="s">
        <v>755</v>
      </c>
      <c r="C10" s="452" t="s">
        <v>753</v>
      </c>
    </row>
    <row r="11" spans="1:8">
      <c r="A11" s="15"/>
      <c r="B11" s="61"/>
      <c r="C11" s="452"/>
    </row>
    <row r="12" spans="1:8">
      <c r="A12" s="15"/>
      <c r="B12" s="61"/>
      <c r="C12" s="452"/>
      <c r="H12" s="4"/>
    </row>
    <row r="13" spans="1:8" ht="45">
      <c r="A13" s="15"/>
      <c r="B13" s="437" t="s">
        <v>151</v>
      </c>
      <c r="C13" s="455" t="s">
        <v>491</v>
      </c>
    </row>
    <row r="14" spans="1:8" ht="15.75">
      <c r="A14" s="15">
        <v>1</v>
      </c>
      <c r="B14" s="27" t="s">
        <v>741</v>
      </c>
      <c r="C14" s="453" t="s">
        <v>756</v>
      </c>
    </row>
    <row r="15" spans="1:8" ht="15.75">
      <c r="A15" s="15">
        <v>2</v>
      </c>
      <c r="B15" s="27" t="s">
        <v>757</v>
      </c>
      <c r="C15" s="453" t="s">
        <v>758</v>
      </c>
    </row>
    <row r="16" spans="1:8" ht="15.75">
      <c r="A16" s="15">
        <v>3</v>
      </c>
      <c r="B16" s="27" t="s">
        <v>759</v>
      </c>
      <c r="C16" s="453" t="s">
        <v>760</v>
      </c>
    </row>
    <row r="17" spans="1:3" ht="15.75">
      <c r="A17" s="15">
        <v>4</v>
      </c>
      <c r="B17" s="27" t="s">
        <v>761</v>
      </c>
      <c r="C17" s="453" t="s">
        <v>762</v>
      </c>
    </row>
    <row r="18" spans="1:3" ht="15.75">
      <c r="A18" s="15">
        <v>5</v>
      </c>
      <c r="B18" s="27" t="s">
        <v>763</v>
      </c>
      <c r="C18" s="453" t="s">
        <v>764</v>
      </c>
    </row>
    <row r="19" spans="1:3" ht="15.75">
      <c r="A19" s="15">
        <v>6</v>
      </c>
      <c r="B19" s="27" t="s">
        <v>781</v>
      </c>
      <c r="C19" s="453" t="s">
        <v>782</v>
      </c>
    </row>
    <row r="20" spans="1:3" ht="15.75">
      <c r="A20" s="15"/>
      <c r="B20" s="27"/>
      <c r="C20" s="453"/>
    </row>
    <row r="21" spans="1:3" ht="30" customHeight="1">
      <c r="A21" s="15"/>
      <c r="B21" s="711" t="s">
        <v>152</v>
      </c>
      <c r="C21" s="712"/>
    </row>
    <row r="22" spans="1:3">
      <c r="A22" s="15">
        <v>1</v>
      </c>
      <c r="B22" s="654" t="s">
        <v>765</v>
      </c>
      <c r="C22" s="655">
        <v>0.51170000000000004</v>
      </c>
    </row>
    <row r="23" spans="1:3">
      <c r="A23" s="652">
        <v>2</v>
      </c>
      <c r="B23" s="654" t="s">
        <v>766</v>
      </c>
      <c r="C23" s="655">
        <v>8.4099999999999994E-2</v>
      </c>
    </row>
    <row r="24" spans="1:3">
      <c r="A24" s="15">
        <v>3</v>
      </c>
      <c r="B24" s="654" t="s">
        <v>767</v>
      </c>
      <c r="C24" s="655">
        <v>8.4099999999999994E-2</v>
      </c>
    </row>
    <row r="25" spans="1:3">
      <c r="A25" s="652">
        <v>4</v>
      </c>
      <c r="B25" s="654" t="s">
        <v>768</v>
      </c>
      <c r="C25" s="655">
        <v>7.9399999999999998E-2</v>
      </c>
    </row>
    <row r="26" spans="1:3" ht="27">
      <c r="A26" s="15">
        <v>5</v>
      </c>
      <c r="B26" s="654" t="s">
        <v>769</v>
      </c>
      <c r="C26" s="655">
        <v>7.4700000000000003E-2</v>
      </c>
    </row>
    <row r="27" spans="1:3" ht="27">
      <c r="A27" s="652">
        <v>6</v>
      </c>
      <c r="B27" s="654" t="s">
        <v>770</v>
      </c>
      <c r="C27" s="655">
        <v>1.5900000000000001E-2</v>
      </c>
    </row>
    <row r="28" spans="1:3" ht="27">
      <c r="A28" s="15">
        <v>7</v>
      </c>
      <c r="B28" s="654" t="s">
        <v>771</v>
      </c>
      <c r="C28" s="655">
        <v>0.14960000000000001</v>
      </c>
    </row>
    <row r="29" spans="1:3">
      <c r="A29" s="652"/>
      <c r="B29" s="653"/>
      <c r="C29" s="62"/>
    </row>
    <row r="30" spans="1:3" ht="15.75" customHeight="1">
      <c r="A30" s="15"/>
      <c r="B30" s="61"/>
      <c r="C30" s="62"/>
    </row>
    <row r="31" spans="1:3" ht="29.25" customHeight="1">
      <c r="A31" s="15"/>
      <c r="B31" s="711" t="s">
        <v>272</v>
      </c>
      <c r="C31" s="712"/>
    </row>
    <row r="32" spans="1:3">
      <c r="A32" s="15">
        <v>1</v>
      </c>
      <c r="B32" s="61" t="s">
        <v>772</v>
      </c>
      <c r="C32" s="658">
        <v>6.0506580000000004E-2</v>
      </c>
    </row>
    <row r="33" spans="1:3">
      <c r="A33" s="656">
        <v>2</v>
      </c>
      <c r="B33" s="657" t="s">
        <v>773</v>
      </c>
      <c r="C33" s="659">
        <v>6.0506580000000004E-2</v>
      </c>
    </row>
    <row r="34" spans="1:3">
      <c r="A34" s="15">
        <v>3</v>
      </c>
      <c r="B34" s="657" t="s">
        <v>774</v>
      </c>
      <c r="C34" s="659">
        <v>7.6170720000000011E-2</v>
      </c>
    </row>
    <row r="35" spans="1:3">
      <c r="A35" s="656">
        <v>4</v>
      </c>
      <c r="B35" s="657" t="s">
        <v>775</v>
      </c>
      <c r="C35" s="659">
        <v>6.5062490000000014E-2</v>
      </c>
    </row>
    <row r="36" spans="1:3">
      <c r="A36" s="15">
        <v>5</v>
      </c>
      <c r="B36" s="657" t="s">
        <v>776</v>
      </c>
      <c r="C36" s="659">
        <v>0.12167863</v>
      </c>
    </row>
    <row r="37" spans="1:3">
      <c r="A37" s="656">
        <v>6</v>
      </c>
      <c r="B37" s="657" t="s">
        <v>777</v>
      </c>
      <c r="C37" s="659">
        <v>7.3007177999999992E-2</v>
      </c>
    </row>
    <row r="38" spans="1:3">
      <c r="A38" s="15">
        <v>7</v>
      </c>
      <c r="B38" s="657" t="s">
        <v>778</v>
      </c>
      <c r="C38" s="659">
        <v>5.738399000000001E-2</v>
      </c>
    </row>
    <row r="39" spans="1:3" ht="15.75" thickBot="1">
      <c r="A39" s="652">
        <v>8</v>
      </c>
      <c r="B39" s="661" t="s">
        <v>779</v>
      </c>
      <c r="C39" s="660">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20" sqref="C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188</v>
      </c>
      <c r="B1" s="16" t="str">
        <f>Info!C2</f>
        <v>სს "კრედო ბანკი"</v>
      </c>
    </row>
    <row r="2" spans="1:7" s="21" customFormat="1" ht="15.75" customHeight="1">
      <c r="A2" s="21" t="s">
        <v>189</v>
      </c>
      <c r="B2" s="472">
        <f>'1. key ratios'!B2</f>
        <v>44561</v>
      </c>
    </row>
    <row r="3" spans="1:7" s="21" customFormat="1" ht="15.75" customHeight="1"/>
    <row r="4" spans="1:7" s="21" customFormat="1" ht="15.75" customHeight="1" thickBot="1">
      <c r="A4" s="224" t="s">
        <v>333</v>
      </c>
      <c r="B4" s="225" t="s">
        <v>262</v>
      </c>
      <c r="C4" s="187"/>
      <c r="D4" s="187"/>
      <c r="E4" s="188" t="s">
        <v>93</v>
      </c>
    </row>
    <row r="5" spans="1:7" s="118" customFormat="1" ht="17.45" customHeight="1">
      <c r="A5" s="351"/>
      <c r="B5" s="352"/>
      <c r="C5" s="186" t="s">
        <v>0</v>
      </c>
      <c r="D5" s="186" t="s">
        <v>1</v>
      </c>
      <c r="E5" s="353" t="s">
        <v>2</v>
      </c>
    </row>
    <row r="6" spans="1:7" s="153" customFormat="1" ht="14.45" customHeight="1">
      <c r="A6" s="354"/>
      <c r="B6" s="713" t="s">
        <v>231</v>
      </c>
      <c r="C6" s="713" t="s">
        <v>230</v>
      </c>
      <c r="D6" s="714" t="s">
        <v>229</v>
      </c>
      <c r="E6" s="715"/>
      <c r="G6"/>
    </row>
    <row r="7" spans="1:7" s="153" customFormat="1" ht="99.6" customHeight="1">
      <c r="A7" s="354"/>
      <c r="B7" s="713"/>
      <c r="C7" s="713"/>
      <c r="D7" s="348" t="s">
        <v>228</v>
      </c>
      <c r="E7" s="349" t="s">
        <v>393</v>
      </c>
      <c r="G7"/>
    </row>
    <row r="8" spans="1:7">
      <c r="A8" s="355">
        <v>1</v>
      </c>
      <c r="B8" s="356" t="s">
        <v>154</v>
      </c>
      <c r="C8" s="357">
        <v>92017203.320000008</v>
      </c>
      <c r="D8" s="357"/>
      <c r="E8" s="358">
        <f>C8-D8</f>
        <v>92017203.320000008</v>
      </c>
    </row>
    <row r="9" spans="1:7">
      <c r="A9" s="355">
        <v>2</v>
      </c>
      <c r="B9" s="356" t="s">
        <v>155</v>
      </c>
      <c r="C9" s="357">
        <v>59797351.900000006</v>
      </c>
      <c r="D9" s="357"/>
      <c r="E9" s="358">
        <f t="shared" ref="E9:E20" si="0">C9-D9</f>
        <v>59797351.900000006</v>
      </c>
    </row>
    <row r="10" spans="1:7">
      <c r="A10" s="355">
        <v>3</v>
      </c>
      <c r="B10" s="356" t="s">
        <v>227</v>
      </c>
      <c r="C10" s="357">
        <v>52443457</v>
      </c>
      <c r="D10" s="357"/>
      <c r="E10" s="358">
        <f t="shared" si="0"/>
        <v>52443457</v>
      </c>
    </row>
    <row r="11" spans="1:7" ht="25.5">
      <c r="A11" s="355">
        <v>4</v>
      </c>
      <c r="B11" s="356" t="s">
        <v>185</v>
      </c>
      <c r="C11" s="357">
        <v>0</v>
      </c>
      <c r="D11" s="357"/>
      <c r="E11" s="358">
        <f t="shared" si="0"/>
        <v>0</v>
      </c>
    </row>
    <row r="12" spans="1:7">
      <c r="A12" s="355">
        <v>5</v>
      </c>
      <c r="B12" s="356" t="s">
        <v>157</v>
      </c>
      <c r="C12" s="357">
        <v>52158677.649999999</v>
      </c>
      <c r="D12" s="357"/>
      <c r="E12" s="358">
        <f t="shared" si="0"/>
        <v>52158677.649999999</v>
      </c>
    </row>
    <row r="13" spans="1:7">
      <c r="A13" s="355">
        <v>6.1</v>
      </c>
      <c r="B13" s="356" t="s">
        <v>158</v>
      </c>
      <c r="C13" s="359">
        <v>1492789998.3731005</v>
      </c>
      <c r="D13" s="357"/>
      <c r="E13" s="358">
        <f t="shared" si="0"/>
        <v>1492789998.3731005</v>
      </c>
    </row>
    <row r="14" spans="1:7">
      <c r="A14" s="355">
        <v>6.2</v>
      </c>
      <c r="B14" s="360" t="s">
        <v>159</v>
      </c>
      <c r="C14" s="359">
        <v>-64175272.738700002</v>
      </c>
      <c r="D14" s="357"/>
      <c r="E14" s="358">
        <f t="shared" si="0"/>
        <v>-64175272.738700002</v>
      </c>
    </row>
    <row r="15" spans="1:7">
      <c r="A15" s="355">
        <v>6</v>
      </c>
      <c r="B15" s="356" t="s">
        <v>226</v>
      </c>
      <c r="C15" s="357">
        <f>C13+C14</f>
        <v>1428614725.6344006</v>
      </c>
      <c r="D15" s="357"/>
      <c r="E15" s="358">
        <f t="shared" si="0"/>
        <v>1428614725.6344006</v>
      </c>
    </row>
    <row r="16" spans="1:7" ht="25.5">
      <c r="A16" s="355">
        <v>7</v>
      </c>
      <c r="B16" s="356" t="s">
        <v>161</v>
      </c>
      <c r="C16" s="357">
        <v>25461818.989999995</v>
      </c>
      <c r="D16" s="357"/>
      <c r="E16" s="358">
        <f t="shared" si="0"/>
        <v>25461818.989999995</v>
      </c>
    </row>
    <row r="17" spans="1:7">
      <c r="A17" s="355">
        <v>8</v>
      </c>
      <c r="B17" s="356" t="s">
        <v>162</v>
      </c>
      <c r="C17" s="357">
        <v>1744358.73</v>
      </c>
      <c r="D17" s="357"/>
      <c r="E17" s="358">
        <f t="shared" si="0"/>
        <v>1744358.73</v>
      </c>
      <c r="F17" s="6"/>
      <c r="G17" s="6"/>
    </row>
    <row r="18" spans="1:7">
      <c r="A18" s="355">
        <v>9</v>
      </c>
      <c r="B18" s="356" t="s">
        <v>163</v>
      </c>
      <c r="C18" s="357">
        <v>0</v>
      </c>
      <c r="D18" s="357"/>
      <c r="E18" s="358">
        <f t="shared" si="0"/>
        <v>0</v>
      </c>
      <c r="G18" s="6"/>
    </row>
    <row r="19" spans="1:7" ht="25.5">
      <c r="A19" s="355">
        <v>10</v>
      </c>
      <c r="B19" s="356" t="s">
        <v>164</v>
      </c>
      <c r="C19" s="357">
        <v>36653888.449999996</v>
      </c>
      <c r="D19" s="357">
        <v>13207367.84</v>
      </c>
      <c r="E19" s="358">
        <f t="shared" si="0"/>
        <v>23446520.609999996</v>
      </c>
      <c r="G19" s="6"/>
    </row>
    <row r="20" spans="1:7">
      <c r="A20" s="355">
        <v>11</v>
      </c>
      <c r="B20" s="356" t="s">
        <v>165</v>
      </c>
      <c r="C20" s="357">
        <v>38947802.200000003</v>
      </c>
      <c r="D20" s="357"/>
      <c r="E20" s="358">
        <f t="shared" si="0"/>
        <v>38947802.200000003</v>
      </c>
    </row>
    <row r="21" spans="1:7" ht="51.75" thickBot="1">
      <c r="A21" s="361"/>
      <c r="B21" s="362" t="s">
        <v>367</v>
      </c>
      <c r="C21" s="313">
        <f>SUM(C8:C12, C15:C20)</f>
        <v>1787839283.8744009</v>
      </c>
      <c r="D21" s="313">
        <f>SUM(D8:D12, D15:D20)</f>
        <v>13207367.84</v>
      </c>
      <c r="E21" s="363">
        <f>SUM(E8:E12, E15:E20)</f>
        <v>1774631916.0344007</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188</v>
      </c>
      <c r="B1" s="16" t="str">
        <f>Info!C2</f>
        <v>სს "კრედო ბანკი"</v>
      </c>
    </row>
    <row r="2" spans="1:6" s="21" customFormat="1" ht="15.75" customHeight="1">
      <c r="A2" s="21" t="s">
        <v>189</v>
      </c>
      <c r="B2" s="472">
        <f>'1. key ratios'!B2</f>
        <v>44561</v>
      </c>
      <c r="C2"/>
      <c r="D2"/>
      <c r="E2"/>
      <c r="F2"/>
    </row>
    <row r="3" spans="1:6" s="21" customFormat="1" ht="15.75" customHeight="1">
      <c r="C3"/>
      <c r="D3"/>
      <c r="E3"/>
      <c r="F3"/>
    </row>
    <row r="4" spans="1:6" s="21" customFormat="1" ht="26.25" thickBot="1">
      <c r="A4" s="21" t="s">
        <v>334</v>
      </c>
      <c r="B4" s="194" t="s">
        <v>265</v>
      </c>
      <c r="C4" s="188" t="s">
        <v>93</v>
      </c>
      <c r="D4"/>
      <c r="E4"/>
      <c r="F4"/>
    </row>
    <row r="5" spans="1:6" ht="26.25">
      <c r="A5" s="189">
        <v>1</v>
      </c>
      <c r="B5" s="190" t="s">
        <v>341</v>
      </c>
      <c r="C5" s="261">
        <f>'7. LI1'!E21</f>
        <v>1774631916.0344007</v>
      </c>
    </row>
    <row r="6" spans="1:6" s="179" customFormat="1">
      <c r="A6" s="117">
        <v>2.1</v>
      </c>
      <c r="B6" s="196" t="s">
        <v>266</v>
      </c>
      <c r="C6" s="262">
        <v>33554504.450000003</v>
      </c>
    </row>
    <row r="7" spans="1:6" s="4" customFormat="1" ht="25.5" outlineLevel="1">
      <c r="A7" s="195">
        <v>2.2000000000000002</v>
      </c>
      <c r="B7" s="191" t="s">
        <v>267</v>
      </c>
      <c r="C7" s="263">
        <v>15488000</v>
      </c>
    </row>
    <row r="8" spans="1:6" s="4" customFormat="1" ht="26.25">
      <c r="A8" s="195">
        <v>3</v>
      </c>
      <c r="B8" s="192" t="s">
        <v>342</v>
      </c>
      <c r="C8" s="264">
        <f>SUM(C5:C7)</f>
        <v>1823674420.4844007</v>
      </c>
    </row>
    <row r="9" spans="1:6" s="179" customFormat="1">
      <c r="A9" s="117">
        <v>4</v>
      </c>
      <c r="B9" s="199" t="s">
        <v>263</v>
      </c>
      <c r="C9" s="262">
        <v>26507591.300000001</v>
      </c>
    </row>
    <row r="10" spans="1:6" s="4" customFormat="1" ht="25.5" outlineLevel="1">
      <c r="A10" s="195">
        <v>5.0999999999999996</v>
      </c>
      <c r="B10" s="191" t="s">
        <v>273</v>
      </c>
      <c r="C10" s="263">
        <v>-24775481.335000001</v>
      </c>
    </row>
    <row r="11" spans="1:6" s="4" customFormat="1" ht="25.5" outlineLevel="1">
      <c r="A11" s="195">
        <v>5.2</v>
      </c>
      <c r="B11" s="191" t="s">
        <v>274</v>
      </c>
      <c r="C11" s="263">
        <v>-15178240</v>
      </c>
    </row>
    <row r="12" spans="1:6" s="4" customFormat="1">
      <c r="A12" s="195">
        <v>6</v>
      </c>
      <c r="B12" s="197" t="s">
        <v>477</v>
      </c>
      <c r="C12" s="364"/>
    </row>
    <row r="13" spans="1:6" s="4" customFormat="1" ht="15.75" thickBot="1">
      <c r="A13" s="198">
        <v>7</v>
      </c>
      <c r="B13" s="193" t="s">
        <v>264</v>
      </c>
      <c r="C13" s="265">
        <f>SUM(C8:C12)</f>
        <v>1810228290.4494007</v>
      </c>
    </row>
    <row r="15" spans="1:6" ht="26.25">
      <c r="B15" s="23" t="s">
        <v>478</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VfQYsyWZztxZ/+TbESGV7ofkxRpH8eDVHVDiFwFXCUQ=</DigestValue>
    </Reference>
    <Reference Type="http://www.w3.org/2000/09/xmldsig#Object" URI="#idOfficeObject">
      <DigestMethod Algorithm="http://www.w3.org/2001/04/xmlenc#sha256"/>
      <DigestValue>7nP36YpMfnLh8zyICgNrHLsNqxTKk30Ky+G+5NO5HUE=</DigestValue>
    </Reference>
    <Reference Type="http://uri.etsi.org/01903#SignedProperties" URI="#idSignedProperties">
      <Transforms>
        <Transform Algorithm="http://www.w3.org/TR/2001/REC-xml-c14n-20010315"/>
      </Transforms>
      <DigestMethod Algorithm="http://www.w3.org/2001/04/xmlenc#sha256"/>
      <DigestValue>xv0N0blMgEy0FldoNLvOaeeFVum6CwrMH6N4ZykMnDo=</DigestValue>
    </Reference>
  </SignedInfo>
  <SignatureValue>WgPngkL7FDo3uHVdOyKCQMT5F5Cke7wcXxFq24VgJ0FPslkeTwXxe7QRcvJMCulDnhqPRb2HyNpH
csFD82KJJ8MR+IxvDstIb4/MzLM1W9op/5mMSpp42EizdFvJnY8088fHlWgS2CYVkVhFOB444OWJ
uWQFATDShI24+bWa8qcueRorWzYoQP1LN/RTfivAIEwU/iIgSeJ/3wD3ZUGCJkcT3gumJIpgmzeB
2xe3qTIq2U9acX43R1379TmEXEGLYuqiQZc4Dkwp8CtpLLZxg2SR8eyUJPdAs8J7oLVdxWmV0Msr
sHBokGS/IWKqI3W+0OdQmc1afcDzlEK9/sdKDw==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V/m6gSDlzBm2jNy6GbgOfii/mxDPSZRKxsyAK5kSLAE=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S7R7QexH2Ty8nG4sJwXVzypmM4ExxLVTP2qtrLT5jL0=</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l8l1e2eWPoQ+D+DzZ6anvjcFLzDQSQ5Jpb+lTOTGzD8=</DigestValue>
      </Reference>
      <Reference URI="/xl/printerSettings/printerSettings18.bin?ContentType=application/vnd.openxmlformats-officedocument.spreadsheetml.printerSettings">
        <DigestMethod Algorithm="http://www.w3.org/2001/04/xmlenc#sha256"/>
        <DigestValue>l/MXa7C5ES1c3NglyQS9tGHBNbosNUSkRvLYxrQ04Uk=</DigestValue>
      </Reference>
      <Reference URI="/xl/printerSettings/printerSettings19.bin?ContentType=application/vnd.openxmlformats-officedocument.spreadsheetml.printerSettings">
        <DigestMethod Algorithm="http://www.w3.org/2001/04/xmlenc#sha256"/>
        <DigestValue>KyI69PBM+mH4W2G4n5A319h4bC1VsIu7fd2bFMqxNEo=</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Cu2vDuPSW1mXny4I1weog/uR73cw9lXDMrijOWg8HSA=</DigestValue>
      </Reference>
      <Reference URI="/xl/printerSettings/printerSettings21.bin?ContentType=application/vnd.openxmlformats-officedocument.spreadsheetml.printerSettings">
        <DigestMethod Algorithm="http://www.w3.org/2001/04/xmlenc#sha256"/>
        <DigestValue>l8l1e2eWPoQ+D+DzZ6anvjcFLzDQSQ5Jpb+lTOTGzD8=</DigestValue>
      </Reference>
      <Reference URI="/xl/printerSettings/printerSettings22.bin?ContentType=application/vnd.openxmlformats-officedocument.spreadsheetml.printerSettings">
        <DigestMethod Algorithm="http://www.w3.org/2001/04/xmlenc#sha256"/>
        <DigestValue>l/MXa7C5ES1c3NglyQS9tGHBNbosNUSkRvLYxrQ04Uk=</DigestValue>
      </Reference>
      <Reference URI="/xl/printerSettings/printerSettings23.bin?ContentType=application/vnd.openxmlformats-officedocument.spreadsheetml.printerSettings">
        <DigestMethod Algorithm="http://www.w3.org/2001/04/xmlenc#sha256"/>
        <DigestValue>l/MXa7C5ES1c3NglyQS9tGHBNbosNUSkRvLYxrQ04Uk=</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S7R7QexH2Ty8nG4sJwXVzypmM4ExxLVTP2qtrLT5jL0=</DigestValue>
      </Reference>
      <Reference URI="/xl/sharedStrings.xml?ContentType=application/vnd.openxmlformats-officedocument.spreadsheetml.sharedStrings+xml">
        <DigestMethod Algorithm="http://www.w3.org/2001/04/xmlenc#sha256"/>
        <DigestValue>12H5Pc9qCGYkGCaDWzhX7Ua9XQIv8ZiLqinXS2O4DzQ=</DigestValue>
      </Reference>
      <Reference URI="/xl/styles.xml?ContentType=application/vnd.openxmlformats-officedocument.spreadsheetml.styles+xml">
        <DigestMethod Algorithm="http://www.w3.org/2001/04/xmlenc#sha256"/>
        <DigestValue>A1J5BZHODBcJGkOiRt9c9/pgCXyTUwCkbx1WPh/B11w=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E/ME60WpqYT+9s7ge7Z2RcWLZT5fq/ri4IAM5PAJIGA=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JgBpBT2EQHPC+ZdMNgCGVWVPmXUKH3HPSXWMtmUqBvo=</DigestValue>
      </Reference>
      <Reference URI="/xl/worksheets/sheet10.xml?ContentType=application/vnd.openxmlformats-officedocument.spreadsheetml.worksheet+xml">
        <DigestMethod Algorithm="http://www.w3.org/2001/04/xmlenc#sha256"/>
        <DigestValue>MsRsY9Nx6S95ChcEumOfD71P5pVRLpab7nuAvK3HEoA=</DigestValue>
      </Reference>
      <Reference URI="/xl/worksheets/sheet11.xml?ContentType=application/vnd.openxmlformats-officedocument.spreadsheetml.worksheet+xml">
        <DigestMethod Algorithm="http://www.w3.org/2001/04/xmlenc#sha256"/>
        <DigestValue>Bl/x99V27/eDNTDGicj2ARGcCJTKsF4ppyA97dRSr/A=</DigestValue>
      </Reference>
      <Reference URI="/xl/worksheets/sheet12.xml?ContentType=application/vnd.openxmlformats-officedocument.spreadsheetml.worksheet+xml">
        <DigestMethod Algorithm="http://www.w3.org/2001/04/xmlenc#sha256"/>
        <DigestValue>RIpU9P9GrcylFFZyG3GSfTp6V3pL7sWW6SJYqQThQnA=</DigestValue>
      </Reference>
      <Reference URI="/xl/worksheets/sheet13.xml?ContentType=application/vnd.openxmlformats-officedocument.spreadsheetml.worksheet+xml">
        <DigestMethod Algorithm="http://www.w3.org/2001/04/xmlenc#sha256"/>
        <DigestValue>Jus72v90QKVsgIwb+86AFrl+hBKNO7Kt7mh6YcrNpc0=</DigestValue>
      </Reference>
      <Reference URI="/xl/worksheets/sheet14.xml?ContentType=application/vnd.openxmlformats-officedocument.spreadsheetml.worksheet+xml">
        <DigestMethod Algorithm="http://www.w3.org/2001/04/xmlenc#sha256"/>
        <DigestValue>zNB6XDGfP8M/0K8I0GgRZSgz8VOQC3qW2CU0xdvi7t0=</DigestValue>
      </Reference>
      <Reference URI="/xl/worksheets/sheet15.xml?ContentType=application/vnd.openxmlformats-officedocument.spreadsheetml.worksheet+xml">
        <DigestMethod Algorithm="http://www.w3.org/2001/04/xmlenc#sha256"/>
        <DigestValue>bKmH1Qxttxc7k7tfm9Sv67WTc6myFva7iNYiVY7z2gU=</DigestValue>
      </Reference>
      <Reference URI="/xl/worksheets/sheet16.xml?ContentType=application/vnd.openxmlformats-officedocument.spreadsheetml.worksheet+xml">
        <DigestMethod Algorithm="http://www.w3.org/2001/04/xmlenc#sha256"/>
        <DigestValue>tHRA2AzG4ajFimI3gyE+67Pi0mOyIwql/yYF2wg/nPQ=</DigestValue>
      </Reference>
      <Reference URI="/xl/worksheets/sheet17.xml?ContentType=application/vnd.openxmlformats-officedocument.spreadsheetml.worksheet+xml">
        <DigestMethod Algorithm="http://www.w3.org/2001/04/xmlenc#sha256"/>
        <DigestValue>kFDgdbwbnc+LGVAj6FrVveB1XG5SnD0ttci6hVogbuc=</DigestValue>
      </Reference>
      <Reference URI="/xl/worksheets/sheet18.xml?ContentType=application/vnd.openxmlformats-officedocument.spreadsheetml.worksheet+xml">
        <DigestMethod Algorithm="http://www.w3.org/2001/04/xmlenc#sha256"/>
        <DigestValue>QoofK0qMtlX2YPkROxrIBf9ASlPCRqei1wzfz8fYcVk=</DigestValue>
      </Reference>
      <Reference URI="/xl/worksheets/sheet19.xml?ContentType=application/vnd.openxmlformats-officedocument.spreadsheetml.worksheet+xml">
        <DigestMethod Algorithm="http://www.w3.org/2001/04/xmlenc#sha256"/>
        <DigestValue>5N+hOG4CMK43IzIzIFyyirSIcgL+OYouyW9heav08CM=</DigestValue>
      </Reference>
      <Reference URI="/xl/worksheets/sheet2.xml?ContentType=application/vnd.openxmlformats-officedocument.spreadsheetml.worksheet+xml">
        <DigestMethod Algorithm="http://www.w3.org/2001/04/xmlenc#sha256"/>
        <DigestValue>qgLQOMgaNsL9teRvIyu9iW82PEdEmtAJBo9EDbAuaq0=</DigestValue>
      </Reference>
      <Reference URI="/xl/worksheets/sheet20.xml?ContentType=application/vnd.openxmlformats-officedocument.spreadsheetml.worksheet+xml">
        <DigestMethod Algorithm="http://www.w3.org/2001/04/xmlenc#sha256"/>
        <DigestValue>vD7ILOmAqbB89ag8w5Cv1+vdLe+GPBFVptVxTOAz3ZI=</DigestValue>
      </Reference>
      <Reference URI="/xl/worksheets/sheet21.xml?ContentType=application/vnd.openxmlformats-officedocument.spreadsheetml.worksheet+xml">
        <DigestMethod Algorithm="http://www.w3.org/2001/04/xmlenc#sha256"/>
        <DigestValue>ouVUjt55PDYDdWvFTsx49oSFusWZHpzs10k3dBVd78Y=</DigestValue>
      </Reference>
      <Reference URI="/xl/worksheets/sheet22.xml?ContentType=application/vnd.openxmlformats-officedocument.spreadsheetml.worksheet+xml">
        <DigestMethod Algorithm="http://www.w3.org/2001/04/xmlenc#sha256"/>
        <DigestValue>/rsGDc/PfXHtjX3lGJiXlVTgntR1sVSJEQVviL7wveA=</DigestValue>
      </Reference>
      <Reference URI="/xl/worksheets/sheet23.xml?ContentType=application/vnd.openxmlformats-officedocument.spreadsheetml.worksheet+xml">
        <DigestMethod Algorithm="http://www.w3.org/2001/04/xmlenc#sha256"/>
        <DigestValue>27raMOsTYbvzP7l6SIatbT+vonFcfwRBd1Uj0ITarDI=</DigestValue>
      </Reference>
      <Reference URI="/xl/worksheets/sheet24.xml?ContentType=application/vnd.openxmlformats-officedocument.spreadsheetml.worksheet+xml">
        <DigestMethod Algorithm="http://www.w3.org/2001/04/xmlenc#sha256"/>
        <DigestValue>6JtZsaCReCGNwNpvGTtCSl3Ablwdv2qgrPHn3QZvLGU=</DigestValue>
      </Reference>
      <Reference URI="/xl/worksheets/sheet25.xml?ContentType=application/vnd.openxmlformats-officedocument.spreadsheetml.worksheet+xml">
        <DigestMethod Algorithm="http://www.w3.org/2001/04/xmlenc#sha256"/>
        <DigestValue>r3NSXzk/FzHSxkhOePreNtiMtVCfpqz2dQt+lwBk95Q=</DigestValue>
      </Reference>
      <Reference URI="/xl/worksheets/sheet26.xml?ContentType=application/vnd.openxmlformats-officedocument.spreadsheetml.worksheet+xml">
        <DigestMethod Algorithm="http://www.w3.org/2001/04/xmlenc#sha256"/>
        <DigestValue>0I5SqTLu1LEpCsZe1YpFLZQbM6b3QEkxavWwZBvcmrI=</DigestValue>
      </Reference>
      <Reference URI="/xl/worksheets/sheet27.xml?ContentType=application/vnd.openxmlformats-officedocument.spreadsheetml.worksheet+xml">
        <DigestMethod Algorithm="http://www.w3.org/2001/04/xmlenc#sha256"/>
        <DigestValue>KWJpKCyp547tQp/a4PcQPj/BHscxqdO38CdntGQeJUE=</DigestValue>
      </Reference>
      <Reference URI="/xl/worksheets/sheet28.xml?ContentType=application/vnd.openxmlformats-officedocument.spreadsheetml.worksheet+xml">
        <DigestMethod Algorithm="http://www.w3.org/2001/04/xmlenc#sha256"/>
        <DigestValue>9nE2Y4HN5VRreAoiqHgy+tWSLD/v45TAjvhXeF6yfIQ=</DigestValue>
      </Reference>
      <Reference URI="/xl/worksheets/sheet29.xml?ContentType=application/vnd.openxmlformats-officedocument.spreadsheetml.worksheet+xml">
        <DigestMethod Algorithm="http://www.w3.org/2001/04/xmlenc#sha256"/>
        <DigestValue>L75ffPmWsJg0FX93V1wM1awpDgvgJz0O5Vua/a5ejeY=</DigestValue>
      </Reference>
      <Reference URI="/xl/worksheets/sheet3.xml?ContentType=application/vnd.openxmlformats-officedocument.spreadsheetml.worksheet+xml">
        <DigestMethod Algorithm="http://www.w3.org/2001/04/xmlenc#sha256"/>
        <DigestValue>K/xieo9Vpa+H/IGkEg7h01/c73apG7bvljRTQCvVB50=</DigestValue>
      </Reference>
      <Reference URI="/xl/worksheets/sheet4.xml?ContentType=application/vnd.openxmlformats-officedocument.spreadsheetml.worksheet+xml">
        <DigestMethod Algorithm="http://www.w3.org/2001/04/xmlenc#sha256"/>
        <DigestValue>4+kTN6pW/UggW9ZCsFwOlNdBTwduF0v+Y3bSKADQTD8=</DigestValue>
      </Reference>
      <Reference URI="/xl/worksheets/sheet5.xml?ContentType=application/vnd.openxmlformats-officedocument.spreadsheetml.worksheet+xml">
        <DigestMethod Algorithm="http://www.w3.org/2001/04/xmlenc#sha256"/>
        <DigestValue>upbOHVxY8HMETMyO/+uBrfULwL2lT9zALFqfM8fWxNE=</DigestValue>
      </Reference>
      <Reference URI="/xl/worksheets/sheet6.xml?ContentType=application/vnd.openxmlformats-officedocument.spreadsheetml.worksheet+xml">
        <DigestMethod Algorithm="http://www.w3.org/2001/04/xmlenc#sha256"/>
        <DigestValue>aQ0T9CHf2bfWo065AzkCjEcJ4O+glSQ+U0cglPQUqYA=</DigestValue>
      </Reference>
      <Reference URI="/xl/worksheets/sheet7.xml?ContentType=application/vnd.openxmlformats-officedocument.spreadsheetml.worksheet+xml">
        <DigestMethod Algorithm="http://www.w3.org/2001/04/xmlenc#sha256"/>
        <DigestValue>eNfoXG2PU+N3UAvvTYqjvgg7W/CaJOnoQFwctpkMfZg=</DigestValue>
      </Reference>
      <Reference URI="/xl/worksheets/sheet8.xml?ContentType=application/vnd.openxmlformats-officedocument.spreadsheetml.worksheet+xml">
        <DigestMethod Algorithm="http://www.w3.org/2001/04/xmlenc#sha256"/>
        <DigestValue>i5wUM4wX+4mZkTU7cOdKjFrxpfEt6SHxvjdSv91r9Jc=</DigestValue>
      </Reference>
      <Reference URI="/xl/worksheets/sheet9.xml?ContentType=application/vnd.openxmlformats-officedocument.spreadsheetml.worksheet+xml">
        <DigestMethod Algorithm="http://www.w3.org/2001/04/xmlenc#sha256"/>
        <DigestValue>JoqQFyys4m67GHtxmvoYKz0u+BCeBbciq4bk8xGEthI=</DigestValue>
      </Reference>
    </Manifest>
    <SignatureProperties>
      <SignatureProperty Id="idSignatureTime" Target="#idPackageSignature">
        <mdssi:SignatureTime xmlns:mdssi="http://schemas.openxmlformats.org/package/2006/digital-signature">
          <mdssi:Format>YYYY-MM-DDThh:mm:ssTZD</mdssi:Format>
          <mdssi:Value>2022-07-19T13:06:25Z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2022-07-19T13:06:25Z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2022-07-17T10:39:55Z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