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18.xml" ContentType="application/vnd.openxmlformats-officedocument.spreadsheetml.worksheet+xml"/>
  <Override PartName="/xl/worksheets/sheet1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465" tabRatio="96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K23" i="36" l="1"/>
  <c r="C12" i="79" l="1"/>
  <c r="C9" i="37" l="1"/>
  <c r="C22" i="74" l="1"/>
  <c r="F40" i="62" l="1"/>
  <c r="C40" i="62"/>
  <c r="C41" i="62" s="1"/>
  <c r="E42" i="75" l="1"/>
  <c r="M31" i="6" l="1"/>
  <c r="N31" i="6"/>
  <c r="L31" i="6"/>
  <c r="M28" i="6"/>
  <c r="N28" i="6"/>
  <c r="L28" i="6"/>
  <c r="J23" i="36" l="1"/>
  <c r="I23" i="36"/>
  <c r="G23" i="36"/>
  <c r="F23" i="36"/>
  <c r="H23" i="36" s="1"/>
  <c r="J21" i="36"/>
  <c r="I21" i="36"/>
  <c r="G21" i="36"/>
  <c r="F21" i="36"/>
  <c r="K20" i="36"/>
  <c r="H20" i="36"/>
  <c r="K19" i="36"/>
  <c r="H19" i="36"/>
  <c r="K18" i="36"/>
  <c r="H18" i="36"/>
  <c r="J16" i="36"/>
  <c r="I16" i="36"/>
  <c r="G16" i="36"/>
  <c r="G24" i="36" s="1"/>
  <c r="F16" i="36"/>
  <c r="K15" i="36"/>
  <c r="H15" i="36"/>
  <c r="K14" i="36"/>
  <c r="H14" i="36"/>
  <c r="K13" i="36"/>
  <c r="H13" i="36"/>
  <c r="K12" i="36"/>
  <c r="H12" i="36"/>
  <c r="K11" i="36"/>
  <c r="H11" i="36"/>
  <c r="K10" i="36"/>
  <c r="H10" i="36"/>
  <c r="K8" i="36"/>
  <c r="H8" i="36"/>
  <c r="D21" i="36"/>
  <c r="C21" i="36"/>
  <c r="E20" i="36"/>
  <c r="E19" i="36"/>
  <c r="E18" i="36"/>
  <c r="D16" i="36"/>
  <c r="C16" i="36"/>
  <c r="E15" i="36"/>
  <c r="E14" i="36"/>
  <c r="E13" i="36"/>
  <c r="E12" i="36"/>
  <c r="E11" i="36"/>
  <c r="E10" i="36"/>
  <c r="H9" i="74"/>
  <c r="H10" i="74"/>
  <c r="H12" i="74"/>
  <c r="H13" i="74"/>
  <c r="H14" i="74"/>
  <c r="H15" i="74"/>
  <c r="H16" i="74"/>
  <c r="H17" i="74"/>
  <c r="H18" i="74"/>
  <c r="H19" i="74"/>
  <c r="H20" i="74"/>
  <c r="H21" i="74"/>
  <c r="H8" i="74"/>
  <c r="C15" i="69"/>
  <c r="E20" i="72"/>
  <c r="E19" i="72"/>
  <c r="E18" i="72"/>
  <c r="E17" i="72"/>
  <c r="E16" i="72"/>
  <c r="E15" i="72"/>
  <c r="E14" i="72"/>
  <c r="E13" i="72"/>
  <c r="E12" i="72"/>
  <c r="E11" i="72"/>
  <c r="E10" i="72"/>
  <c r="E9" i="72"/>
  <c r="E8" i="72"/>
  <c r="B2" i="71"/>
  <c r="F22" i="75"/>
  <c r="C22" i="75"/>
  <c r="H18" i="62"/>
  <c r="H16" i="62"/>
  <c r="E18" i="62"/>
  <c r="E16" i="62"/>
  <c r="G14" i="62"/>
  <c r="F14" i="62"/>
  <c r="D14" i="62"/>
  <c r="C14" i="62"/>
  <c r="J24" i="36" l="1"/>
  <c r="J25" i="36" s="1"/>
  <c r="K21" i="36"/>
  <c r="F24" i="36"/>
  <c r="H16" i="36"/>
  <c r="E21" i="36"/>
  <c r="E16" i="36"/>
  <c r="I24" i="36"/>
  <c r="K24" i="36" s="1"/>
  <c r="K25" i="36" s="1"/>
  <c r="H21" i="36"/>
  <c r="K16" i="36"/>
  <c r="G25" i="36"/>
  <c r="H24" i="36"/>
  <c r="H25" i="36" s="1"/>
  <c r="F25" i="36"/>
  <c r="I25" i="36" l="1"/>
  <c r="B2" i="79" l="1"/>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F9" i="53"/>
  <c r="F22" i="53" s="1"/>
  <c r="D9" i="53"/>
  <c r="D22" i="53" s="1"/>
  <c r="C9" i="53"/>
  <c r="C22" i="53" s="1"/>
  <c r="D31" i="62"/>
  <c r="D41" i="62" s="1"/>
  <c r="C31" i="62"/>
  <c r="C20" i="62"/>
  <c r="G31" i="53" l="1"/>
  <c r="D31" i="53"/>
  <c r="D56" i="53" s="1"/>
  <c r="D63" i="53" s="1"/>
  <c r="D65" i="53" s="1"/>
  <c r="D67" i="53" s="1"/>
  <c r="G56" i="53"/>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7"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7" i="62"/>
  <c r="E19" i="62"/>
  <c r="E20" i="62"/>
  <c r="E7" i="62"/>
  <c r="C45" i="69" l="1"/>
  <c r="C37" i="69"/>
  <c r="C25" i="69"/>
</calcChain>
</file>

<file path=xl/sharedStrings.xml><?xml version="1.0" encoding="utf-8"?>
<sst xmlns="http://schemas.openxmlformats.org/spreadsheetml/2006/main" count="776" uniqueCount="549">
  <si>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</si>
  <si>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</si>
  <si>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</si>
  <si>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</si>
  <si>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</si>
  <si>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</si>
  <si>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</si>
  <si>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</si>
  <si>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</si>
  <si>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</si>
  <si>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</si>
  <si>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</si>
  <si>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</si>
  <si>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</si>
  <si>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</si>
  <si>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</si>
  <si>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</si>
  <si>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</si>
  <si>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</si>
  <si>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</si>
  <si>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</si>
  <si>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</si>
  <si>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</si>
  <si>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</si>
  <si>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</si>
  <si>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</si>
  <si>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</si>
  <si>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</si>
  <si>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</si>
  <si>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</si>
  <si>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</si>
  <si>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</si>
  <si>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</si>
  <si>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</si>
  <si>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</si>
  <si>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</si>
  <si>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</si>
  <si>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</si>
  <si>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</si>
  <si>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</si>
  <si>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</si>
  <si>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</si>
  <si>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</si>
  <si>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</si>
  <si>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</si>
  <si>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</si>
  <si>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</si>
  <si>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</si>
  <si>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</si>
  <si>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</si>
  <si>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</si>
  <si>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</si>
  <si>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</si>
  <si>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</si>
  <si>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</si>
  <si>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</si>
  <si>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</si>
  <si>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</si>
  <si>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</si>
  <si>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</si>
  <si>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</si>
  <si>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</si>
  <si>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</si>
  <si>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</si>
  <si>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</si>
  <si>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</si>
  <si>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</si>
  <si>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</si>
  <si>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</si>
  <si>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</si>
  <si>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</si>
  <si>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</si>
  <si>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</si>
  <si>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</si>
  <si>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</si>
  <si>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</si>
  <si>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</si>
  <si>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</si>
  <si>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</si>
  <si>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</si>
  <si>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</si>
  <si>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</si>
  <si>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</si>
  <si>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</si>
  <si>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</si>
  <si>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</si>
  <si>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</si>
  <si>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</si>
  <si>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</si>
  <si>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</si>
  <si>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</si>
  <si>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</si>
  <si>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</si>
  <si>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</si>
  <si>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</si>
  <si>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</si>
  <si>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</si>
  <si>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</si>
  <si>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</si>
  <si>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</si>
  <si>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</si>
  <si>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</si>
  <si>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</si>
  <si>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</si>
  <si>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</si>
  <si>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</si>
  <si>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</si>
  <si>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</si>
  <si>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</si>
  <si>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</si>
  <si>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</si>
  <si>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</si>
  <si>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</si>
  <si>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</si>
  <si>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</si>
  <si>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</si>
  <si>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</si>
  <si>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</si>
  <si>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</si>
  <si>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</si>
  <si>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</si>
  <si>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</si>
  <si>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</si>
  <si>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</si>
  <si>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</si>
  <si>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</si>
  <si>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</si>
  <si>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</si>
  <si>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</si>
  <si>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</si>
  <si>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</si>
  <si>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</si>
  <si>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</si>
  <si>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</si>
  <si>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</si>
  <si>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</si>
  <si>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</si>
  <si>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</si>
  <si>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</si>
  <si>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</si>
  <si>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</si>
  <si>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</si>
  <si>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</si>
  <si>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</si>
  <si>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</si>
  <si>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</si>
  <si>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</si>
  <si>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</si>
  <si>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</si>
  <si>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</si>
  <si>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</si>
  <si>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</si>
  <si>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</si>
  <si>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</si>
  <si>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</si>
  <si>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</si>
  <si>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</si>
  <si>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</si>
  <si>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</si>
  <si>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</si>
  <si>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</si>
  <si>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</si>
  <si>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</si>
  <si>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</si>
  <si>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</si>
  <si>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</si>
  <si>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</si>
  <si>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</si>
  <si>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</si>
  <si>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</si>
  <si>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</si>
  <si>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</si>
  <si>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</si>
  <si>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</si>
  <si>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</si>
  <si>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</si>
  <si>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</si>
  <si>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</si>
  <si>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</si>
  <si>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</si>
  <si>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</si>
  <si>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</si>
  <si>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</si>
  <si>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</si>
  <si>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</si>
  <si>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</si>
  <si>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</si>
  <si>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</si>
  <si>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</si>
  <si>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</si>
  <si>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</si>
  <si>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</si>
  <si>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</si>
  <si>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</si>
  <si>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</si>
  <si>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</si>
  <si>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</si>
  <si>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</si>
  <si>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</si>
  <si>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</si>
  <si>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</si>
  <si>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</si>
  <si>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</si>
  <si>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</si>
  <si>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</si>
  <si>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</si>
  <si>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</si>
  <si>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</si>
  <si>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</si>
  <si>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</si>
  <si>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</si>
  <si>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</si>
  <si>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</si>
  <si>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</si>
  <si>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</si>
  <si>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</si>
  <si>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</si>
  <si>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</si>
  <si>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</si>
  <si>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</si>
  <si>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</si>
  <si>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</si>
  <si>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</si>
  <si>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</si>
  <si>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</si>
  <si>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</si>
  <si>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</si>
  <si>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</si>
  <si>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</si>
  <si>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</si>
  <si>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</si>
  <si>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</si>
  <si>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</si>
  <si>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</si>
  <si>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</si>
  <si>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</si>
  <si>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</si>
  <si>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</si>
  <si>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</si>
  <si>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</si>
  <si>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</si>
  <si>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</si>
  <si>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</si>
  <si>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</si>
  <si>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</si>
  <si>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</si>
  <si>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</si>
  <si>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</si>
  <si>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</si>
  <si>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</si>
  <si>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</si>
  <si>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</si>
  <si>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</si>
  <si>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</si>
  <si>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</si>
  <si>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</si>
  <si>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</si>
  <si>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</si>
  <si>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</si>
  <si>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</si>
  <si>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</si>
  <si>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</si>
  <si>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</si>
  <si>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</si>
  <si>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</si>
  <si>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</si>
  <si>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</si>
  <si>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</si>
  <si>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</si>
  <si>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</si>
  <si>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</si>
  <si>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</si>
  <si>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</si>
  <si>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</si>
  <si>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</si>
  <si>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</si>
  <si>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</si>
  <si>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</si>
  <si>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</si>
  <si>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</si>
  <si>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</si>
  <si>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</si>
  <si>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</si>
  <si>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</si>
  <si>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</si>
  <si>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</si>
  <si>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</si>
  <si>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</si>
  <si>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</si>
  <si>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</si>
  <si>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</si>
  <si>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</si>
  <si>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</si>
  <si>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</si>
  <si>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</si>
  <si>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</si>
  <si>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</si>
  <si>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</si>
  <si>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</si>
  <si>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</si>
  <si>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</si>
  <si>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</si>
  <si>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</si>
  <si>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</si>
  <si>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</si>
  <si>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</si>
  <si>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</si>
  <si>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</si>
  <si>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</si>
  <si>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</si>
  <si>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</si>
  <si>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</si>
  <si>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</si>
  <si>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</si>
  <si>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</si>
  <si>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</si>
  <si>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</si>
  <si>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</si>
  <si>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</si>
  <si>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</si>
  <si>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</si>
  <si>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</si>
  <si>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</si>
  <si>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</si>
  <si>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</si>
  <si>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</si>
  <si>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</si>
  <si>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</si>
  <si>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</si>
  <si>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</si>
  <si>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</si>
  <si>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</si>
  <si>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</si>
  <si>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</si>
  <si>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</si>
  <si>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</si>
  <si>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</si>
  <si>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</si>
  <si>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</si>
  <si>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</si>
  <si>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</si>
  <si>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</si>
  <si>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</si>
  <si>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</si>
  <si>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</si>
  <si>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</si>
  <si>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</si>
  <si>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</si>
  <si>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</si>
  <si>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</si>
  <si>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</si>
  <si>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</si>
  <si>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</si>
  <si>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</si>
  <si>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</si>
  <si>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</si>
  <si>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</si>
  <si>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</si>
  <si>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</si>
  <si>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</si>
  <si>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</si>
  <si>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</si>
  <si>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</si>
  <si>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</si>
  <si>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</si>
  <si>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</si>
  <si>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</si>
  <si>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</si>
  <si>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</si>
  <si>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</si>
  <si>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</si>
  <si>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</si>
  <si>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</si>
  <si>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</si>
  <si>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</si>
  <si>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</si>
  <si>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</si>
  <si>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</si>
  <si>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</si>
  <si>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</si>
  <si>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</si>
  <si>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</si>
  <si>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</si>
  <si>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</si>
  <si>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</si>
  <si>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</si>
  <si>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</si>
  <si>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</si>
  <si>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</si>
  <si>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</si>
  <si>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</si>
  <si>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</si>
  <si>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</si>
  <si>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</si>
  <si>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</si>
  <si>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</si>
  <si>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</si>
  <si>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</si>
  <si>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</si>
  <si>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</si>
  <si>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</si>
  <si>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</si>
  <si>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</si>
  <si>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</si>
  <si>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</si>
  <si>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</si>
  <si>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</si>
  <si>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</si>
  <si>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</si>
  <si>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</si>
  <si>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</si>
  <si>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</si>
  <si>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</si>
  <si>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</si>
  <si>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</si>
  <si>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</si>
  <si>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</si>
  <si>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</si>
  <si>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</si>
  <si>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</si>
  <si>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</si>
  <si>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</si>
  <si>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</si>
  <si>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</si>
  <si>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</si>
  <si>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</si>
  <si>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</si>
  <si>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</si>
  <si>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</si>
  <si>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</si>
  <si>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</si>
  <si>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</si>
  <si>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</si>
  <si>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</si>
  <si>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</si>
  <si>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</si>
  <si>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</si>
  <si>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</si>
  <si>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</si>
  <si>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</si>
  <si>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</si>
  <si>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</si>
  <si>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</si>
  <si>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</si>
  <si>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</si>
  <si>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</si>
  <si>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</si>
  <si>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</si>
  <si>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</si>
  <si>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</si>
  <si>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</si>
  <si>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</si>
  <si>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</si>
  <si>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</si>
  <si>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</si>
  <si>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</si>
  <si>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</si>
  <si>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</si>
  <si>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</si>
  <si>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</si>
  <si>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</si>
  <si>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</si>
  <si>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</si>
  <si>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</si>
  <si>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</si>
  <si>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</si>
  <si>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</si>
  <si>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</si>
  <si>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</si>
  <si>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</si>
  <si>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</si>
  <si>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</si>
  <si>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</si>
  <si>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</si>
  <si>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</si>
  <si>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</si>
  <si>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</si>
  <si>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</si>
  <si>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</si>
  <si>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</si>
  <si>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</si>
  <si>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</si>
  <si>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</si>
  <si>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</si>
  <si>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</si>
  <si>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</si>
  <si>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</si>
  <si>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</si>
  <si>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</si>
  <si>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</si>
  <si>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</si>
  <si>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</si>
  <si>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</si>
  <si>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</si>
  <si>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</si>
  <si>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</si>
  <si>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</si>
  <si>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</si>
  <si>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</si>
  <si>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</si>
  <si>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სს "კრედობანკი"</t>
  </si>
  <si>
    <t>ტომას ენგელჰარდტი</t>
  </si>
  <si>
    <t>ზაალ ფირცხელავა</t>
  </si>
  <si>
    <t>www.credo.ge</t>
  </si>
  <si>
    <t>X</t>
  </si>
  <si>
    <t>Thomas Engelhardt (Germany)</t>
  </si>
  <si>
    <t>Access Microfinance Holding AG</t>
  </si>
  <si>
    <t>Franciscus Bernardus Martinus Streppel (Netherlands)</t>
  </si>
  <si>
    <t>Triodos Fund</t>
  </si>
  <si>
    <t>Paul-Catalin Panciu (Romania)</t>
  </si>
  <si>
    <t>დამოუკიდებელი წევრი</t>
  </si>
  <si>
    <t>Johannes Mainhardt (Germany)</t>
  </si>
  <si>
    <t>Andrew Pospielovsky (Great Britain)</t>
  </si>
  <si>
    <t>გენერალური დირექტორი</t>
  </si>
  <si>
    <t>ერეკლე ზათიაშვილი</t>
  </si>
  <si>
    <t>საკრედიტო ოპერაციების დირექტორი</t>
  </si>
  <si>
    <t>ზაზა ტყეშელაშვილი</t>
  </si>
  <si>
    <t>ფინანსური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</si>
  <si>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</si>
  <si>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</si>
  <si>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</si>
  <si>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</si>
  <si>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</si>
  <si>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</si>
  <si>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</si>
  <si>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</si>
  <si>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</si>
  <si>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</si>
  <si>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</si>
  <si>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</si>
  <si>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</si>
  <si>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</si>
  <si>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</si>
  <si>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</si>
  <si>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Microfinance Fund (USA)</t>
  </si>
  <si>
    <t>ცხრილი 9 (Capital), C46</t>
  </si>
  <si>
    <t>ცხრილი 9 (Capital), C15</t>
  </si>
  <si>
    <t>ცხრილი 9 (Capital), C44</t>
  </si>
  <si>
    <t>ცხრილი 9 (Capital), C7</t>
  </si>
  <si>
    <t>ცხრილი 9 (Capital), C11</t>
  </si>
  <si>
    <t>ცხრილი 9 (Capital), C9</t>
  </si>
  <si>
    <t>Assets</t>
  </si>
  <si>
    <t>Ave ass</t>
  </si>
  <si>
    <t>Equity</t>
  </si>
  <si>
    <t>Ave Equity</t>
  </si>
  <si>
    <t>Dec</t>
  </si>
  <si>
    <t>JAN</t>
  </si>
  <si>
    <t>FEB</t>
  </si>
  <si>
    <t>MARCH</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</si>
</sst>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1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Geo_Arial"/>
      <family val="2"/>
    </font>
    <font>
      <sz val="9"/>
      <color rgb="FFFF0000"/>
      <name val="Arial"/>
      <family val="2"/>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thin">
        <color theme="6" tint="-0.499984740745262"/>
      </left>
      <right style="medium">
        <color indexed="64"/>
      </right>
      <top style="thin">
        <color indexed="64"/>
      </top>
      <bottom style="thin">
        <color theme="6" tint="-0.499984740745262"/>
      </bottom>
      <diagonal/>
    </border>
    <border>
      <left style="medium">
        <color indexed="64"/>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3" applyNumberFormat="0" applyAlignment="0" applyProtection="0">
      <alignment horizontal="left" vertical="center"/>
    </xf>
    <xf numFmtId="0" fontId="56" fillId="0" borderId="33" applyNumberFormat="0" applyAlignment="0" applyProtection="0">
      <alignment horizontal="left" vertical="center"/>
    </xf>
    <xf numFmtId="168" fontId="56" fillId="0" borderId="33"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1" applyNumberFormat="0" applyFill="0" applyAlignment="0" applyProtection="0"/>
    <xf numFmtId="168" fontId="96" fillId="0" borderId="91" applyNumberFormat="0" applyFill="0" applyAlignment="0" applyProtection="0"/>
    <xf numFmtId="169" fontId="96" fillId="0" borderId="91" applyNumberFormat="0" applyFill="0" applyAlignment="0" applyProtection="0"/>
    <xf numFmtId="168" fontId="96" fillId="0" borderId="91" applyNumberFormat="0" applyFill="0" applyAlignment="0" applyProtection="0"/>
    <xf numFmtId="168" fontId="96" fillId="0" borderId="91" applyNumberFormat="0" applyFill="0" applyAlignment="0" applyProtection="0"/>
    <xf numFmtId="169" fontId="96" fillId="0" borderId="91" applyNumberFormat="0" applyFill="0" applyAlignment="0" applyProtection="0"/>
    <xf numFmtId="168" fontId="96" fillId="0" borderId="91" applyNumberFormat="0" applyFill="0" applyAlignment="0" applyProtection="0"/>
    <xf numFmtId="168" fontId="96" fillId="0" borderId="91" applyNumberFormat="0" applyFill="0" applyAlignment="0" applyProtection="0"/>
    <xf numFmtId="169" fontId="96" fillId="0" borderId="91" applyNumberFormat="0" applyFill="0" applyAlignment="0" applyProtection="0"/>
    <xf numFmtId="168" fontId="96" fillId="0" borderId="91" applyNumberFormat="0" applyFill="0" applyAlignment="0" applyProtection="0"/>
    <xf numFmtId="168" fontId="96" fillId="0" borderId="91" applyNumberFormat="0" applyFill="0" applyAlignment="0" applyProtection="0"/>
    <xf numFmtId="169" fontId="96" fillId="0" borderId="91" applyNumberFormat="0" applyFill="0" applyAlignment="0" applyProtection="0"/>
    <xf numFmtId="168" fontId="96"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169" fontId="96"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168" fontId="96"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168" fontId="96"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0" fontId="49" fillId="0" borderId="91" applyNumberFormat="0" applyFill="0" applyAlignment="0" applyProtection="0"/>
    <xf numFmtId="188" fontId="2" fillId="70" borderId="85" applyFont="0">
      <alignment horizontal="right" vertical="center"/>
    </xf>
    <xf numFmtId="3" fontId="2" fillId="70" borderId="85" applyFont="0">
      <alignment horizontal="right" vertical="center"/>
    </xf>
    <xf numFmtId="0" fontId="85" fillId="64" borderId="90" applyNumberFormat="0" applyAlignment="0" applyProtection="0"/>
    <xf numFmtId="168" fontId="87" fillId="64" borderId="90" applyNumberFormat="0" applyAlignment="0" applyProtection="0"/>
    <xf numFmtId="169" fontId="87" fillId="64" borderId="90" applyNumberFormat="0" applyAlignment="0" applyProtection="0"/>
    <xf numFmtId="168" fontId="87" fillId="64" borderId="90" applyNumberFormat="0" applyAlignment="0" applyProtection="0"/>
    <xf numFmtId="168" fontId="87" fillId="64" borderId="90" applyNumberFormat="0" applyAlignment="0" applyProtection="0"/>
    <xf numFmtId="169" fontId="87" fillId="64" borderId="90" applyNumberFormat="0" applyAlignment="0" applyProtection="0"/>
    <xf numFmtId="168" fontId="87" fillId="64" borderId="90" applyNumberFormat="0" applyAlignment="0" applyProtection="0"/>
    <xf numFmtId="168" fontId="87" fillId="64" borderId="90" applyNumberFormat="0" applyAlignment="0" applyProtection="0"/>
    <xf numFmtId="169" fontId="87" fillId="64" borderId="90" applyNumberFormat="0" applyAlignment="0" applyProtection="0"/>
    <xf numFmtId="168" fontId="87" fillId="64" borderId="90" applyNumberFormat="0" applyAlignment="0" applyProtection="0"/>
    <xf numFmtId="168" fontId="87" fillId="64" borderId="90" applyNumberFormat="0" applyAlignment="0" applyProtection="0"/>
    <xf numFmtId="169" fontId="87" fillId="64" borderId="90" applyNumberFormat="0" applyAlignment="0" applyProtection="0"/>
    <xf numFmtId="168" fontId="87"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169" fontId="87"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168" fontId="87"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168" fontId="87"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0" fontId="85" fillId="64" borderId="90" applyNumberFormat="0" applyAlignment="0" applyProtection="0"/>
    <xf numFmtId="3" fontId="2" fillId="75" borderId="85" applyFont="0">
      <alignment horizontal="right" vertical="center"/>
      <protection locked="0"/>
    </xf>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 fillId="74" borderId="89" applyNumberFormat="0" applyFont="0" applyAlignment="0" applyProtection="0"/>
    <xf numFmtId="0" fontId="29"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0" fontId="29" fillId="74" borderId="89" applyNumberFormat="0" applyFont="0" applyAlignment="0" applyProtection="0"/>
    <xf numFmtId="3" fontId="2" fillId="72" borderId="85" applyFont="0">
      <alignment horizontal="right" vertical="center"/>
      <protection locked="0"/>
    </xf>
    <xf numFmtId="0" fontId="68" fillId="43" borderId="88" applyNumberFormat="0" applyAlignment="0" applyProtection="0"/>
    <xf numFmtId="168" fontId="70" fillId="43" borderId="88" applyNumberFormat="0" applyAlignment="0" applyProtection="0"/>
    <xf numFmtId="169" fontId="70" fillId="43" borderId="88" applyNumberFormat="0" applyAlignment="0" applyProtection="0"/>
    <xf numFmtId="168" fontId="70" fillId="43" borderId="88" applyNumberFormat="0" applyAlignment="0" applyProtection="0"/>
    <xf numFmtId="168" fontId="70" fillId="43" borderId="88" applyNumberFormat="0" applyAlignment="0" applyProtection="0"/>
    <xf numFmtId="169" fontId="70" fillId="43" borderId="88" applyNumberFormat="0" applyAlignment="0" applyProtection="0"/>
    <xf numFmtId="168" fontId="70" fillId="43" borderId="88" applyNumberFormat="0" applyAlignment="0" applyProtection="0"/>
    <xf numFmtId="168" fontId="70" fillId="43" borderId="88" applyNumberFormat="0" applyAlignment="0" applyProtection="0"/>
    <xf numFmtId="169" fontId="70" fillId="43" borderId="88" applyNumberFormat="0" applyAlignment="0" applyProtection="0"/>
    <xf numFmtId="168" fontId="70" fillId="43" borderId="88" applyNumberFormat="0" applyAlignment="0" applyProtection="0"/>
    <xf numFmtId="168" fontId="70" fillId="43" borderId="88" applyNumberFormat="0" applyAlignment="0" applyProtection="0"/>
    <xf numFmtId="169" fontId="70" fillId="43" borderId="88" applyNumberFormat="0" applyAlignment="0" applyProtection="0"/>
    <xf numFmtId="168" fontId="70"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169" fontId="70"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168" fontId="70"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168" fontId="70"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68" fillId="43" borderId="88" applyNumberFormat="0" applyAlignment="0" applyProtection="0"/>
    <xf numFmtId="0" fontId="2" fillId="71" borderId="86" applyNumberFormat="0" applyFont="0" applyBorder="0" applyProtection="0">
      <alignment horizontal="left" vertical="center"/>
    </xf>
    <xf numFmtId="9" fontId="2" fillId="71" borderId="85" applyFont="0" applyProtection="0">
      <alignment horizontal="right" vertical="center"/>
    </xf>
    <xf numFmtId="3" fontId="2" fillId="71" borderId="85" applyFont="0" applyProtection="0">
      <alignment horizontal="right" vertical="center"/>
    </xf>
    <xf numFmtId="0" fontId="64" fillId="70" borderId="86" applyFont="0" applyBorder="0">
      <alignment horizontal="center" wrapText="1"/>
    </xf>
    <xf numFmtId="168" fontId="56" fillId="0" borderId="83">
      <alignment horizontal="left" vertical="center"/>
    </xf>
    <xf numFmtId="0" fontId="56" fillId="0" borderId="83">
      <alignment horizontal="left" vertical="center"/>
    </xf>
    <xf numFmtId="0" fontId="56" fillId="0" borderId="83">
      <alignment horizontal="left" vertical="center"/>
    </xf>
    <xf numFmtId="0" fontId="2" fillId="69" borderId="85" applyNumberFormat="0" applyFont="0" applyBorder="0" applyProtection="0">
      <alignment horizontal="center" vertical="center"/>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38" fillId="0" borderId="85" applyNumberFormat="0" applyAlignment="0">
      <alignment horizontal="right"/>
      <protection locked="0"/>
    </xf>
    <xf numFmtId="0" fontId="40" fillId="64" borderId="88" applyNumberFormat="0" applyAlignment="0" applyProtection="0"/>
    <xf numFmtId="168" fontId="42" fillId="64" borderId="88" applyNumberFormat="0" applyAlignment="0" applyProtection="0"/>
    <xf numFmtId="169" fontId="42" fillId="64" borderId="88" applyNumberFormat="0" applyAlignment="0" applyProtection="0"/>
    <xf numFmtId="168" fontId="42" fillId="64" borderId="88" applyNumberFormat="0" applyAlignment="0" applyProtection="0"/>
    <xf numFmtId="168" fontId="42" fillId="64" borderId="88" applyNumberFormat="0" applyAlignment="0" applyProtection="0"/>
    <xf numFmtId="169" fontId="42" fillId="64" borderId="88" applyNumberFormat="0" applyAlignment="0" applyProtection="0"/>
    <xf numFmtId="168" fontId="42" fillId="64" borderId="88" applyNumberFormat="0" applyAlignment="0" applyProtection="0"/>
    <xf numFmtId="168" fontId="42" fillId="64" borderId="88" applyNumberFormat="0" applyAlignment="0" applyProtection="0"/>
    <xf numFmtId="169" fontId="42" fillId="64" borderId="88" applyNumberFormat="0" applyAlignment="0" applyProtection="0"/>
    <xf numFmtId="168" fontId="42" fillId="64" borderId="88" applyNumberFormat="0" applyAlignment="0" applyProtection="0"/>
    <xf numFmtId="168" fontId="42" fillId="64" borderId="88" applyNumberFormat="0" applyAlignment="0" applyProtection="0"/>
    <xf numFmtId="169" fontId="42" fillId="64" borderId="88" applyNumberFormat="0" applyAlignment="0" applyProtection="0"/>
    <xf numFmtId="168" fontId="42"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169" fontId="42"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168" fontId="42"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168" fontId="42"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40" fillId="64" borderId="88" applyNumberFormat="0" applyAlignment="0" applyProtection="0"/>
    <xf numFmtId="0" fontId="1" fillId="0" borderId="0"/>
    <xf numFmtId="169" fontId="28" fillId="37" borderId="0"/>
    <xf numFmtId="0" fontId="2" fillId="0" borderId="0">
      <alignment vertical="center"/>
    </xf>
    <xf numFmtId="0" fontId="1" fillId="0" borderId="0"/>
    <xf numFmtId="166" fontId="1" fillId="0" borderId="0" applyFont="0" applyFill="0" applyBorder="0" applyAlignment="0" applyProtection="0"/>
  </cellStyleXfs>
  <cellXfs count="58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3"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5" xfId="0" applyFont="1" applyBorder="1" applyAlignment="1">
      <alignment wrapText="1"/>
    </xf>
    <xf numFmtId="0" fontId="25" fillId="0" borderId="11" xfId="0" applyFont="1" applyBorder="1" applyAlignment="1">
      <alignment wrapText="1"/>
    </xf>
    <xf numFmtId="0" fontId="19" fillId="0" borderId="11" xfId="0" applyFont="1" applyBorder="1" applyAlignment="1">
      <alignment wrapText="1"/>
    </xf>
    <xf numFmtId="0" fontId="19" fillId="0" borderId="11" xfId="0" applyFont="1" applyBorder="1" applyAlignment="1">
      <alignment horizontal="right" wrapText="1"/>
    </xf>
    <xf numFmtId="0" fontId="25" fillId="0" borderId="12" xfId="0" applyFont="1" applyBorder="1" applyAlignment="1">
      <alignment wrapText="1"/>
    </xf>
    <xf numFmtId="0" fontId="19" fillId="0" borderId="12" xfId="0" applyFont="1" applyBorder="1" applyAlignment="1">
      <alignment horizontal="right" wrapText="1"/>
    </xf>
    <xf numFmtId="0" fontId="24" fillId="36" borderId="15" xfId="0" applyFont="1" applyFill="1" applyBorder="1" applyAlignment="1">
      <alignment wrapText="1"/>
    </xf>
    <xf numFmtId="0" fontId="4" fillId="0" borderId="21"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2" borderId="24" xfId="0" applyFont="1" applyFill="1" applyBorder="1" applyAlignment="1">
      <alignment horizontal="right" vertical="center"/>
    </xf>
    <xf numFmtId="0" fontId="20" fillId="0" borderId="18" xfId="0" applyFont="1" applyFill="1" applyBorder="1" applyAlignment="1">
      <alignment horizontal="left" vertical="center" indent="1"/>
    </xf>
    <xf numFmtId="0" fontId="20" fillId="0" borderId="19" xfId="0" applyFont="1" applyFill="1" applyBorder="1" applyAlignment="1">
      <alignment horizontal="left" vertical="center"/>
    </xf>
    <xf numFmtId="0" fontId="20" fillId="0" borderId="21" xfId="0" applyFont="1" applyFill="1" applyBorder="1" applyAlignment="1">
      <alignment horizontal="left" vertical="center" indent="1"/>
    </xf>
    <xf numFmtId="0" fontId="20" fillId="0" borderId="22" xfId="0" applyFont="1" applyFill="1" applyBorder="1" applyAlignment="1">
      <alignment horizontal="center" vertical="center" wrapText="1"/>
    </xf>
    <xf numFmtId="0" fontId="20" fillId="0" borderId="21" xfId="0" applyFont="1" applyFill="1" applyBorder="1" applyAlignment="1">
      <alignment horizontal="left" indent="1"/>
    </xf>
    <xf numFmtId="38" fontId="20" fillId="0" borderId="22" xfId="0" applyNumberFormat="1" applyFont="1" applyFill="1" applyBorder="1" applyAlignment="1" applyProtection="1">
      <alignment horizontal="right"/>
      <protection locked="0"/>
    </xf>
    <xf numFmtId="0" fontId="20" fillId="0" borderId="24" xfId="0" applyFont="1" applyFill="1" applyBorder="1" applyAlignment="1">
      <alignment horizontal="left" vertical="center" indent="1"/>
    </xf>
    <xf numFmtId="0" fontId="21" fillId="0" borderId="25" xfId="0" applyFont="1" applyFill="1" applyBorder="1" applyAlignment="1"/>
    <xf numFmtId="0" fontId="4" fillId="0" borderId="59" xfId="0" applyFont="1" applyBorder="1"/>
    <xf numFmtId="0" fontId="22" fillId="0" borderId="24" xfId="0" applyFont="1" applyBorder="1" applyAlignment="1">
      <alignment horizontal="center"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5" fillId="0" borderId="21" xfId="0"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8"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0" fontId="25" fillId="0" borderId="24"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6" borderId="66" xfId="0" applyNumberFormat="1" applyFont="1" applyFill="1" applyBorder="1" applyAlignment="1">
      <alignment horizontal="center"/>
    </xf>
    <xf numFmtId="193" fontId="9" fillId="2" borderId="25"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2"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2"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3" fillId="36" borderId="25" xfId="0" applyNumberFormat="1" applyFont="1" applyFill="1" applyBorder="1" applyAlignment="1">
      <alignment vertical="center" wrapText="1"/>
    </xf>
    <xf numFmtId="3" fontId="23"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5" fillId="0" borderId="34" xfId="0" applyNumberFormat="1" applyFont="1" applyBorder="1" applyAlignment="1">
      <alignment vertical="center"/>
    </xf>
    <xf numFmtId="193" fontId="25" fillId="0" borderId="13" xfId="0" applyNumberFormat="1" applyFont="1" applyBorder="1" applyAlignment="1">
      <alignment vertical="center"/>
    </xf>
    <xf numFmtId="193" fontId="19" fillId="0" borderId="13" xfId="0" applyNumberFormat="1" applyFont="1" applyBorder="1" applyAlignment="1">
      <alignment vertical="center"/>
    </xf>
    <xf numFmtId="193" fontId="25" fillId="0" borderId="14" xfId="0" applyNumberFormat="1" applyFont="1" applyBorder="1" applyAlignment="1">
      <alignment vertical="center"/>
    </xf>
    <xf numFmtId="193" fontId="24" fillId="36" borderId="16" xfId="0" applyNumberFormat="1" applyFont="1" applyFill="1" applyBorder="1" applyAlignment="1">
      <alignment vertical="center"/>
    </xf>
    <xf numFmtId="193" fontId="25" fillId="0" borderId="17" xfId="0" applyNumberFormat="1" applyFont="1" applyBorder="1" applyAlignment="1">
      <alignment vertical="center"/>
    </xf>
    <xf numFmtId="193" fontId="19" fillId="0" borderId="14" xfId="0" applyNumberFormat="1" applyFont="1" applyBorder="1" applyAlignment="1">
      <alignment vertical="center"/>
    </xf>
    <xf numFmtId="193" fontId="24" fillId="36" borderId="63" xfId="0" applyNumberFormat="1" applyFont="1" applyFill="1" applyBorder="1" applyAlignment="1">
      <alignment vertical="center"/>
    </xf>
    <xf numFmtId="193" fontId="25"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6"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5"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67" fontId="4" fillId="0" borderId="22" xfId="0" applyNumberFormat="1" applyFont="1" applyBorder="1" applyAlignment="1"/>
    <xf numFmtId="167" fontId="6" fillId="36" borderId="25" xfId="0" applyNumberFormat="1" applyFont="1" applyFill="1" applyBorder="1" applyAlignment="1">
      <alignment horizontal="center" vertical="center"/>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169" fontId="28" fillId="37" borderId="0" xfId="20" applyBorder="1"/>
    <xf numFmtId="169" fontId="28" fillId="37" borderId="78" xfId="20" applyBorder="1"/>
    <xf numFmtId="0" fontId="4" fillId="0" borderId="7" xfId="0" applyFont="1" applyFill="1" applyBorder="1" applyAlignment="1">
      <alignment vertical="center"/>
    </xf>
    <xf numFmtId="0" fontId="4" fillId="0" borderId="85" xfId="0" applyFont="1" applyFill="1" applyBorder="1" applyAlignment="1">
      <alignment vertical="center"/>
    </xf>
    <xf numFmtId="0" fontId="6" fillId="0" borderId="85" xfId="0" applyFont="1" applyFill="1" applyBorder="1" applyAlignment="1">
      <alignment vertical="center"/>
    </xf>
    <xf numFmtId="0" fontId="4" fillId="0" borderId="19" xfId="0" applyFont="1" applyFill="1" applyBorder="1" applyAlignment="1">
      <alignment vertical="center"/>
    </xf>
    <xf numFmtId="0" fontId="4" fillId="0" borderId="80" xfId="0" applyFont="1" applyFill="1" applyBorder="1" applyAlignment="1">
      <alignment vertical="center"/>
    </xf>
    <xf numFmtId="0" fontId="4" fillId="0" borderId="82" xfId="0" applyFont="1" applyFill="1" applyBorder="1" applyAlignment="1">
      <alignment vertical="center"/>
    </xf>
    <xf numFmtId="0" fontId="4" fillId="0" borderId="18"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5" xfId="0" applyFont="1" applyFill="1" applyBorder="1" applyAlignment="1">
      <alignment horizontal="center" vertical="center"/>
    </xf>
    <xf numFmtId="169" fontId="28" fillId="37" borderId="33" xfId="20" applyBorder="1"/>
    <xf numFmtId="169" fontId="28" fillId="37" borderId="96" xfId="20" applyBorder="1"/>
    <xf numFmtId="169" fontId="28" fillId="37" borderId="87" xfId="20" applyBorder="1"/>
    <xf numFmtId="169" fontId="28" fillId="37" borderId="60" xfId="20" applyBorder="1"/>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5" xfId="0" applyFont="1" applyFill="1" applyBorder="1" applyAlignment="1">
      <alignment horizontal="center" vertical="center"/>
    </xf>
    <xf numFmtId="0" fontId="4" fillId="3" borderId="83" xfId="0" applyFont="1" applyFill="1" applyBorder="1" applyAlignment="1">
      <alignment vertical="center"/>
    </xf>
    <xf numFmtId="0" fontId="14" fillId="3" borderId="97" xfId="0" applyFont="1" applyFill="1" applyBorder="1" applyAlignment="1">
      <alignment horizontal="left"/>
    </xf>
    <xf numFmtId="0" fontId="14" fillId="3" borderId="98" xfId="0" applyFont="1" applyFill="1" applyBorder="1" applyAlignment="1">
      <alignment horizontal="left"/>
    </xf>
    <xf numFmtId="0" fontId="4" fillId="0" borderId="0" xfId="0" applyFont="1"/>
    <xf numFmtId="0" fontId="4" fillId="0" borderId="0" xfId="0" applyFont="1" applyFill="1"/>
    <xf numFmtId="0" fontId="4" fillId="0" borderId="85"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6" fillId="3" borderId="100" xfId="0" applyFont="1" applyFill="1" applyBorder="1" applyAlignment="1">
      <alignment vertical="center"/>
    </xf>
    <xf numFmtId="0" fontId="4" fillId="3" borderId="23" xfId="0" applyFont="1" applyFill="1" applyBorder="1" applyAlignment="1">
      <alignment vertical="center"/>
    </xf>
    <xf numFmtId="0" fontId="4" fillId="0" borderId="101" xfId="0" applyFont="1" applyFill="1" applyBorder="1" applyAlignment="1">
      <alignment horizontal="center" vertical="center"/>
    </xf>
    <xf numFmtId="0" fontId="6" fillId="0" borderId="25" xfId="0" applyFont="1" applyFill="1" applyBorder="1" applyAlignment="1">
      <alignment vertical="center"/>
    </xf>
    <xf numFmtId="169" fontId="28" fillId="37" borderId="27" xfId="20" applyBorder="1"/>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193"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1" xfId="0" applyBorder="1"/>
    <xf numFmtId="0" fontId="0" fillId="0" borderId="101" xfId="0" applyBorder="1" applyAlignment="1">
      <alignment horizontal="center"/>
    </xf>
    <xf numFmtId="0" fontId="4" fillId="0" borderId="84" xfId="0" applyFont="1" applyBorder="1" applyAlignment="1">
      <alignment vertical="center" wrapText="1"/>
    </xf>
    <xf numFmtId="167" fontId="4" fillId="0" borderId="85" xfId="0" applyNumberFormat="1" applyFont="1" applyBorder="1" applyAlignment="1">
      <alignment horizontal="center" vertical="center"/>
    </xf>
    <xf numFmtId="167" fontId="4" fillId="0" borderId="99" xfId="0" applyNumberFormat="1" applyFont="1" applyBorder="1" applyAlignment="1">
      <alignment horizontal="center" vertical="center"/>
    </xf>
    <xf numFmtId="167" fontId="14" fillId="0" borderId="85" xfId="0" applyNumberFormat="1" applyFont="1" applyBorder="1" applyAlignment="1">
      <alignment horizontal="center" vertical="center"/>
    </xf>
    <xf numFmtId="0" fontId="14" fillId="0" borderId="84" xfId="0" applyFont="1" applyBorder="1" applyAlignment="1">
      <alignment vertical="center" wrapText="1"/>
    </xf>
    <xf numFmtId="0" fontId="0" fillId="0" borderId="24" xfId="0" applyBorder="1"/>
    <xf numFmtId="0" fontId="6" fillId="36" borderId="102"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01" xfId="0" applyFont="1" applyFill="1" applyBorder="1" applyAlignment="1">
      <alignment horizontal="left" vertical="center" wrapText="1"/>
    </xf>
    <xf numFmtId="0" fontId="6" fillId="36" borderId="85" xfId="0" applyFont="1" applyFill="1" applyBorder="1" applyAlignment="1">
      <alignment horizontal="left" vertical="center" wrapText="1"/>
    </xf>
    <xf numFmtId="0" fontId="6" fillId="36" borderId="99" xfId="0" applyFont="1" applyFill="1" applyBorder="1" applyAlignment="1">
      <alignment horizontal="left" vertical="center" wrapText="1"/>
    </xf>
    <xf numFmtId="0" fontId="4" fillId="0" borderId="101" xfId="0" applyFont="1" applyFill="1" applyBorder="1" applyAlignment="1">
      <alignment horizontal="right" vertical="center" wrapText="1"/>
    </xf>
    <xf numFmtId="0" fontId="4" fillId="0" borderId="85" xfId="0" applyFont="1" applyFill="1" applyBorder="1" applyAlignment="1">
      <alignment horizontal="left" vertical="center" wrapText="1"/>
    </xf>
    <xf numFmtId="0" fontId="108" fillId="0" borderId="101" xfId="0" applyFont="1" applyFill="1" applyBorder="1" applyAlignment="1">
      <alignment horizontal="right" vertical="center" wrapText="1"/>
    </xf>
    <xf numFmtId="0" fontId="108" fillId="0" borderId="85" xfId="0" applyFont="1" applyFill="1" applyBorder="1" applyAlignment="1">
      <alignment horizontal="left" vertical="center" wrapText="1"/>
    </xf>
    <xf numFmtId="0" fontId="6" fillId="0" borderId="101"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4" xfId="5" applyNumberFormat="1" applyFont="1" applyFill="1" applyBorder="1" applyAlignment="1" applyProtection="1">
      <alignment horizontal="left" vertical="center"/>
      <protection locked="0"/>
    </xf>
    <xf numFmtId="0" fontId="110" fillId="0" borderId="25" xfId="9" applyFont="1" applyFill="1" applyBorder="1" applyAlignment="1" applyProtection="1">
      <alignment horizontal="left" vertical="center" wrapText="1"/>
      <protection locked="0"/>
    </xf>
    <xf numFmtId="0" fontId="22" fillId="0" borderId="101" xfId="0" applyFont="1" applyBorder="1" applyAlignment="1">
      <alignment horizontal="center" vertical="center" wrapText="1"/>
    </xf>
    <xf numFmtId="3" fontId="23" fillId="36" borderId="85" xfId="0" applyNumberFormat="1" applyFont="1" applyFill="1" applyBorder="1" applyAlignment="1">
      <alignment vertical="center" wrapText="1"/>
    </xf>
    <xf numFmtId="3" fontId="23" fillId="36" borderId="99" xfId="0" applyNumberFormat="1" applyFont="1" applyFill="1" applyBorder="1" applyAlignment="1">
      <alignment vertical="center" wrapText="1"/>
    </xf>
    <xf numFmtId="14" fontId="7" fillId="3" borderId="85" xfId="8" quotePrefix="1" applyNumberFormat="1" applyFont="1" applyFill="1" applyBorder="1" applyAlignment="1" applyProtection="1">
      <alignment horizontal="left" vertical="center" wrapText="1" indent="2"/>
      <protection locked="0"/>
    </xf>
    <xf numFmtId="3" fontId="23" fillId="0" borderId="85" xfId="0" applyNumberFormat="1" applyFont="1" applyBorder="1" applyAlignment="1">
      <alignment vertical="center" wrapText="1"/>
    </xf>
    <xf numFmtId="14" fontId="7" fillId="3" borderId="85" xfId="8" quotePrefix="1" applyNumberFormat="1" applyFont="1" applyFill="1" applyBorder="1" applyAlignment="1" applyProtection="1">
      <alignment horizontal="left" vertical="center" wrapText="1" indent="3"/>
      <protection locked="0"/>
    </xf>
    <xf numFmtId="3" fontId="23" fillId="0" borderId="85" xfId="0" applyNumberFormat="1" applyFont="1" applyFill="1" applyBorder="1" applyAlignment="1">
      <alignment vertical="center" wrapText="1"/>
    </xf>
    <xf numFmtId="0" fontId="11" fillId="0" borderId="85" xfId="17" applyFill="1" applyBorder="1" applyAlignment="1" applyProtection="1"/>
    <xf numFmtId="49" fontId="108" fillId="0" borderId="101" xfId="0" applyNumberFormat="1" applyFont="1" applyFill="1" applyBorder="1" applyAlignment="1">
      <alignment horizontal="right" vertical="center" wrapText="1"/>
    </xf>
    <xf numFmtId="0" fontId="7" fillId="3" borderId="85" xfId="20960" applyFont="1" applyFill="1" applyBorder="1" applyAlignment="1" applyProtection="1"/>
    <xf numFmtId="0" fontId="105" fillId="0" borderId="85" xfId="20960" applyFont="1" applyFill="1" applyBorder="1" applyAlignment="1" applyProtection="1">
      <alignment horizontal="center" vertical="center"/>
    </xf>
    <xf numFmtId="0" fontId="4" fillId="0" borderId="85" xfId="0" applyFont="1" applyBorder="1"/>
    <xf numFmtId="0" fontId="11" fillId="0" borderId="85" xfId="17" applyFill="1" applyBorder="1" applyAlignment="1" applyProtection="1">
      <alignment horizontal="left" vertical="center" wrapText="1"/>
    </xf>
    <xf numFmtId="49" fontId="108" fillId="0" borderId="85" xfId="0" applyNumberFormat="1" applyFont="1" applyFill="1" applyBorder="1" applyAlignment="1">
      <alignment horizontal="right" vertical="center" wrapText="1"/>
    </xf>
    <xf numFmtId="0" fontId="11" fillId="0" borderId="85" xfId="17" applyFill="1" applyBorder="1" applyAlignment="1" applyProtection="1">
      <alignment horizontal="left" vertical="center"/>
    </xf>
    <xf numFmtId="0" fontId="11" fillId="0" borderId="85" xfId="17" applyBorder="1" applyAlignment="1" applyProtection="1"/>
    <xf numFmtId="0" fontId="4" fillId="0" borderId="85" xfId="0" applyFont="1" applyFill="1" applyBorder="1"/>
    <xf numFmtId="0" fontId="22" fillId="0" borderId="101" xfId="0" applyFont="1" applyFill="1" applyBorder="1" applyAlignment="1">
      <alignment horizontal="center" vertical="center" wrapText="1"/>
    </xf>
    <xf numFmtId="0" fontId="111" fillId="77" borderId="86" xfId="21412" applyFont="1" applyFill="1" applyBorder="1" applyAlignment="1" applyProtection="1">
      <alignment vertical="center" wrapText="1"/>
      <protection locked="0"/>
    </xf>
    <xf numFmtId="0" fontId="112" fillId="70" borderId="80" xfId="21412" applyFont="1" applyFill="1" applyBorder="1" applyAlignment="1" applyProtection="1">
      <alignment horizontal="center" vertical="center"/>
      <protection locked="0"/>
    </xf>
    <xf numFmtId="0" fontId="111" fillId="78" borderId="85" xfId="21412" applyFont="1" applyFill="1" applyBorder="1" applyAlignment="1" applyProtection="1">
      <alignment horizontal="center" vertical="center"/>
      <protection locked="0"/>
    </xf>
    <xf numFmtId="0" fontId="111" fillId="77" borderId="86" xfId="21412" applyFont="1" applyFill="1" applyBorder="1" applyAlignment="1" applyProtection="1">
      <alignment vertical="center"/>
      <protection locked="0"/>
    </xf>
    <xf numFmtId="0" fontId="113" fillId="70" borderId="80" xfId="21412" applyFont="1" applyFill="1" applyBorder="1" applyAlignment="1" applyProtection="1">
      <alignment horizontal="center" vertical="center"/>
      <protection locked="0"/>
    </xf>
    <xf numFmtId="0" fontId="113" fillId="3" borderId="80" xfId="21412" applyFont="1" applyFill="1" applyBorder="1" applyAlignment="1" applyProtection="1">
      <alignment horizontal="center" vertical="center"/>
      <protection locked="0"/>
    </xf>
    <xf numFmtId="0" fontId="113" fillId="0" borderId="80" xfId="21412" applyFont="1" applyFill="1" applyBorder="1" applyAlignment="1" applyProtection="1">
      <alignment horizontal="center" vertical="center"/>
      <protection locked="0"/>
    </xf>
    <xf numFmtId="0" fontId="114" fillId="78" borderId="85" xfId="21412" applyFont="1" applyFill="1" applyBorder="1" applyAlignment="1" applyProtection="1">
      <alignment horizontal="center" vertical="center"/>
      <protection locked="0"/>
    </xf>
    <xf numFmtId="0" fontId="111" fillId="77" borderId="86" xfId="21412" applyFont="1" applyFill="1" applyBorder="1" applyAlignment="1" applyProtection="1">
      <alignment horizontal="center" vertical="center"/>
      <protection locked="0"/>
    </xf>
    <xf numFmtId="0" fontId="64" fillId="77" borderId="86" xfId="21412" applyFont="1" applyFill="1" applyBorder="1" applyAlignment="1" applyProtection="1">
      <alignment vertical="center"/>
      <protection locked="0"/>
    </xf>
    <xf numFmtId="0" fontId="113" fillId="70" borderId="85" xfId="21412" applyFont="1" applyFill="1" applyBorder="1" applyAlignment="1" applyProtection="1">
      <alignment horizontal="center" vertical="center"/>
      <protection locked="0"/>
    </xf>
    <xf numFmtId="0" fontId="38" fillId="70" borderId="85" xfId="21412" applyFont="1" applyFill="1" applyBorder="1" applyAlignment="1" applyProtection="1">
      <alignment horizontal="center" vertical="center"/>
      <protection locked="0"/>
    </xf>
    <xf numFmtId="0" fontId="64" fillId="77" borderId="84" xfId="21412" applyFont="1" applyFill="1" applyBorder="1" applyAlignment="1" applyProtection="1">
      <alignment vertical="center"/>
      <protection locked="0"/>
    </xf>
    <xf numFmtId="0" fontId="112" fillId="0" borderId="84" xfId="21412" applyFont="1" applyFill="1" applyBorder="1" applyAlignment="1" applyProtection="1">
      <alignment horizontal="left" vertical="center" wrapText="1"/>
      <protection locked="0"/>
    </xf>
    <xf numFmtId="164" fontId="112" fillId="0" borderId="85" xfId="948" applyNumberFormat="1" applyFont="1" applyFill="1" applyBorder="1" applyAlignment="1" applyProtection="1">
      <alignment horizontal="right" vertical="center"/>
      <protection locked="0"/>
    </xf>
    <xf numFmtId="0" fontId="111" fillId="78" borderId="84" xfId="21412" applyFont="1" applyFill="1" applyBorder="1" applyAlignment="1" applyProtection="1">
      <alignment vertical="top" wrapText="1"/>
      <protection locked="0"/>
    </xf>
    <xf numFmtId="164" fontId="112" fillId="78" borderId="85" xfId="948" applyNumberFormat="1" applyFont="1" applyFill="1" applyBorder="1" applyAlignment="1" applyProtection="1">
      <alignment horizontal="right" vertical="center"/>
    </xf>
    <xf numFmtId="164" fontId="64" fillId="77" borderId="84" xfId="948" applyNumberFormat="1" applyFont="1" applyFill="1" applyBorder="1" applyAlignment="1" applyProtection="1">
      <alignment horizontal="right" vertical="center"/>
      <protection locked="0"/>
    </xf>
    <xf numFmtId="0" fontId="112" fillId="70" borderId="84" xfId="21412" applyFont="1" applyFill="1" applyBorder="1" applyAlignment="1" applyProtection="1">
      <alignment vertical="center" wrapText="1"/>
      <protection locked="0"/>
    </xf>
    <xf numFmtId="0" fontId="112" fillId="70" borderId="84" xfId="21412" applyFont="1" applyFill="1" applyBorder="1" applyAlignment="1" applyProtection="1">
      <alignment horizontal="left" vertical="center" wrapText="1"/>
      <protection locked="0"/>
    </xf>
    <xf numFmtId="0" fontId="112" fillId="0" borderId="84" xfId="21412" applyFont="1" applyFill="1" applyBorder="1" applyAlignment="1" applyProtection="1">
      <alignment vertical="center" wrapText="1"/>
      <protection locked="0"/>
    </xf>
    <xf numFmtId="0" fontId="112" fillId="3" borderId="84" xfId="21412" applyFont="1" applyFill="1" applyBorder="1" applyAlignment="1" applyProtection="1">
      <alignment horizontal="left" vertical="center" wrapText="1"/>
      <protection locked="0"/>
    </xf>
    <xf numFmtId="0" fontId="111" fillId="78" borderId="84" xfId="21412" applyFont="1" applyFill="1" applyBorder="1" applyAlignment="1" applyProtection="1">
      <alignment vertical="center" wrapText="1"/>
      <protection locked="0"/>
    </xf>
    <xf numFmtId="164" fontId="111" fillId="77" borderId="84" xfId="948" applyNumberFormat="1" applyFont="1" applyFill="1" applyBorder="1" applyAlignment="1" applyProtection="1">
      <alignment horizontal="right" vertical="center"/>
      <protection locked="0"/>
    </xf>
    <xf numFmtId="164" fontId="112" fillId="3" borderId="85" xfId="948" applyNumberFormat="1" applyFont="1" applyFill="1" applyBorder="1" applyAlignment="1" applyProtection="1">
      <alignment horizontal="right" vertical="center"/>
      <protection locked="0"/>
    </xf>
    <xf numFmtId="1" fontId="6" fillId="36" borderId="99" xfId="0" applyNumberFormat="1" applyFont="1" applyFill="1" applyBorder="1" applyAlignment="1">
      <alignment horizontal="right" vertical="center" wrapText="1"/>
    </xf>
    <xf numFmtId="1" fontId="108" fillId="0" borderId="99" xfId="0" applyNumberFormat="1" applyFont="1" applyFill="1" applyBorder="1" applyAlignment="1">
      <alignment horizontal="right" vertical="center" wrapText="1"/>
    </xf>
    <xf numFmtId="1" fontId="6" fillId="36" borderId="99" xfId="0" applyNumberFormat="1" applyFont="1" applyFill="1" applyBorder="1" applyAlignment="1">
      <alignment horizontal="center" vertical="center" wrapText="1"/>
    </xf>
    <xf numFmtId="10" fontId="7" fillId="0" borderId="85" xfId="20961" applyNumberFormat="1" applyFont="1" applyFill="1" applyBorder="1" applyAlignment="1">
      <alignment horizontal="left" vertical="center" wrapText="1"/>
    </xf>
    <xf numFmtId="10" fontId="4" fillId="0" borderId="85" xfId="20961" applyNumberFormat="1" applyFont="1" applyFill="1" applyBorder="1" applyAlignment="1">
      <alignment horizontal="left" vertical="center" wrapText="1"/>
    </xf>
    <xf numFmtId="10" fontId="6" fillId="36" borderId="85" xfId="0" applyNumberFormat="1" applyFont="1" applyFill="1" applyBorder="1" applyAlignment="1">
      <alignment horizontal="left" vertical="center" wrapText="1"/>
    </xf>
    <xf numFmtId="10" fontId="108" fillId="0" borderId="85" xfId="20961" applyNumberFormat="1" applyFont="1" applyFill="1" applyBorder="1" applyAlignment="1">
      <alignment horizontal="left" vertical="center" wrapText="1"/>
    </xf>
    <xf numFmtId="10" fontId="6" fillId="36" borderId="85" xfId="20961" applyNumberFormat="1" applyFont="1" applyFill="1" applyBorder="1" applyAlignment="1">
      <alignment horizontal="left" vertical="center" wrapText="1"/>
    </xf>
    <xf numFmtId="10" fontId="6" fillId="36" borderId="85" xfId="0" applyNumberFormat="1" applyFont="1" applyFill="1" applyBorder="1" applyAlignment="1">
      <alignment horizontal="center" vertical="center" wrapText="1"/>
    </xf>
    <xf numFmtId="10" fontId="110" fillId="0" borderId="25"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9" xfId="0" applyFont="1" applyBorder="1" applyAlignment="1">
      <alignment horizontal="center" wrapText="1"/>
    </xf>
    <xf numFmtId="0" fontId="10" fillId="0" borderId="8" xfId="0" applyFont="1" applyBorder="1" applyAlignment="1">
      <alignment horizontal="center" vertical="center" wrapText="1"/>
    </xf>
    <xf numFmtId="0" fontId="9" fillId="0" borderId="101" xfId="0" applyFont="1" applyBorder="1" applyAlignment="1">
      <alignment horizontal="right" vertical="center" wrapText="1"/>
    </xf>
    <xf numFmtId="0" fontId="9" fillId="0" borderId="101" xfId="0" applyFont="1" applyFill="1" applyBorder="1" applyAlignment="1">
      <alignment horizontal="right" vertical="center" wrapText="1"/>
    </xf>
    <xf numFmtId="0" fontId="7" fillId="0" borderId="85" xfId="0" applyFont="1" applyFill="1" applyBorder="1" applyAlignment="1">
      <alignment vertical="center" wrapText="1"/>
    </xf>
    <xf numFmtId="0" fontId="4" fillId="0" borderId="85" xfId="0" applyFont="1" applyBorder="1" applyAlignment="1">
      <alignment vertical="center" wrapText="1"/>
    </xf>
    <xf numFmtId="0" fontId="4" fillId="0" borderId="85" xfId="0" applyFont="1" applyFill="1" applyBorder="1" applyAlignment="1">
      <alignment horizontal="left" vertical="center" wrapText="1" indent="2"/>
    </xf>
    <xf numFmtId="0" fontId="4" fillId="0" borderId="85" xfId="0" applyFont="1" applyFill="1" applyBorder="1" applyAlignment="1">
      <alignment vertical="center" wrapText="1"/>
    </xf>
    <xf numFmtId="3" fontId="23" fillId="36" borderId="86" xfId="0" applyNumberFormat="1" applyFont="1" applyFill="1" applyBorder="1" applyAlignment="1">
      <alignment vertical="center" wrapText="1"/>
    </xf>
    <xf numFmtId="3" fontId="23" fillId="36" borderId="23" xfId="0" applyNumberFormat="1" applyFont="1" applyFill="1" applyBorder="1" applyAlignment="1">
      <alignment vertical="center" wrapText="1"/>
    </xf>
    <xf numFmtId="3" fontId="23" fillId="0" borderId="86" xfId="0" applyNumberFormat="1" applyFont="1" applyBorder="1" applyAlignment="1">
      <alignment vertical="center" wrapText="1"/>
    </xf>
    <xf numFmtId="3" fontId="23" fillId="0" borderId="23" xfId="0" applyNumberFormat="1" applyFont="1" applyBorder="1" applyAlignment="1">
      <alignment vertical="center" wrapText="1"/>
    </xf>
    <xf numFmtId="3" fontId="23" fillId="0" borderId="23"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3" fontId="23" fillId="36" borderId="42" xfId="0" applyNumberFormat="1" applyFont="1" applyFill="1" applyBorder="1" applyAlignment="1">
      <alignment vertical="center" wrapText="1"/>
    </xf>
    <xf numFmtId="0" fontId="6" fillId="0" borderId="25" xfId="0" applyFont="1" applyBorder="1" applyAlignment="1">
      <alignment vertical="center" wrapText="1"/>
    </xf>
    <xf numFmtId="0" fontId="4" fillId="0" borderId="99" xfId="0" applyFont="1" applyBorder="1" applyAlignment="1"/>
    <xf numFmtId="0" fontId="9" fillId="0" borderId="99" xfId="0" applyFont="1" applyBorder="1" applyAlignment="1"/>
    <xf numFmtId="0" fontId="10" fillId="0" borderId="20" xfId="0" applyFont="1" applyBorder="1" applyAlignment="1">
      <alignment horizontal="center"/>
    </xf>
    <xf numFmtId="0" fontId="10" fillId="0" borderId="99" xfId="0" applyFont="1" applyBorder="1" applyAlignment="1">
      <alignment horizontal="center" vertical="center" wrapText="1"/>
    </xf>
    <xf numFmtId="14" fontId="7" fillId="0" borderId="0" xfId="0" applyNumberFormat="1" applyFont="1"/>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0" fontId="9" fillId="0" borderId="101" xfId="0" applyFont="1" applyFill="1" applyBorder="1" applyAlignment="1">
      <alignment horizontal="center" vertical="center" wrapText="1"/>
    </xf>
    <xf numFmtId="0" fontId="15" fillId="0" borderId="85" xfId="0" applyFont="1" applyFill="1" applyBorder="1" applyAlignment="1">
      <alignment horizontal="center" vertical="center" wrapText="1"/>
    </xf>
    <xf numFmtId="0" fontId="16" fillId="0" borderId="85" xfId="0" applyFont="1" applyFill="1" applyBorder="1" applyAlignment="1">
      <alignment horizontal="left" vertical="center" wrapText="1"/>
    </xf>
    <xf numFmtId="193" fontId="7" fillId="0" borderId="85" xfId="0" applyNumberFormat="1" applyFont="1" applyFill="1" applyBorder="1" applyAlignment="1" applyProtection="1">
      <alignment vertical="center" wrapText="1"/>
      <protection locked="0"/>
    </xf>
    <xf numFmtId="193" fontId="4" fillId="0" borderId="85" xfId="0" applyNumberFormat="1" applyFont="1" applyFill="1" applyBorder="1" applyAlignment="1" applyProtection="1">
      <alignment vertical="center" wrapText="1"/>
      <protection locked="0"/>
    </xf>
    <xf numFmtId="193" fontId="4" fillId="0" borderId="99" xfId="0" applyNumberFormat="1" applyFont="1" applyFill="1" applyBorder="1" applyAlignment="1" applyProtection="1">
      <alignment vertical="center" wrapText="1"/>
      <protection locked="0"/>
    </xf>
    <xf numFmtId="193" fontId="7" fillId="0" borderId="85" xfId="0" applyNumberFormat="1" applyFont="1" applyFill="1" applyBorder="1" applyAlignment="1" applyProtection="1">
      <alignment horizontal="right" vertical="center" wrapText="1"/>
      <protection locked="0"/>
    </xf>
    <xf numFmtId="0" fontId="7" fillId="0" borderId="85" xfId="0" applyFont="1" applyBorder="1" applyAlignment="1">
      <alignment vertical="center" wrapText="1"/>
    </xf>
    <xf numFmtId="0" fontId="9" fillId="2" borderId="101" xfId="0" applyFont="1" applyFill="1" applyBorder="1" applyAlignment="1">
      <alignment horizontal="right" vertical="center"/>
    </xf>
    <xf numFmtId="0" fontId="9" fillId="2" borderId="85" xfId="0" applyFont="1" applyFill="1" applyBorder="1" applyAlignment="1">
      <alignment vertical="center"/>
    </xf>
    <xf numFmtId="193" fontId="9" fillId="2" borderId="85" xfId="0" applyNumberFormat="1" applyFont="1" applyFill="1" applyBorder="1" applyAlignment="1" applyProtection="1">
      <alignment vertical="center"/>
      <protection locked="0"/>
    </xf>
    <xf numFmtId="193" fontId="17" fillId="2" borderId="85" xfId="0" applyNumberFormat="1" applyFont="1" applyFill="1" applyBorder="1" applyAlignment="1" applyProtection="1">
      <alignment vertical="center"/>
      <protection locked="0"/>
    </xf>
    <xf numFmtId="193" fontId="17" fillId="2" borderId="99" xfId="0" applyNumberFormat="1" applyFont="1" applyFill="1" applyBorder="1" applyAlignment="1" applyProtection="1">
      <alignment vertical="center"/>
      <protection locked="0"/>
    </xf>
    <xf numFmtId="193" fontId="9" fillId="2" borderId="99" xfId="0" applyNumberFormat="1" applyFont="1" applyFill="1" applyBorder="1" applyAlignment="1" applyProtection="1">
      <alignment vertical="center"/>
      <protection locked="0"/>
    </xf>
    <xf numFmtId="0" fontId="15" fillId="0" borderId="101" xfId="0" applyFont="1" applyFill="1" applyBorder="1" applyAlignment="1">
      <alignment horizontal="center" vertical="center" wrapText="1"/>
    </xf>
    <xf numFmtId="14" fontId="4" fillId="0" borderId="0" xfId="0" applyNumberFormat="1" applyFont="1"/>
    <xf numFmtId="10" fontId="4" fillId="0" borderId="85" xfId="20961" applyNumberFormat="1" applyFont="1" applyFill="1" applyBorder="1" applyAlignment="1" applyProtection="1">
      <alignment horizontal="right" vertical="center" wrapText="1"/>
      <protection locked="0"/>
    </xf>
    <xf numFmtId="10" fontId="4" fillId="0" borderId="85" xfId="20961" applyNumberFormat="1" applyFont="1" applyBorder="1" applyAlignment="1" applyProtection="1">
      <alignment vertical="center" wrapText="1"/>
      <protection locked="0"/>
    </xf>
    <xf numFmtId="10" fontId="4" fillId="0" borderId="99" xfId="20961" applyNumberFormat="1" applyFont="1" applyBorder="1" applyAlignment="1" applyProtection="1">
      <alignment vertical="center" wrapText="1"/>
      <protection locked="0"/>
    </xf>
    <xf numFmtId="164" fontId="4" fillId="0" borderId="85" xfId="7" applyNumberFormat="1" applyFont="1" applyFill="1" applyBorder="1" applyAlignment="1">
      <alignment vertical="center"/>
    </xf>
    <xf numFmtId="0" fontId="9" fillId="2" borderId="93" xfId="0" applyFont="1" applyFill="1" applyBorder="1" applyAlignment="1">
      <alignment horizontal="right" vertical="center"/>
    </xf>
    <xf numFmtId="0" fontId="9" fillId="2" borderId="80" xfId="0" applyFont="1" applyFill="1" applyBorder="1" applyAlignment="1">
      <alignment vertical="center"/>
    </xf>
    <xf numFmtId="193" fontId="9" fillId="2" borderId="80" xfId="0" applyNumberFormat="1" applyFont="1" applyFill="1" applyBorder="1" applyAlignment="1" applyProtection="1">
      <alignment vertical="center"/>
      <protection locked="0"/>
    </xf>
    <xf numFmtId="193" fontId="17" fillId="2" borderId="80" xfId="0" applyNumberFormat="1" applyFont="1" applyFill="1" applyBorder="1" applyAlignment="1" applyProtection="1">
      <alignment vertical="center"/>
      <protection locked="0"/>
    </xf>
    <xf numFmtId="193" fontId="17" fillId="2" borderId="94" xfId="0" applyNumberFormat="1" applyFont="1" applyFill="1" applyBorder="1" applyAlignment="1" applyProtection="1">
      <alignment vertical="center"/>
      <protection locked="0"/>
    </xf>
    <xf numFmtId="0" fontId="9" fillId="0" borderId="85" xfId="0" applyFont="1" applyFill="1" applyBorder="1" applyAlignment="1">
      <alignment horizontal="left" vertical="center" wrapText="1"/>
    </xf>
    <xf numFmtId="0" fontId="104" fillId="0" borderId="85" xfId="0" applyFont="1" applyBorder="1"/>
    <xf numFmtId="10" fontId="9" fillId="2" borderId="85" xfId="20961" applyNumberFormat="1" applyFont="1" applyFill="1" applyBorder="1" applyAlignment="1" applyProtection="1">
      <alignment vertical="center"/>
      <protection locked="0"/>
    </xf>
    <xf numFmtId="10" fontId="17" fillId="2" borderId="85" xfId="20961" applyNumberFormat="1" applyFont="1" applyFill="1" applyBorder="1" applyAlignment="1" applyProtection="1">
      <alignment vertical="center"/>
      <protection locked="0"/>
    </xf>
    <xf numFmtId="10" fontId="17" fillId="2" borderId="99" xfId="20961" applyNumberFormat="1" applyFont="1" applyFill="1" applyBorder="1" applyAlignment="1" applyProtection="1">
      <alignment vertical="center"/>
      <protection locked="0"/>
    </xf>
    <xf numFmtId="10" fontId="9" fillId="2" borderId="99" xfId="20961" applyNumberFormat="1" applyFont="1" applyFill="1" applyBorder="1" applyAlignment="1" applyProtection="1">
      <alignment vertical="center"/>
      <protection locked="0"/>
    </xf>
    <xf numFmtId="194" fontId="9" fillId="2" borderId="25" xfId="0" applyNumberFormat="1" applyFont="1" applyFill="1" applyBorder="1" applyAlignment="1" applyProtection="1">
      <alignment vertical="center"/>
      <protection locked="0"/>
    </xf>
    <xf numFmtId="194" fontId="17" fillId="2" borderId="25" xfId="0" applyNumberFormat="1" applyFont="1" applyFill="1" applyBorder="1" applyAlignment="1" applyProtection="1">
      <alignment vertical="center"/>
      <protection locked="0"/>
    </xf>
    <xf numFmtId="194" fontId="17" fillId="2" borderId="26" xfId="0" applyNumberFormat="1" applyFont="1" applyFill="1" applyBorder="1" applyAlignment="1" applyProtection="1">
      <alignment vertical="center"/>
      <protection locked="0"/>
    </xf>
    <xf numFmtId="193" fontId="10" fillId="0" borderId="85" xfId="0" applyNumberFormat="1" applyFont="1" applyFill="1" applyBorder="1" applyAlignment="1" applyProtection="1">
      <alignment horizontal="right"/>
    </xf>
    <xf numFmtId="0" fontId="9" fillId="0" borderId="101" xfId="0" applyFont="1" applyBorder="1" applyAlignment="1">
      <alignment vertical="center"/>
    </xf>
    <xf numFmtId="0" fontId="115" fillId="0" borderId="85" xfId="0" applyFont="1" applyBorder="1" applyAlignment="1">
      <alignment wrapText="1"/>
    </xf>
    <xf numFmtId="10" fontId="4" fillId="0" borderId="23" xfId="20961" applyNumberFormat="1" applyFont="1" applyBorder="1" applyAlignment="1">
      <alignment horizontal="right"/>
    </xf>
    <xf numFmtId="10" fontId="4" fillId="0" borderId="23" xfId="20961" applyNumberFormat="1" applyFont="1" applyBorder="1" applyAlignment="1"/>
    <xf numFmtId="0" fontId="9" fillId="0" borderId="93" xfId="0" applyFont="1" applyBorder="1" applyAlignment="1">
      <alignment vertical="center"/>
    </xf>
    <xf numFmtId="10" fontId="4" fillId="0" borderId="104" xfId="20961" applyNumberFormat="1" applyFont="1" applyBorder="1" applyAlignment="1"/>
    <xf numFmtId="10" fontId="4" fillId="0" borderId="42" xfId="20961" applyNumberFormat="1" applyFont="1" applyBorder="1" applyAlignment="1"/>
    <xf numFmtId="0" fontId="13" fillId="0" borderId="85" xfId="0" applyFont="1" applyBorder="1" applyAlignment="1">
      <alignment wrapText="1"/>
    </xf>
    <xf numFmtId="0" fontId="13" fillId="0" borderId="80" xfId="0" applyFont="1" applyBorder="1" applyAlignment="1">
      <alignment wrapText="1"/>
    </xf>
    <xf numFmtId="0" fontId="13" fillId="0" borderId="25" xfId="0" applyFont="1" applyBorder="1" applyAlignment="1">
      <alignment wrapText="1"/>
    </xf>
    <xf numFmtId="164" fontId="4" fillId="0" borderId="99" xfId="7" applyNumberFormat="1" applyFont="1" applyFill="1" applyBorder="1" applyAlignment="1">
      <alignment horizontal="right" vertical="center" wrapText="1"/>
    </xf>
    <xf numFmtId="164" fontId="108" fillId="0" borderId="99" xfId="7" applyNumberFormat="1" applyFont="1" applyFill="1" applyBorder="1" applyAlignment="1">
      <alignment horizontal="right" vertical="center" wrapText="1"/>
    </xf>
    <xf numFmtId="164" fontId="7" fillId="0" borderId="26" xfId="7" applyNumberFormat="1" applyFont="1" applyFill="1" applyBorder="1" applyAlignment="1" applyProtection="1">
      <alignment horizontal="right" vertical="center"/>
    </xf>
    <xf numFmtId="167" fontId="25" fillId="0" borderId="105" xfId="0" applyNumberFormat="1" applyFont="1" applyBorder="1" applyAlignment="1">
      <alignment horizontal="center"/>
    </xf>
    <xf numFmtId="164" fontId="4" fillId="36" borderId="26" xfId="7" applyNumberFormat="1" applyFont="1" applyFill="1" applyBorder="1"/>
    <xf numFmtId="164" fontId="4" fillId="0" borderId="86" xfId="7" applyNumberFormat="1" applyFont="1" applyFill="1" applyBorder="1" applyAlignment="1">
      <alignment vertical="center"/>
    </xf>
    <xf numFmtId="164" fontId="6" fillId="0" borderId="86" xfId="7" applyNumberFormat="1" applyFont="1" applyFill="1" applyBorder="1" applyAlignment="1">
      <alignment vertical="center"/>
    </xf>
    <xf numFmtId="164" fontId="6" fillId="0" borderId="85" xfId="7" applyNumberFormat="1" applyFont="1" applyFill="1" applyBorder="1" applyAlignment="1">
      <alignment vertical="center"/>
    </xf>
    <xf numFmtId="164" fontId="4" fillId="3" borderId="83" xfId="7" applyNumberFormat="1" applyFont="1" applyFill="1" applyBorder="1" applyAlignment="1">
      <alignment vertical="center"/>
    </xf>
    <xf numFmtId="164" fontId="4" fillId="0" borderId="25" xfId="7" applyNumberFormat="1" applyFont="1" applyFill="1" applyBorder="1" applyAlignment="1">
      <alignment vertical="center"/>
    </xf>
    <xf numFmtId="164" fontId="6" fillId="0" borderId="25" xfId="7" applyNumberFormat="1" applyFont="1" applyFill="1" applyBorder="1" applyAlignment="1">
      <alignment vertical="center"/>
    </xf>
    <xf numFmtId="164" fontId="4" fillId="0" borderId="58" xfId="7" applyNumberFormat="1" applyFont="1" applyFill="1" applyBorder="1" applyAlignment="1">
      <alignment vertical="center"/>
    </xf>
    <xf numFmtId="164" fontId="6" fillId="0" borderId="58" xfId="7" applyNumberFormat="1" applyFont="1" applyFill="1" applyBorder="1" applyAlignment="1">
      <alignment vertical="center"/>
    </xf>
    <xf numFmtId="164" fontId="6" fillId="0" borderId="70" xfId="7" applyNumberFormat="1" applyFont="1" applyFill="1" applyBorder="1" applyAlignment="1">
      <alignment vertical="center"/>
    </xf>
    <xf numFmtId="164" fontId="4" fillId="3" borderId="23" xfId="7" applyNumberFormat="1" applyFont="1" applyFill="1" applyBorder="1" applyAlignment="1">
      <alignment vertical="center"/>
    </xf>
    <xf numFmtId="164" fontId="6" fillId="0" borderId="99" xfId="7" applyNumberFormat="1" applyFont="1" applyFill="1" applyBorder="1" applyAlignment="1">
      <alignment vertical="center"/>
    </xf>
    <xf numFmtId="164" fontId="4" fillId="0" borderId="29" xfId="7" applyNumberFormat="1" applyFont="1" applyFill="1" applyBorder="1" applyAlignment="1">
      <alignment vertical="center"/>
    </xf>
    <xf numFmtId="164" fontId="4" fillId="0" borderId="81" xfId="7" applyNumberFormat="1" applyFont="1" applyFill="1" applyBorder="1" applyAlignment="1">
      <alignment vertical="center"/>
    </xf>
    <xf numFmtId="9" fontId="4" fillId="0" borderId="79" xfId="20961" applyFont="1" applyFill="1" applyBorder="1" applyAlignment="1">
      <alignment vertical="center"/>
    </xf>
    <xf numFmtId="9" fontId="4" fillId="0" borderId="106" xfId="20961" applyFont="1" applyFill="1" applyBorder="1" applyAlignment="1">
      <alignment vertical="center"/>
    </xf>
    <xf numFmtId="10" fontId="112" fillId="78" borderId="85" xfId="20961" applyNumberFormat="1" applyFont="1" applyFill="1" applyBorder="1" applyAlignment="1" applyProtection="1">
      <alignment horizontal="right" vertical="center"/>
    </xf>
    <xf numFmtId="43" fontId="0" fillId="0" borderId="0" xfId="7" applyFont="1"/>
    <xf numFmtId="164" fontId="0" fillId="0" borderId="0" xfId="7" applyNumberFormat="1" applyFont="1"/>
    <xf numFmtId="43" fontId="0" fillId="0" borderId="0" xfId="0" applyNumberFormat="1"/>
    <xf numFmtId="10" fontId="9" fillId="0" borderId="85" xfId="20961" applyNumberFormat="1" applyFont="1" applyFill="1" applyBorder="1" applyAlignment="1" applyProtection="1">
      <alignment vertical="center"/>
      <protection locked="0"/>
    </xf>
    <xf numFmtId="10" fontId="0" fillId="0" borderId="0" xfId="20961" applyNumberFormat="1" applyFont="1"/>
    <xf numFmtId="164" fontId="0" fillId="0" borderId="0" xfId="7" applyNumberFormat="1" applyFont="1" applyFill="1"/>
    <xf numFmtId="193" fontId="7" fillId="0" borderId="22" xfId="2" applyNumberFormat="1" applyFont="1" applyFill="1" applyBorder="1" applyAlignment="1" applyProtection="1">
      <alignment vertical="top"/>
      <protection locked="0"/>
    </xf>
    <xf numFmtId="193" fontId="7" fillId="0" borderId="22" xfId="2" applyNumberFormat="1" applyFont="1" applyFill="1" applyBorder="1" applyAlignment="1" applyProtection="1">
      <alignment vertical="top" wrapText="1"/>
      <protection locked="0"/>
    </xf>
    <xf numFmtId="164" fontId="116" fillId="0" borderId="85" xfId="948" applyNumberFormat="1" applyFont="1" applyFill="1" applyBorder="1" applyAlignment="1" applyProtection="1">
      <alignment horizontal="right" vertical="center"/>
      <protection locked="0"/>
    </xf>
    <xf numFmtId="193" fontId="9" fillId="0" borderId="85" xfId="0" applyNumberFormat="1" applyFont="1" applyFill="1" applyBorder="1" applyAlignment="1" applyProtection="1">
      <alignment vertical="center"/>
      <protection locked="0"/>
    </xf>
    <xf numFmtId="14" fontId="7" fillId="0" borderId="0" xfId="0" applyNumberFormat="1" applyFont="1" applyAlignment="1">
      <alignment horizontal="left"/>
    </xf>
    <xf numFmtId="164" fontId="6" fillId="0" borderId="29" xfId="0" applyNumberFormat="1" applyFont="1" applyFill="1" applyBorder="1" applyAlignment="1">
      <alignment vertical="center"/>
    </xf>
    <xf numFmtId="164" fontId="6" fillId="0" borderId="20" xfId="0" applyNumberFormat="1" applyFont="1" applyFill="1" applyBorder="1" applyAlignment="1">
      <alignment vertical="center"/>
    </xf>
    <xf numFmtId="0" fontId="106" fillId="0" borderId="72" xfId="0" applyFont="1" applyBorder="1" applyAlignment="1">
      <alignment horizontal="left" vertical="center" wrapText="1"/>
    </xf>
    <xf numFmtId="0" fontId="106" fillId="0" borderId="71"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xf>
    <xf numFmtId="0" fontId="4" fillId="0" borderId="23" xfId="0" applyFont="1" applyFill="1" applyBorder="1" applyAlignment="1">
      <alignment horizontal="center"/>
    </xf>
    <xf numFmtId="0" fontId="6" fillId="36" borderId="103"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00" xfId="0" applyFont="1" applyFill="1" applyBorder="1" applyAlignment="1">
      <alignment horizontal="center" vertical="center" wrapText="1"/>
    </xf>
    <xf numFmtId="0" fontId="6" fillId="36" borderId="84" xfId="0" applyFont="1" applyFill="1" applyBorder="1" applyAlignment="1">
      <alignment horizontal="center" vertical="center" wrapText="1"/>
    </xf>
    <xf numFmtId="0" fontId="103" fillId="3" borderId="73" xfId="13" applyFont="1" applyFill="1" applyBorder="1" applyAlignment="1" applyProtection="1">
      <alignment horizontal="center" vertical="center" wrapText="1"/>
      <protection locked="0"/>
    </xf>
    <xf numFmtId="0" fontId="103"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76" xfId="1" applyNumberFormat="1" applyFont="1" applyFill="1" applyBorder="1" applyAlignment="1" applyProtection="1">
      <alignment horizontal="center" vertical="center" wrapText="1"/>
      <protection locked="0"/>
    </xf>
    <xf numFmtId="164" fontId="15" fillId="0" borderId="7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4"/>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1413"/>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5"/>
  <sheetViews>
    <sheetView tabSelected="1" workbookViewId="0">
      <pane xSplit="1" ySplit="7" topLeftCell="B20" activePane="bottomRight" state="frozen"/>
      <selection pane="topRight" activeCell="B1" sqref="B1"/>
      <selection pane="bottomLeft" activeCell="A8" sqref="A8"/>
      <selection pane="bottomRight" activeCell="A25" sqref="A25:XFD2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83" t="s">
        <v>254</v>
      </c>
      <c r="C1" s="92"/>
    </row>
    <row r="2" spans="1:3" s="180" customFormat="1" ht="15.75">
      <c r="A2" s="226">
        <v>1</v>
      </c>
      <c r="B2" s="181" t="s">
        <v>255</v>
      </c>
      <c r="C2" s="485" t="s">
        <v>500</v>
      </c>
    </row>
    <row r="3" spans="1:3" s="180" customFormat="1" ht="15.75">
      <c r="A3" s="226">
        <v>2</v>
      </c>
      <c r="B3" s="182" t="s">
        <v>256</v>
      </c>
      <c r="C3" s="485" t="s">
        <v>501</v>
      </c>
    </row>
    <row r="4" spans="1:3" s="180" customFormat="1" ht="15.75">
      <c r="A4" s="226">
        <v>3</v>
      </c>
      <c r="B4" s="182" t="s">
        <v>257</v>
      </c>
      <c r="C4" s="485" t="s">
        <v>502</v>
      </c>
    </row>
    <row r="5" spans="1:3" s="180" customFormat="1" ht="15.75">
      <c r="A5" s="227">
        <v>4</v>
      </c>
      <c r="B5" s="185" t="s">
        <v>258</v>
      </c>
      <c r="C5" s="396" t="s">
        <v>503</v>
      </c>
    </row>
    <row r="6" spans="1:3" s="184" customFormat="1" ht="65.25" customHeight="1">
      <c r="A6" s="538" t="s">
        <v>372</v>
      </c>
      <c r="B6" s="539"/>
      <c r="C6" s="539"/>
    </row>
    <row r="7" spans="1:3">
      <c r="A7" s="390" t="s">
        <v>327</v>
      </c>
      <c r="B7" s="391" t="s">
        <v>259</v>
      </c>
    </row>
    <row r="8" spans="1:3">
      <c r="A8" s="392">
        <v>1</v>
      </c>
      <c r="B8" s="388" t="s">
        <v>223</v>
      </c>
    </row>
    <row r="9" spans="1:3">
      <c r="A9" s="392">
        <v>2</v>
      </c>
      <c r="B9" s="388" t="s">
        <v>260</v>
      </c>
    </row>
    <row r="10" spans="1:3">
      <c r="A10" s="392">
        <v>3</v>
      </c>
      <c r="B10" s="388" t="s">
        <v>261</v>
      </c>
    </row>
    <row r="11" spans="1:3">
      <c r="A11" s="392">
        <v>4</v>
      </c>
      <c r="B11" s="388" t="s">
        <v>262</v>
      </c>
      <c r="C11" s="179"/>
    </row>
    <row r="12" spans="1:3">
      <c r="A12" s="392">
        <v>5</v>
      </c>
      <c r="B12" s="388" t="s">
        <v>187</v>
      </c>
    </row>
    <row r="13" spans="1:3">
      <c r="A13" s="392">
        <v>6</v>
      </c>
      <c r="B13" s="393" t="s">
        <v>149</v>
      </c>
    </row>
    <row r="14" spans="1:3">
      <c r="A14" s="392">
        <v>7</v>
      </c>
      <c r="B14" s="388" t="s">
        <v>263</v>
      </c>
    </row>
    <row r="15" spans="1:3">
      <c r="A15" s="392">
        <v>8</v>
      </c>
      <c r="B15" s="388" t="s">
        <v>266</v>
      </c>
    </row>
    <row r="16" spans="1:3">
      <c r="A16" s="392">
        <v>9</v>
      </c>
      <c r="B16" s="388" t="s">
        <v>88</v>
      </c>
    </row>
    <row r="17" spans="1:2">
      <c r="A17" s="394" t="s">
        <v>419</v>
      </c>
      <c r="B17" s="388" t="s">
        <v>399</v>
      </c>
    </row>
    <row r="18" spans="1:2">
      <c r="A18" s="392">
        <v>10</v>
      </c>
      <c r="B18" s="388" t="s">
        <v>269</v>
      </c>
    </row>
    <row r="19" spans="1:2">
      <c r="A19" s="392">
        <v>11</v>
      </c>
      <c r="B19" s="393" t="s">
        <v>250</v>
      </c>
    </row>
    <row r="20" spans="1:2">
      <c r="A20" s="392">
        <v>12</v>
      </c>
      <c r="B20" s="393" t="s">
        <v>247</v>
      </c>
    </row>
    <row r="21" spans="1:2">
      <c r="A21" s="392">
        <v>13</v>
      </c>
      <c r="B21" s="395" t="s">
        <v>362</v>
      </c>
    </row>
    <row r="22" spans="1:2">
      <c r="A22" s="392">
        <v>14</v>
      </c>
      <c r="B22" s="396" t="s">
        <v>393</v>
      </c>
    </row>
    <row r="23" spans="1:2">
      <c r="A23" s="397">
        <v>15</v>
      </c>
      <c r="B23" s="393" t="s">
        <v>77</v>
      </c>
    </row>
    <row r="24" spans="1:2">
      <c r="A24" s="397">
        <v>15.1</v>
      </c>
      <c r="B24" s="388" t="s">
        <v>428</v>
      </c>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5" activePane="bottomRight" state="frozen"/>
      <selection pane="topRight" activeCell="B1" sqref="B1"/>
      <selection pane="bottomLeft" activeCell="A5" sqref="A5"/>
      <selection pane="bottomRight" activeCell="B55" sqref="B55"/>
    </sheetView>
  </sheetViews>
  <sheetFormatPr defaultRowHeight="15"/>
  <cols>
    <col min="1" max="1" width="9.5703125" style="5" bestFit="1" customWidth="1"/>
    <col min="2" max="2" width="132.42578125" style="2" customWidth="1"/>
    <col min="3" max="3" width="18.42578125" style="2" customWidth="1"/>
  </cols>
  <sheetData>
    <row r="1" spans="1:6" ht="15.75">
      <c r="A1" s="17" t="s">
        <v>188</v>
      </c>
      <c r="B1" s="16" t="str">
        <f>Info!C2</f>
        <v>სს "კრედობანკი"</v>
      </c>
      <c r="D1" s="2"/>
      <c r="E1" s="2"/>
      <c r="F1" s="2"/>
    </row>
    <row r="2" spans="1:6" s="21" customFormat="1" ht="15.75" customHeight="1">
      <c r="A2" s="21" t="s">
        <v>189</v>
      </c>
      <c r="B2" s="474">
        <f>'1. key ratios'!B2</f>
        <v>44286</v>
      </c>
    </row>
    <row r="3" spans="1:6" s="21" customFormat="1" ht="15.75" customHeight="1"/>
    <row r="4" spans="1:6" ht="15.75" thickBot="1">
      <c r="A4" s="5" t="s">
        <v>336</v>
      </c>
      <c r="B4" s="60" t="s">
        <v>88</v>
      </c>
    </row>
    <row r="5" spans="1:6">
      <c r="A5" s="133" t="s">
        <v>26</v>
      </c>
      <c r="B5" s="134"/>
      <c r="C5" s="135" t="s">
        <v>27</v>
      </c>
    </row>
    <row r="6" spans="1:6">
      <c r="A6" s="136">
        <v>1</v>
      </c>
      <c r="B6" s="81" t="s">
        <v>28</v>
      </c>
      <c r="C6" s="266">
        <f>SUM(C7:C11)</f>
        <v>160787045.63999999</v>
      </c>
    </row>
    <row r="7" spans="1:6">
      <c r="A7" s="136">
        <v>2</v>
      </c>
      <c r="B7" s="78" t="s">
        <v>29</v>
      </c>
      <c r="C7" s="267">
        <v>4400000</v>
      </c>
    </row>
    <row r="8" spans="1:6">
      <c r="A8" s="136">
        <v>3</v>
      </c>
      <c r="B8" s="72" t="s">
        <v>30</v>
      </c>
      <c r="C8" s="267"/>
    </row>
    <row r="9" spans="1:6">
      <c r="A9" s="136">
        <v>4</v>
      </c>
      <c r="B9" s="72" t="s">
        <v>31</v>
      </c>
      <c r="C9" s="267">
        <v>396459</v>
      </c>
    </row>
    <row r="10" spans="1:6">
      <c r="A10" s="136">
        <v>5</v>
      </c>
      <c r="B10" s="72" t="s">
        <v>32</v>
      </c>
      <c r="C10" s="267"/>
    </row>
    <row r="11" spans="1:6">
      <c r="A11" s="136">
        <v>6</v>
      </c>
      <c r="B11" s="79" t="s">
        <v>33</v>
      </c>
      <c r="C11" s="531">
        <v>155990586.63999999</v>
      </c>
    </row>
    <row r="12" spans="1:6" s="4" customFormat="1">
      <c r="A12" s="136">
        <v>7</v>
      </c>
      <c r="B12" s="81" t="s">
        <v>34</v>
      </c>
      <c r="C12" s="268">
        <f>SUM(C13:C27)</f>
        <v>9084153.1699999999</v>
      </c>
    </row>
    <row r="13" spans="1:6" s="4" customFormat="1">
      <c r="A13" s="136">
        <v>8</v>
      </c>
      <c r="B13" s="80" t="s">
        <v>35</v>
      </c>
      <c r="C13" s="269">
        <v>396459</v>
      </c>
    </row>
    <row r="14" spans="1:6" s="4" customFormat="1" ht="25.5">
      <c r="A14" s="136">
        <v>9</v>
      </c>
      <c r="B14" s="73" t="s">
        <v>36</v>
      </c>
      <c r="C14" s="269"/>
    </row>
    <row r="15" spans="1:6" s="4" customFormat="1">
      <c r="A15" s="136">
        <v>10</v>
      </c>
      <c r="B15" s="74" t="s">
        <v>37</v>
      </c>
      <c r="C15" s="532">
        <v>8687694.1699999999</v>
      </c>
    </row>
    <row r="16" spans="1:6" s="4" customFormat="1">
      <c r="A16" s="136">
        <v>11</v>
      </c>
      <c r="B16" s="75" t="s">
        <v>38</v>
      </c>
      <c r="C16" s="269"/>
    </row>
    <row r="17" spans="1:3" s="4" customFormat="1">
      <c r="A17" s="136">
        <v>12</v>
      </c>
      <c r="B17" s="74" t="s">
        <v>39</v>
      </c>
      <c r="C17" s="269"/>
    </row>
    <row r="18" spans="1:3" s="4" customFormat="1">
      <c r="A18" s="136">
        <v>13</v>
      </c>
      <c r="B18" s="74" t="s">
        <v>40</v>
      </c>
      <c r="C18" s="269"/>
    </row>
    <row r="19" spans="1:3" s="4" customFormat="1">
      <c r="A19" s="136">
        <v>14</v>
      </c>
      <c r="B19" s="74" t="s">
        <v>41</v>
      </c>
      <c r="C19" s="269"/>
    </row>
    <row r="20" spans="1:3" s="4" customFormat="1" ht="25.5">
      <c r="A20" s="136">
        <v>15</v>
      </c>
      <c r="B20" s="74" t="s">
        <v>42</v>
      </c>
      <c r="C20" s="269"/>
    </row>
    <row r="21" spans="1:3" s="4" customFormat="1" ht="25.5">
      <c r="A21" s="136">
        <v>16</v>
      </c>
      <c r="B21" s="73" t="s">
        <v>43</v>
      </c>
      <c r="C21" s="269"/>
    </row>
    <row r="22" spans="1:3" s="4" customFormat="1">
      <c r="A22" s="136">
        <v>17</v>
      </c>
      <c r="B22" s="137" t="s">
        <v>44</v>
      </c>
      <c r="C22" s="269"/>
    </row>
    <row r="23" spans="1:3" s="4" customFormat="1" ht="25.5">
      <c r="A23" s="136">
        <v>18</v>
      </c>
      <c r="B23" s="73" t="s">
        <v>45</v>
      </c>
      <c r="C23" s="269"/>
    </row>
    <row r="24" spans="1:3" s="4" customFormat="1" ht="25.5">
      <c r="A24" s="136">
        <v>19</v>
      </c>
      <c r="B24" s="73" t="s">
        <v>46</v>
      </c>
      <c r="C24" s="269"/>
    </row>
    <row r="25" spans="1:3" s="4" customFormat="1" ht="25.5">
      <c r="A25" s="136">
        <v>20</v>
      </c>
      <c r="B25" s="76" t="s">
        <v>47</v>
      </c>
      <c r="C25" s="269"/>
    </row>
    <row r="26" spans="1:3" s="4" customFormat="1">
      <c r="A26" s="136">
        <v>21</v>
      </c>
      <c r="B26" s="76" t="s">
        <v>48</v>
      </c>
      <c r="C26" s="269"/>
    </row>
    <row r="27" spans="1:3" s="4" customFormat="1" ht="25.5">
      <c r="A27" s="136">
        <v>22</v>
      </c>
      <c r="B27" s="76" t="s">
        <v>49</v>
      </c>
      <c r="C27" s="269"/>
    </row>
    <row r="28" spans="1:3" s="4" customFormat="1">
      <c r="A28" s="136">
        <v>23</v>
      </c>
      <c r="B28" s="82" t="s">
        <v>23</v>
      </c>
      <c r="C28" s="268">
        <f>C6-C12</f>
        <v>151702892.47</v>
      </c>
    </row>
    <row r="29" spans="1:3" s="4" customFormat="1">
      <c r="A29" s="138"/>
      <c r="B29" s="77"/>
      <c r="C29" s="269"/>
    </row>
    <row r="30" spans="1:3" s="4" customFormat="1">
      <c r="A30" s="138">
        <v>24</v>
      </c>
      <c r="B30" s="82" t="s">
        <v>50</v>
      </c>
      <c r="C30" s="268">
        <f>C31+C34</f>
        <v>0</v>
      </c>
    </row>
    <row r="31" spans="1:3" s="4" customFormat="1">
      <c r="A31" s="138">
        <v>25</v>
      </c>
      <c r="B31" s="72" t="s">
        <v>51</v>
      </c>
      <c r="C31" s="270">
        <f>C32+C33</f>
        <v>0</v>
      </c>
    </row>
    <row r="32" spans="1:3" s="4" customFormat="1">
      <c r="A32" s="138">
        <v>26</v>
      </c>
      <c r="B32" s="177" t="s">
        <v>52</v>
      </c>
      <c r="C32" s="269"/>
    </row>
    <row r="33" spans="1:3" s="4" customFormat="1">
      <c r="A33" s="138">
        <v>27</v>
      </c>
      <c r="B33" s="177" t="s">
        <v>53</v>
      </c>
      <c r="C33" s="269"/>
    </row>
    <row r="34" spans="1:3" s="4" customFormat="1">
      <c r="A34" s="138">
        <v>28</v>
      </c>
      <c r="B34" s="72" t="s">
        <v>54</v>
      </c>
      <c r="C34" s="269"/>
    </row>
    <row r="35" spans="1:3" s="4" customFormat="1">
      <c r="A35" s="138">
        <v>29</v>
      </c>
      <c r="B35" s="82" t="s">
        <v>55</v>
      </c>
      <c r="C35" s="268">
        <f>SUM(C36:C40)</f>
        <v>0</v>
      </c>
    </row>
    <row r="36" spans="1:3" s="4" customFormat="1">
      <c r="A36" s="138">
        <v>30</v>
      </c>
      <c r="B36" s="73" t="s">
        <v>56</v>
      </c>
      <c r="C36" s="269"/>
    </row>
    <row r="37" spans="1:3" s="4" customFormat="1">
      <c r="A37" s="138">
        <v>31</v>
      </c>
      <c r="B37" s="74" t="s">
        <v>57</v>
      </c>
      <c r="C37" s="269"/>
    </row>
    <row r="38" spans="1:3" s="4" customFormat="1" ht="25.5">
      <c r="A38" s="138">
        <v>32</v>
      </c>
      <c r="B38" s="73" t="s">
        <v>58</v>
      </c>
      <c r="C38" s="269"/>
    </row>
    <row r="39" spans="1:3" s="4" customFormat="1" ht="25.5">
      <c r="A39" s="138">
        <v>33</v>
      </c>
      <c r="B39" s="73" t="s">
        <v>46</v>
      </c>
      <c r="C39" s="269"/>
    </row>
    <row r="40" spans="1:3" s="4" customFormat="1" ht="25.5">
      <c r="A40" s="138">
        <v>34</v>
      </c>
      <c r="B40" s="76" t="s">
        <v>59</v>
      </c>
      <c r="C40" s="269"/>
    </row>
    <row r="41" spans="1:3" s="4" customFormat="1">
      <c r="A41" s="138">
        <v>35</v>
      </c>
      <c r="B41" s="82" t="s">
        <v>24</v>
      </c>
      <c r="C41" s="268">
        <f>C30-C35</f>
        <v>0</v>
      </c>
    </row>
    <row r="42" spans="1:3" s="4" customFormat="1">
      <c r="A42" s="138"/>
      <c r="B42" s="77"/>
      <c r="C42" s="269"/>
    </row>
    <row r="43" spans="1:3" s="4" customFormat="1">
      <c r="A43" s="138">
        <v>36</v>
      </c>
      <c r="B43" s="83" t="s">
        <v>60</v>
      </c>
      <c r="C43" s="268">
        <f>SUM(C44:C46)</f>
        <v>56771486.083700493</v>
      </c>
    </row>
    <row r="44" spans="1:3" s="4" customFormat="1">
      <c r="A44" s="138">
        <v>37</v>
      </c>
      <c r="B44" s="72" t="s">
        <v>61</v>
      </c>
      <c r="C44" s="532">
        <v>44047732</v>
      </c>
    </row>
    <row r="45" spans="1:3" s="4" customFormat="1">
      <c r="A45" s="138">
        <v>38</v>
      </c>
      <c r="B45" s="72" t="s">
        <v>62</v>
      </c>
      <c r="C45" s="532"/>
    </row>
    <row r="46" spans="1:3" s="4" customFormat="1">
      <c r="A46" s="138">
        <v>39</v>
      </c>
      <c r="B46" s="72" t="s">
        <v>63</v>
      </c>
      <c r="C46" s="532">
        <v>12723754.083700495</v>
      </c>
    </row>
    <row r="47" spans="1:3" s="4" customFormat="1">
      <c r="A47" s="138">
        <v>40</v>
      </c>
      <c r="B47" s="83" t="s">
        <v>64</v>
      </c>
      <c r="C47" s="268">
        <f>SUM(C48:C51)</f>
        <v>0</v>
      </c>
    </row>
    <row r="48" spans="1:3" s="4" customFormat="1">
      <c r="A48" s="138">
        <v>41</v>
      </c>
      <c r="B48" s="73" t="s">
        <v>65</v>
      </c>
      <c r="C48" s="269"/>
    </row>
    <row r="49" spans="1:3" s="4" customFormat="1">
      <c r="A49" s="138">
        <v>42</v>
      </c>
      <c r="B49" s="74" t="s">
        <v>66</v>
      </c>
      <c r="C49" s="269"/>
    </row>
    <row r="50" spans="1:3" s="4" customFormat="1" ht="25.5">
      <c r="A50" s="138">
        <v>43</v>
      </c>
      <c r="B50" s="73" t="s">
        <v>67</v>
      </c>
      <c r="C50" s="269"/>
    </row>
    <row r="51" spans="1:3" s="4" customFormat="1" ht="25.5">
      <c r="A51" s="138">
        <v>44</v>
      </c>
      <c r="B51" s="73" t="s">
        <v>46</v>
      </c>
      <c r="C51" s="269"/>
    </row>
    <row r="52" spans="1:3" s="4" customFormat="1" ht="15.75" thickBot="1">
      <c r="A52" s="139">
        <v>45</v>
      </c>
      <c r="B52" s="140" t="s">
        <v>25</v>
      </c>
      <c r="C52" s="271">
        <f>C43-C47</f>
        <v>56771486.083700493</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topLeftCell="A2" workbookViewId="0">
      <selection activeCell="C15" sqref="C15:C17"/>
    </sheetView>
  </sheetViews>
  <sheetFormatPr defaultColWidth="9.140625" defaultRowHeight="12.75"/>
  <cols>
    <col min="1" max="1" width="10.85546875" style="338" bestFit="1" customWidth="1"/>
    <col min="2" max="2" width="59" style="338" customWidth="1"/>
    <col min="3" max="3" width="16.7109375" style="338" bestFit="1" customWidth="1"/>
    <col min="4" max="4" width="22.140625" style="338" customWidth="1"/>
    <col min="5" max="16384" width="9.140625" style="338"/>
  </cols>
  <sheetData>
    <row r="1" spans="1:4" ht="15">
      <c r="A1" s="17" t="s">
        <v>188</v>
      </c>
      <c r="B1" s="16" t="str">
        <f>Info!C2</f>
        <v>სს "კრედობანკი"</v>
      </c>
    </row>
    <row r="2" spans="1:4" s="21" customFormat="1" ht="15.75" customHeight="1">
      <c r="A2" s="21" t="s">
        <v>189</v>
      </c>
      <c r="B2" s="474">
        <f>'1. key ratios'!B2</f>
        <v>44286</v>
      </c>
    </row>
    <row r="3" spans="1:4" s="21" customFormat="1" ht="15.75" customHeight="1"/>
    <row r="4" spans="1:4" ht="13.5" thickBot="1">
      <c r="A4" s="339" t="s">
        <v>398</v>
      </c>
      <c r="B4" s="375" t="s">
        <v>399</v>
      </c>
    </row>
    <row r="5" spans="1:4" s="376" customFormat="1">
      <c r="A5" s="555" t="s">
        <v>400</v>
      </c>
      <c r="B5" s="556"/>
      <c r="C5" s="365" t="s">
        <v>401</v>
      </c>
      <c r="D5" s="366" t="s">
        <v>402</v>
      </c>
    </row>
    <row r="6" spans="1:4" s="377" customFormat="1">
      <c r="A6" s="367">
        <v>1</v>
      </c>
      <c r="B6" s="368" t="s">
        <v>403</v>
      </c>
      <c r="C6" s="368"/>
      <c r="D6" s="369"/>
    </row>
    <row r="7" spans="1:4" s="377" customFormat="1">
      <c r="A7" s="370" t="s">
        <v>404</v>
      </c>
      <c r="B7" s="371" t="s">
        <v>405</v>
      </c>
      <c r="C7" s="427">
        <v>4.4999999999999998E-2</v>
      </c>
      <c r="D7" s="504">
        <f>C7*'5. RWA'!$C$13</f>
        <v>57274771.141870625</v>
      </c>
    </row>
    <row r="8" spans="1:4" s="377" customFormat="1">
      <c r="A8" s="370" t="s">
        <v>406</v>
      </c>
      <c r="B8" s="371" t="s">
        <v>407</v>
      </c>
      <c r="C8" s="428">
        <v>0.06</v>
      </c>
      <c r="D8" s="504">
        <f>C8*'5. RWA'!$C$13</f>
        <v>76366361.522494167</v>
      </c>
    </row>
    <row r="9" spans="1:4" s="377" customFormat="1">
      <c r="A9" s="370" t="s">
        <v>408</v>
      </c>
      <c r="B9" s="371" t="s">
        <v>409</v>
      </c>
      <c r="C9" s="428">
        <v>0.08</v>
      </c>
      <c r="D9" s="504">
        <f>C9*'5. RWA'!$C$13</f>
        <v>101821815.36332557</v>
      </c>
    </row>
    <row r="10" spans="1:4" s="377" customFormat="1">
      <c r="A10" s="367" t="s">
        <v>410</v>
      </c>
      <c r="B10" s="368" t="s">
        <v>411</v>
      </c>
      <c r="C10" s="429"/>
      <c r="D10" s="424"/>
    </row>
    <row r="11" spans="1:4" s="378" customFormat="1">
      <c r="A11" s="372" t="s">
        <v>412</v>
      </c>
      <c r="B11" s="373" t="s">
        <v>474</v>
      </c>
      <c r="C11" s="430">
        <v>0</v>
      </c>
      <c r="D11" s="425">
        <f>C11*'5. RWA'!$C$13</f>
        <v>0</v>
      </c>
    </row>
    <row r="12" spans="1:4" s="378" customFormat="1">
      <c r="A12" s="372" t="s">
        <v>413</v>
      </c>
      <c r="B12" s="373" t="s">
        <v>414</v>
      </c>
      <c r="C12" s="430">
        <v>0</v>
      </c>
      <c r="D12" s="425">
        <f>C12*'5. RWA'!$C$13</f>
        <v>0</v>
      </c>
    </row>
    <row r="13" spans="1:4" s="378" customFormat="1">
      <c r="A13" s="372" t="s">
        <v>415</v>
      </c>
      <c r="B13" s="373" t="s">
        <v>416</v>
      </c>
      <c r="C13" s="430">
        <v>0</v>
      </c>
      <c r="D13" s="425">
        <f>C13*'5. RWA'!$C$13</f>
        <v>0</v>
      </c>
    </row>
    <row r="14" spans="1:4" s="377" customFormat="1">
      <c r="A14" s="367" t="s">
        <v>417</v>
      </c>
      <c r="B14" s="368" t="s">
        <v>472</v>
      </c>
      <c r="C14" s="431"/>
      <c r="D14" s="424"/>
    </row>
    <row r="15" spans="1:4" s="377" customFormat="1">
      <c r="A15" s="389" t="s">
        <v>420</v>
      </c>
      <c r="B15" s="373" t="s">
        <v>473</v>
      </c>
      <c r="C15" s="430">
        <v>8.1616701081953791E-3</v>
      </c>
      <c r="D15" s="505">
        <f>C15*'5. RWA'!$C$13</f>
        <v>10387950.83516304</v>
      </c>
    </row>
    <row r="16" spans="1:4" s="377" customFormat="1">
      <c r="A16" s="389" t="s">
        <v>421</v>
      </c>
      <c r="B16" s="373" t="s">
        <v>423</v>
      </c>
      <c r="C16" s="430">
        <v>1.088795103776167E-2</v>
      </c>
      <c r="D16" s="505">
        <f>C16*'5. RWA'!$C$13</f>
        <v>13857886.753148722</v>
      </c>
    </row>
    <row r="17" spans="1:6" s="377" customFormat="1">
      <c r="A17" s="389" t="s">
        <v>422</v>
      </c>
      <c r="B17" s="373" t="s">
        <v>470</v>
      </c>
      <c r="C17" s="430">
        <v>2.5717268050348893E-2</v>
      </c>
      <c r="D17" s="505">
        <f>C17*'5. RWA'!$C$13</f>
        <v>32732236.488397207</v>
      </c>
    </row>
    <row r="18" spans="1:6" s="376" customFormat="1">
      <c r="A18" s="557" t="s">
        <v>471</v>
      </c>
      <c r="B18" s="558"/>
      <c r="C18" s="432" t="s">
        <v>401</v>
      </c>
      <c r="D18" s="426" t="s">
        <v>402</v>
      </c>
    </row>
    <row r="19" spans="1:6" s="377" customFormat="1">
      <c r="A19" s="374">
        <v>4</v>
      </c>
      <c r="B19" s="373" t="s">
        <v>23</v>
      </c>
      <c r="C19" s="430">
        <f>C7+C11+C12+C13+C15</f>
        <v>5.3161670108195377E-2</v>
      </c>
      <c r="D19" s="504">
        <f>C19*'5. RWA'!$C$13</f>
        <v>67662721.97703366</v>
      </c>
    </row>
    <row r="20" spans="1:6" s="377" customFormat="1">
      <c r="A20" s="374">
        <v>5</v>
      </c>
      <c r="B20" s="373" t="s">
        <v>89</v>
      </c>
      <c r="C20" s="430">
        <f>C8+C11+C12+C13+C16</f>
        <v>7.0887951037761673E-2</v>
      </c>
      <c r="D20" s="504">
        <f>C20*'5. RWA'!$C$13</f>
        <v>90224248.275642887</v>
      </c>
    </row>
    <row r="21" spans="1:6" s="377" customFormat="1" ht="13.5" thickBot="1">
      <c r="A21" s="379" t="s">
        <v>418</v>
      </c>
      <c r="B21" s="380" t="s">
        <v>88</v>
      </c>
      <c r="C21" s="433">
        <f>C9+C11+C12+C13+C17</f>
        <v>0.10571726805034889</v>
      </c>
      <c r="D21" s="506">
        <f>C21*'5. RWA'!$C$13</f>
        <v>134554051.85172278</v>
      </c>
    </row>
    <row r="22" spans="1:6">
      <c r="F22" s="339"/>
    </row>
    <row r="23" spans="1:6" ht="63.75">
      <c r="B23" s="23" t="s">
        <v>475</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36" activePane="bottomRight" state="frozen"/>
      <selection pane="topRight" activeCell="B1" sqref="B1"/>
      <selection pane="bottomLeft" activeCell="A5" sqref="A5"/>
      <selection pane="bottomRight" activeCell="C38" sqref="C38:C44"/>
    </sheetView>
  </sheetViews>
  <sheetFormatPr defaultRowHeight="15.75"/>
  <cols>
    <col min="1" max="1" width="10.7109375" style="68" customWidth="1"/>
    <col min="2" max="2" width="91.85546875" style="68" customWidth="1"/>
    <col min="3" max="3" width="53.140625" style="68" customWidth="1"/>
    <col min="4" max="4" width="32.28515625" style="68" customWidth="1"/>
    <col min="5" max="5" width="9.42578125" customWidth="1"/>
  </cols>
  <sheetData>
    <row r="1" spans="1:6">
      <c r="A1" s="17" t="s">
        <v>188</v>
      </c>
      <c r="B1" s="19" t="str">
        <f>Info!C2</f>
        <v>სს "კრედობანკი"</v>
      </c>
      <c r="E1" s="2"/>
      <c r="F1" s="2"/>
    </row>
    <row r="2" spans="1:6" s="21" customFormat="1" ht="15.75" customHeight="1">
      <c r="A2" s="21" t="s">
        <v>189</v>
      </c>
      <c r="B2" s="474">
        <f>'1. key ratios'!B2</f>
        <v>44286</v>
      </c>
    </row>
    <row r="3" spans="1:6" s="21" customFormat="1" ht="15.75" customHeight="1">
      <c r="A3" s="26"/>
    </row>
    <row r="4" spans="1:6" s="21" customFormat="1" ht="15.75" customHeight="1" thickBot="1">
      <c r="A4" s="21" t="s">
        <v>337</v>
      </c>
      <c r="B4" s="200" t="s">
        <v>269</v>
      </c>
      <c r="D4" s="202" t="s">
        <v>93</v>
      </c>
    </row>
    <row r="5" spans="1:6" ht="38.25">
      <c r="A5" s="150" t="s">
        <v>26</v>
      </c>
      <c r="B5" s="151" t="s">
        <v>231</v>
      </c>
      <c r="C5" s="152" t="s">
        <v>237</v>
      </c>
      <c r="D5" s="201" t="s">
        <v>270</v>
      </c>
    </row>
    <row r="6" spans="1:6">
      <c r="A6" s="141">
        <v>1</v>
      </c>
      <c r="B6" s="84" t="s">
        <v>154</v>
      </c>
      <c r="C6" s="272">
        <v>45470919.649999999</v>
      </c>
      <c r="D6" s="507"/>
      <c r="E6" s="8"/>
    </row>
    <row r="7" spans="1:6">
      <c r="A7" s="141">
        <v>2</v>
      </c>
      <c r="B7" s="85" t="s">
        <v>155</v>
      </c>
      <c r="C7" s="273">
        <v>100299722.06</v>
      </c>
      <c r="D7" s="142"/>
      <c r="E7" s="8"/>
    </row>
    <row r="8" spans="1:6">
      <c r="A8" s="141">
        <v>3</v>
      </c>
      <c r="B8" s="85" t="s">
        <v>156</v>
      </c>
      <c r="C8" s="273">
        <v>37327130.660000004</v>
      </c>
      <c r="D8" s="142"/>
      <c r="E8" s="8"/>
    </row>
    <row r="9" spans="1:6">
      <c r="A9" s="141">
        <v>4</v>
      </c>
      <c r="B9" s="85" t="s">
        <v>185</v>
      </c>
      <c r="C9" s="273">
        <v>0</v>
      </c>
      <c r="D9" s="142"/>
      <c r="E9" s="8"/>
    </row>
    <row r="10" spans="1:6">
      <c r="A10" s="141">
        <v>5</v>
      </c>
      <c r="B10" s="85" t="s">
        <v>157</v>
      </c>
      <c r="C10" s="273">
        <v>42819663.519999996</v>
      </c>
      <c r="D10" s="142"/>
      <c r="E10" s="8"/>
    </row>
    <row r="11" spans="1:6">
      <c r="A11" s="141">
        <v>6.1</v>
      </c>
      <c r="B11" s="85" t="s">
        <v>158</v>
      </c>
      <c r="C11" s="274">
        <v>1087764322.9575</v>
      </c>
      <c r="D11" s="143"/>
      <c r="E11" s="9"/>
    </row>
    <row r="12" spans="1:6">
      <c r="A12" s="141">
        <v>6.2</v>
      </c>
      <c r="B12" s="86" t="s">
        <v>159</v>
      </c>
      <c r="C12" s="274">
        <v>-39363974.029459298</v>
      </c>
      <c r="D12" s="143"/>
      <c r="E12" s="9"/>
    </row>
    <row r="13" spans="1:6">
      <c r="A13" s="141" t="s">
        <v>370</v>
      </c>
      <c r="B13" s="87" t="s">
        <v>371</v>
      </c>
      <c r="C13" s="274">
        <v>-19141703.599200003</v>
      </c>
      <c r="D13" s="228" t="s">
        <v>535</v>
      </c>
      <c r="E13" s="9"/>
    </row>
    <row r="14" spans="1:6">
      <c r="A14" s="141" t="s">
        <v>494</v>
      </c>
      <c r="B14" s="87" t="s">
        <v>483</v>
      </c>
      <c r="C14" s="274">
        <v>-168098.348062</v>
      </c>
      <c r="D14" s="143"/>
      <c r="E14" s="9"/>
    </row>
    <row r="15" spans="1:6">
      <c r="A15" s="141">
        <v>6</v>
      </c>
      <c r="B15" s="85" t="s">
        <v>160</v>
      </c>
      <c r="C15" s="280">
        <f>C11+C12</f>
        <v>1048400348.9280407</v>
      </c>
      <c r="D15" s="143"/>
      <c r="E15" s="8"/>
    </row>
    <row r="16" spans="1:6">
      <c r="A16" s="141">
        <v>7</v>
      </c>
      <c r="B16" s="85" t="s">
        <v>161</v>
      </c>
      <c r="C16" s="273">
        <v>29340920.039999999</v>
      </c>
      <c r="D16" s="142"/>
      <c r="E16" s="8"/>
    </row>
    <row r="17" spans="1:5">
      <c r="A17" s="141">
        <v>8</v>
      </c>
      <c r="B17" s="85" t="s">
        <v>162</v>
      </c>
      <c r="C17" s="273">
        <v>953826</v>
      </c>
      <c r="D17" s="142"/>
      <c r="E17" s="8"/>
    </row>
    <row r="18" spans="1:5">
      <c r="A18" s="141">
        <v>9</v>
      </c>
      <c r="B18" s="85" t="s">
        <v>163</v>
      </c>
      <c r="C18" s="273"/>
      <c r="D18" s="142"/>
      <c r="E18" s="8"/>
    </row>
    <row r="19" spans="1:5">
      <c r="A19" s="141">
        <v>9.1</v>
      </c>
      <c r="B19" s="87" t="s">
        <v>246</v>
      </c>
      <c r="C19" s="274"/>
      <c r="D19" s="142"/>
      <c r="E19" s="8"/>
    </row>
    <row r="20" spans="1:5">
      <c r="A20" s="141">
        <v>9.1999999999999993</v>
      </c>
      <c r="B20" s="87" t="s">
        <v>236</v>
      </c>
      <c r="C20" s="274"/>
      <c r="D20" s="142"/>
      <c r="E20" s="8"/>
    </row>
    <row r="21" spans="1:5">
      <c r="A21" s="141">
        <v>9.3000000000000007</v>
      </c>
      <c r="B21" s="87" t="s">
        <v>235</v>
      </c>
      <c r="C21" s="274"/>
      <c r="D21" s="142"/>
      <c r="E21" s="8"/>
    </row>
    <row r="22" spans="1:5">
      <c r="A22" s="141">
        <v>10</v>
      </c>
      <c r="B22" s="85" t="s">
        <v>164</v>
      </c>
      <c r="C22" s="273">
        <v>29710338.549999997</v>
      </c>
      <c r="D22" s="142"/>
      <c r="E22" s="8"/>
    </row>
    <row r="23" spans="1:5">
      <c r="A23" s="141">
        <v>10.1</v>
      </c>
      <c r="B23" s="87" t="s">
        <v>234</v>
      </c>
      <c r="C23" s="273">
        <v>8687694.1699999999</v>
      </c>
      <c r="D23" s="228" t="s">
        <v>536</v>
      </c>
      <c r="E23" s="8"/>
    </row>
    <row r="24" spans="1:5">
      <c r="A24" s="141">
        <v>11</v>
      </c>
      <c r="B24" s="88" t="s">
        <v>165</v>
      </c>
      <c r="C24" s="273">
        <v>58386566.950000003</v>
      </c>
      <c r="D24" s="144"/>
      <c r="E24" s="8"/>
    </row>
    <row r="25" spans="1:5">
      <c r="A25" s="141">
        <v>12</v>
      </c>
      <c r="B25" s="90" t="s">
        <v>166</v>
      </c>
      <c r="C25" s="276">
        <f>SUM(C6:C10,C15:C18,C22,C24)</f>
        <v>1392709436.3580408</v>
      </c>
      <c r="D25" s="145"/>
      <c r="E25" s="7"/>
    </row>
    <row r="26" spans="1:5">
      <c r="A26" s="141">
        <v>13</v>
      </c>
      <c r="B26" s="85" t="s">
        <v>167</v>
      </c>
      <c r="C26" s="277">
        <v>0</v>
      </c>
      <c r="D26" s="146"/>
      <c r="E26" s="8"/>
    </row>
    <row r="27" spans="1:5">
      <c r="A27" s="141">
        <v>14</v>
      </c>
      <c r="B27" s="85" t="s">
        <v>168</v>
      </c>
      <c r="C27" s="273">
        <v>47900436.379999995</v>
      </c>
      <c r="D27" s="142"/>
      <c r="E27" s="8"/>
    </row>
    <row r="28" spans="1:5">
      <c r="A28" s="141">
        <v>15</v>
      </c>
      <c r="B28" s="85" t="s">
        <v>169</v>
      </c>
      <c r="C28" s="273">
        <v>22990615.619999997</v>
      </c>
      <c r="D28" s="142"/>
      <c r="E28" s="8"/>
    </row>
    <row r="29" spans="1:5">
      <c r="A29" s="141">
        <v>16</v>
      </c>
      <c r="B29" s="85" t="s">
        <v>170</v>
      </c>
      <c r="C29" s="273">
        <v>91596991.369999975</v>
      </c>
      <c r="D29" s="142"/>
      <c r="E29" s="8"/>
    </row>
    <row r="30" spans="1:5">
      <c r="A30" s="141">
        <v>17</v>
      </c>
      <c r="B30" s="85" t="s">
        <v>171</v>
      </c>
      <c r="C30" s="273">
        <v>0</v>
      </c>
      <c r="D30" s="142"/>
      <c r="E30" s="8"/>
    </row>
    <row r="31" spans="1:5">
      <c r="A31" s="141">
        <v>18</v>
      </c>
      <c r="B31" s="85" t="s">
        <v>172</v>
      </c>
      <c r="C31" s="273">
        <v>908240411.12380421</v>
      </c>
      <c r="D31" s="142"/>
      <c r="E31" s="8"/>
    </row>
    <row r="32" spans="1:5">
      <c r="A32" s="141">
        <v>19</v>
      </c>
      <c r="B32" s="85" t="s">
        <v>173</v>
      </c>
      <c r="C32" s="273">
        <v>23184968.510000002</v>
      </c>
      <c r="D32" s="142"/>
      <c r="E32" s="8"/>
    </row>
    <row r="33" spans="1:5">
      <c r="A33" s="141">
        <v>20</v>
      </c>
      <c r="B33" s="85" t="s">
        <v>95</v>
      </c>
      <c r="C33" s="273">
        <v>90977637.579999998</v>
      </c>
      <c r="D33" s="142"/>
      <c r="E33" s="8"/>
    </row>
    <row r="34" spans="1:5">
      <c r="A34" s="141">
        <v>20.100000000000001</v>
      </c>
      <c r="B34" s="89" t="s">
        <v>369</v>
      </c>
      <c r="C34" s="275"/>
      <c r="D34" s="144"/>
      <c r="E34" s="8"/>
    </row>
    <row r="35" spans="1:5">
      <c r="A35" s="141">
        <v>21</v>
      </c>
      <c r="B35" s="88" t="s">
        <v>174</v>
      </c>
      <c r="C35" s="275">
        <v>47031330</v>
      </c>
      <c r="D35" s="144"/>
      <c r="E35" s="8"/>
    </row>
    <row r="36" spans="1:5">
      <c r="A36" s="141">
        <v>21.1</v>
      </c>
      <c r="B36" s="89" t="s">
        <v>233</v>
      </c>
      <c r="C36" s="278">
        <v>44047732</v>
      </c>
      <c r="D36" s="228" t="s">
        <v>537</v>
      </c>
      <c r="E36" s="8"/>
    </row>
    <row r="37" spans="1:5">
      <c r="A37" s="141">
        <v>22</v>
      </c>
      <c r="B37" s="90" t="s">
        <v>175</v>
      </c>
      <c r="C37" s="276">
        <f>SUM(C26:C35)</f>
        <v>1231922390.5838041</v>
      </c>
      <c r="D37" s="145"/>
      <c r="E37" s="7"/>
    </row>
    <row r="38" spans="1:5">
      <c r="A38" s="141">
        <v>23</v>
      </c>
      <c r="B38" s="88" t="s">
        <v>176</v>
      </c>
      <c r="C38" s="273">
        <v>4400000</v>
      </c>
      <c r="D38" s="228" t="s">
        <v>538</v>
      </c>
      <c r="E38" s="8"/>
    </row>
    <row r="39" spans="1:5">
      <c r="A39" s="141">
        <v>24</v>
      </c>
      <c r="B39" s="88" t="s">
        <v>177</v>
      </c>
      <c r="C39" s="273">
        <v>0</v>
      </c>
      <c r="D39" s="142"/>
      <c r="E39" s="8"/>
    </row>
    <row r="40" spans="1:5">
      <c r="A40" s="141">
        <v>25</v>
      </c>
      <c r="B40" s="88" t="s">
        <v>232</v>
      </c>
      <c r="C40" s="273">
        <v>0</v>
      </c>
      <c r="D40" s="142"/>
      <c r="E40" s="8"/>
    </row>
    <row r="41" spans="1:5">
      <c r="A41" s="141">
        <v>26</v>
      </c>
      <c r="B41" s="88" t="s">
        <v>179</v>
      </c>
      <c r="C41" s="273">
        <v>0</v>
      </c>
      <c r="D41" s="142"/>
      <c r="E41" s="8"/>
    </row>
    <row r="42" spans="1:5">
      <c r="A42" s="141">
        <v>27</v>
      </c>
      <c r="B42" s="88" t="s">
        <v>180</v>
      </c>
      <c r="C42" s="273">
        <v>0</v>
      </c>
      <c r="D42" s="142"/>
      <c r="E42" s="8"/>
    </row>
    <row r="43" spans="1:5">
      <c r="A43" s="141">
        <v>28</v>
      </c>
      <c r="B43" s="88" t="s">
        <v>181</v>
      </c>
      <c r="C43" s="273">
        <v>155990586.63999999</v>
      </c>
      <c r="D43" s="228" t="s">
        <v>539</v>
      </c>
      <c r="E43" s="8"/>
    </row>
    <row r="44" spans="1:5">
      <c r="A44" s="141">
        <v>29</v>
      </c>
      <c r="B44" s="88" t="s">
        <v>35</v>
      </c>
      <c r="C44" s="273">
        <v>396459</v>
      </c>
      <c r="D44" s="228" t="s">
        <v>540</v>
      </c>
      <c r="E44" s="8"/>
    </row>
    <row r="45" spans="1:5" ht="16.5" thickBot="1">
      <c r="A45" s="147">
        <v>30</v>
      </c>
      <c r="B45" s="148" t="s">
        <v>182</v>
      </c>
      <c r="C45" s="279">
        <f>SUM(C38:C44)</f>
        <v>160787045.63999999</v>
      </c>
      <c r="D45" s="149"/>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0" zoomScaleNormal="80" workbookViewId="0">
      <pane xSplit="2" ySplit="7" topLeftCell="C16"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50.7109375" style="2" customWidth="1"/>
    <col min="3" max="3" width="12.28515625" style="2" bestFit="1" customWidth="1"/>
    <col min="4" max="8" width="10.7109375" style="2" customWidth="1"/>
    <col min="9" max="9" width="11.28515625" style="2" bestFit="1" customWidth="1"/>
    <col min="10" max="10" width="10.7109375" style="2" customWidth="1"/>
    <col min="11" max="11" width="13.85546875" style="2" bestFit="1" customWidth="1"/>
    <col min="12" max="12" width="10.7109375" style="2" customWidth="1"/>
    <col min="13" max="13" width="12.28515625" style="2" bestFit="1" customWidth="1"/>
    <col min="14" max="14" width="10.7109375" style="2" customWidth="1"/>
    <col min="15" max="15" width="11.28515625" style="2" bestFit="1" customWidth="1"/>
    <col min="16" max="18" width="10.7109375" style="2" customWidth="1"/>
    <col min="19" max="19" width="20.5703125" style="2" customWidth="1"/>
    <col min="20" max="16384" width="9.140625" style="13"/>
  </cols>
  <sheetData>
    <row r="1" spans="1:19">
      <c r="A1" s="2" t="s">
        <v>188</v>
      </c>
      <c r="B1" s="338" t="str">
        <f>Info!C2</f>
        <v>სს "კრედობანკი"</v>
      </c>
    </row>
    <row r="2" spans="1:19">
      <c r="A2" s="2" t="s">
        <v>189</v>
      </c>
      <c r="B2" s="474">
        <f>'1. key ratios'!B2</f>
        <v>44286</v>
      </c>
    </row>
    <row r="4" spans="1:19" ht="51.75" thickBot="1">
      <c r="A4" s="67" t="s">
        <v>338</v>
      </c>
      <c r="B4" s="308" t="s">
        <v>359</v>
      </c>
    </row>
    <row r="5" spans="1:19">
      <c r="A5" s="130"/>
      <c r="B5" s="132"/>
      <c r="C5" s="116" t="s">
        <v>0</v>
      </c>
      <c r="D5" s="116" t="s">
        <v>1</v>
      </c>
      <c r="E5" s="116" t="s">
        <v>2</v>
      </c>
      <c r="F5" s="116" t="s">
        <v>3</v>
      </c>
      <c r="G5" s="116" t="s">
        <v>4</v>
      </c>
      <c r="H5" s="116" t="s">
        <v>5</v>
      </c>
      <c r="I5" s="116" t="s">
        <v>238</v>
      </c>
      <c r="J5" s="116" t="s">
        <v>239</v>
      </c>
      <c r="K5" s="116" t="s">
        <v>240</v>
      </c>
      <c r="L5" s="116" t="s">
        <v>241</v>
      </c>
      <c r="M5" s="116" t="s">
        <v>242</v>
      </c>
      <c r="N5" s="116" t="s">
        <v>243</v>
      </c>
      <c r="O5" s="116" t="s">
        <v>346</v>
      </c>
      <c r="P5" s="116" t="s">
        <v>347</v>
      </c>
      <c r="Q5" s="116" t="s">
        <v>348</v>
      </c>
      <c r="R5" s="299" t="s">
        <v>349</v>
      </c>
      <c r="S5" s="117" t="s">
        <v>350</v>
      </c>
    </row>
    <row r="6" spans="1:19" ht="46.5" customHeight="1">
      <c r="A6" s="154"/>
      <c r="B6" s="563" t="s">
        <v>351</v>
      </c>
      <c r="C6" s="561">
        <v>0</v>
      </c>
      <c r="D6" s="562"/>
      <c r="E6" s="561">
        <v>0.2</v>
      </c>
      <c r="F6" s="562"/>
      <c r="G6" s="561">
        <v>0.35</v>
      </c>
      <c r="H6" s="562"/>
      <c r="I6" s="561">
        <v>0.5</v>
      </c>
      <c r="J6" s="562"/>
      <c r="K6" s="561">
        <v>0.75</v>
      </c>
      <c r="L6" s="562"/>
      <c r="M6" s="561">
        <v>1</v>
      </c>
      <c r="N6" s="562"/>
      <c r="O6" s="561">
        <v>1.5</v>
      </c>
      <c r="P6" s="562"/>
      <c r="Q6" s="561">
        <v>2.5</v>
      </c>
      <c r="R6" s="562"/>
      <c r="S6" s="559" t="s">
        <v>251</v>
      </c>
    </row>
    <row r="7" spans="1:19">
      <c r="A7" s="154"/>
      <c r="B7" s="564"/>
      <c r="C7" s="307" t="s">
        <v>344</v>
      </c>
      <c r="D7" s="307" t="s">
        <v>345</v>
      </c>
      <c r="E7" s="307" t="s">
        <v>344</v>
      </c>
      <c r="F7" s="307" t="s">
        <v>345</v>
      </c>
      <c r="G7" s="307" t="s">
        <v>344</v>
      </c>
      <c r="H7" s="307" t="s">
        <v>345</v>
      </c>
      <c r="I7" s="307" t="s">
        <v>344</v>
      </c>
      <c r="J7" s="307" t="s">
        <v>345</v>
      </c>
      <c r="K7" s="307" t="s">
        <v>344</v>
      </c>
      <c r="L7" s="307" t="s">
        <v>345</v>
      </c>
      <c r="M7" s="307" t="s">
        <v>344</v>
      </c>
      <c r="N7" s="307" t="s">
        <v>345</v>
      </c>
      <c r="O7" s="307" t="s">
        <v>344</v>
      </c>
      <c r="P7" s="307" t="s">
        <v>345</v>
      </c>
      <c r="Q7" s="307" t="s">
        <v>344</v>
      </c>
      <c r="R7" s="307" t="s">
        <v>345</v>
      </c>
      <c r="S7" s="560"/>
    </row>
    <row r="8" spans="1:19" s="158" customFormat="1" ht="25.5">
      <c r="A8" s="120">
        <v>1</v>
      </c>
      <c r="B8" s="73" t="s">
        <v>216</v>
      </c>
      <c r="C8" s="281">
        <v>55594048.600000001</v>
      </c>
      <c r="D8" s="281"/>
      <c r="E8" s="281"/>
      <c r="F8" s="300"/>
      <c r="G8" s="281"/>
      <c r="H8" s="281"/>
      <c r="I8" s="281"/>
      <c r="J8" s="281"/>
      <c r="K8" s="281"/>
      <c r="L8" s="281"/>
      <c r="M8" s="281">
        <v>61855509.730000004</v>
      </c>
      <c r="N8" s="281"/>
      <c r="O8" s="281"/>
      <c r="P8" s="281"/>
      <c r="Q8" s="281"/>
      <c r="R8" s="300"/>
      <c r="S8" s="313">
        <f>$C$6*SUM(C8:D8)+$E$6*SUM(E8:F8)+$G$6*SUM(G8:H8)+$I$6*SUM(I8:J8)+$K$6*SUM(K8:L8)+$M$6*SUM(M8:N8)+$O$6*SUM(O8:P8)+$Q$6*SUM(Q8:R8)</f>
        <v>61855509.730000004</v>
      </c>
    </row>
    <row r="9" spans="1:19" s="158" customFormat="1" ht="38.25">
      <c r="A9" s="120">
        <v>2</v>
      </c>
      <c r="B9" s="73" t="s">
        <v>217</v>
      </c>
      <c r="C9" s="281"/>
      <c r="D9" s="281"/>
      <c r="E9" s="281"/>
      <c r="F9" s="281"/>
      <c r="G9" s="281"/>
      <c r="H9" s="281"/>
      <c r="I9" s="281"/>
      <c r="J9" s="281"/>
      <c r="K9" s="281"/>
      <c r="L9" s="281"/>
      <c r="M9" s="281"/>
      <c r="N9" s="281"/>
      <c r="O9" s="281"/>
      <c r="P9" s="281"/>
      <c r="Q9" s="281"/>
      <c r="R9" s="300"/>
      <c r="S9" s="313">
        <f t="shared" ref="S9:S21" si="0">$C$6*SUM(C9:D9)+$E$6*SUM(E9:F9)+$G$6*SUM(G9:H9)+$I$6*SUM(I9:J9)+$K$6*SUM(K9:L9)+$M$6*SUM(M9:N9)+$O$6*SUM(O9:P9)+$Q$6*SUM(Q9:R9)</f>
        <v>0</v>
      </c>
    </row>
    <row r="10" spans="1:19" s="158" customFormat="1" ht="25.5">
      <c r="A10" s="120">
        <v>3</v>
      </c>
      <c r="B10" s="73" t="s">
        <v>218</v>
      </c>
      <c r="C10" s="281"/>
      <c r="D10" s="281"/>
      <c r="E10" s="281"/>
      <c r="F10" s="281"/>
      <c r="G10" s="281"/>
      <c r="H10" s="281"/>
      <c r="I10" s="281"/>
      <c r="J10" s="281"/>
      <c r="K10" s="281"/>
      <c r="L10" s="281"/>
      <c r="M10" s="281"/>
      <c r="N10" s="281"/>
      <c r="O10" s="281"/>
      <c r="P10" s="281"/>
      <c r="Q10" s="281"/>
      <c r="R10" s="300"/>
      <c r="S10" s="313">
        <f t="shared" si="0"/>
        <v>0</v>
      </c>
    </row>
    <row r="11" spans="1:19" s="158" customFormat="1" ht="25.5">
      <c r="A11" s="120">
        <v>4</v>
      </c>
      <c r="B11" s="73" t="s">
        <v>219</v>
      </c>
      <c r="C11" s="281">
        <v>26119671.219999999</v>
      </c>
      <c r="D11" s="281"/>
      <c r="E11" s="281"/>
      <c r="F11" s="281"/>
      <c r="G11" s="281"/>
      <c r="H11" s="281"/>
      <c r="I11" s="281"/>
      <c r="J11" s="281"/>
      <c r="K11" s="281"/>
      <c r="L11" s="281"/>
      <c r="M11" s="281"/>
      <c r="N11" s="281"/>
      <c r="O11" s="281"/>
      <c r="P11" s="281"/>
      <c r="Q11" s="281"/>
      <c r="R11" s="300"/>
      <c r="S11" s="313">
        <f t="shared" si="0"/>
        <v>0</v>
      </c>
    </row>
    <row r="12" spans="1:19" s="158" customFormat="1" ht="25.5">
      <c r="A12" s="120">
        <v>5</v>
      </c>
      <c r="B12" s="73" t="s">
        <v>220</v>
      </c>
      <c r="C12" s="281"/>
      <c r="D12" s="281"/>
      <c r="E12" s="281"/>
      <c r="F12" s="281"/>
      <c r="G12" s="281"/>
      <c r="H12" s="281"/>
      <c r="I12" s="281"/>
      <c r="J12" s="281"/>
      <c r="K12" s="281"/>
      <c r="L12" s="281"/>
      <c r="M12" s="281"/>
      <c r="N12" s="281"/>
      <c r="O12" s="281"/>
      <c r="P12" s="281"/>
      <c r="Q12" s="281"/>
      <c r="R12" s="300"/>
      <c r="S12" s="313">
        <f t="shared" si="0"/>
        <v>0</v>
      </c>
    </row>
    <row r="13" spans="1:19" s="158" customFormat="1" ht="25.5">
      <c r="A13" s="120">
        <v>6</v>
      </c>
      <c r="B13" s="73" t="s">
        <v>221</v>
      </c>
      <c r="C13" s="281"/>
      <c r="D13" s="281"/>
      <c r="E13" s="281">
        <v>696326.58</v>
      </c>
      <c r="F13" s="281"/>
      <c r="G13" s="281"/>
      <c r="H13" s="281"/>
      <c r="I13" s="281">
        <v>36526796.270000003</v>
      </c>
      <c r="J13" s="281"/>
      <c r="K13" s="281"/>
      <c r="L13" s="281"/>
      <c r="M13" s="281">
        <v>96861.67</v>
      </c>
      <c r="N13" s="281"/>
      <c r="O13" s="281"/>
      <c r="P13" s="281"/>
      <c r="Q13" s="281"/>
      <c r="R13" s="300"/>
      <c r="S13" s="313">
        <f t="shared" si="0"/>
        <v>18499525.121000003</v>
      </c>
    </row>
    <row r="14" spans="1:19" s="158" customFormat="1" ht="25.5">
      <c r="A14" s="120">
        <v>7</v>
      </c>
      <c r="B14" s="73" t="s">
        <v>73</v>
      </c>
      <c r="C14" s="281"/>
      <c r="D14" s="281"/>
      <c r="E14" s="281"/>
      <c r="F14" s="281"/>
      <c r="G14" s="281"/>
      <c r="H14" s="281"/>
      <c r="I14" s="281"/>
      <c r="J14" s="281"/>
      <c r="K14" s="281"/>
      <c r="L14" s="281"/>
      <c r="M14" s="281"/>
      <c r="N14" s="281"/>
      <c r="O14" s="281"/>
      <c r="P14" s="281"/>
      <c r="Q14" s="281"/>
      <c r="R14" s="300"/>
      <c r="S14" s="313">
        <f t="shared" si="0"/>
        <v>0</v>
      </c>
    </row>
    <row r="15" spans="1:19" s="158" customFormat="1" ht="30" customHeight="1">
      <c r="A15" s="120">
        <v>8</v>
      </c>
      <c r="B15" s="176" t="s">
        <v>74</v>
      </c>
      <c r="C15" s="281"/>
      <c r="D15" s="281"/>
      <c r="E15" s="281"/>
      <c r="F15" s="281"/>
      <c r="G15" s="281"/>
      <c r="H15" s="281"/>
      <c r="I15" s="281"/>
      <c r="J15" s="281"/>
      <c r="K15" s="281">
        <v>1002813675.79252</v>
      </c>
      <c r="L15" s="281">
        <v>3022023.9550000001</v>
      </c>
      <c r="M15" s="281"/>
      <c r="N15" s="281"/>
      <c r="O15" s="281"/>
      <c r="P15" s="281"/>
      <c r="Q15" s="281"/>
      <c r="R15" s="300"/>
      <c r="S15" s="313">
        <f t="shared" si="0"/>
        <v>754376774.8106401</v>
      </c>
    </row>
    <row r="16" spans="1:19" s="158" customFormat="1" ht="38.25">
      <c r="A16" s="120">
        <v>9</v>
      </c>
      <c r="B16" s="73" t="s">
        <v>75</v>
      </c>
      <c r="C16" s="281"/>
      <c r="D16" s="281"/>
      <c r="E16" s="281"/>
      <c r="F16" s="281"/>
      <c r="G16" s="281"/>
      <c r="H16" s="281"/>
      <c r="I16" s="281"/>
      <c r="J16" s="281"/>
      <c r="K16" s="281"/>
      <c r="L16" s="281"/>
      <c r="M16" s="281"/>
      <c r="N16" s="281"/>
      <c r="O16" s="281"/>
      <c r="P16" s="281"/>
      <c r="Q16" s="281"/>
      <c r="R16" s="300"/>
      <c r="S16" s="313">
        <f t="shared" si="0"/>
        <v>0</v>
      </c>
    </row>
    <row r="17" spans="1:19" s="158" customFormat="1" ht="26.25" customHeight="1">
      <c r="A17" s="120">
        <v>10</v>
      </c>
      <c r="B17" s="176" t="s">
        <v>69</v>
      </c>
      <c r="C17" s="281"/>
      <c r="D17" s="281"/>
      <c r="E17" s="281"/>
      <c r="F17" s="281"/>
      <c r="G17" s="281"/>
      <c r="H17" s="281"/>
      <c r="I17" s="281"/>
      <c r="J17" s="281"/>
      <c r="K17" s="281"/>
      <c r="L17" s="281"/>
      <c r="M17" s="281">
        <v>4124200.2191308378</v>
      </c>
      <c r="N17" s="281"/>
      <c r="O17" s="281">
        <v>569521.37705144286</v>
      </c>
      <c r="P17" s="281"/>
      <c r="Q17" s="281"/>
      <c r="R17" s="300"/>
      <c r="S17" s="313">
        <f t="shared" si="0"/>
        <v>4978482.2847080026</v>
      </c>
    </row>
    <row r="18" spans="1:19" s="158" customFormat="1" ht="25.5">
      <c r="A18" s="120">
        <v>11</v>
      </c>
      <c r="B18" s="73" t="s">
        <v>70</v>
      </c>
      <c r="C18" s="281"/>
      <c r="D18" s="281"/>
      <c r="E18" s="281"/>
      <c r="F18" s="281"/>
      <c r="G18" s="281"/>
      <c r="H18" s="281"/>
      <c r="I18" s="281"/>
      <c r="J18" s="281"/>
      <c r="K18" s="281"/>
      <c r="L18" s="281"/>
      <c r="M18" s="281">
        <v>73018636.052069485</v>
      </c>
      <c r="N18" s="281"/>
      <c r="O18" s="281">
        <v>16082339.8117481</v>
      </c>
      <c r="P18" s="281"/>
      <c r="Q18" s="281"/>
      <c r="R18" s="300"/>
      <c r="S18" s="313">
        <f t="shared" si="0"/>
        <v>97142145.769691631</v>
      </c>
    </row>
    <row r="19" spans="1:19" s="158" customFormat="1" ht="25.5">
      <c r="A19" s="120">
        <v>12</v>
      </c>
      <c r="B19" s="73" t="s">
        <v>71</v>
      </c>
      <c r="C19" s="281"/>
      <c r="D19" s="281"/>
      <c r="E19" s="281"/>
      <c r="F19" s="281"/>
      <c r="G19" s="281"/>
      <c r="H19" s="281"/>
      <c r="I19" s="281"/>
      <c r="J19" s="281"/>
      <c r="K19" s="281"/>
      <c r="L19" s="281"/>
      <c r="M19" s="281"/>
      <c r="N19" s="281"/>
      <c r="O19" s="281"/>
      <c r="P19" s="281"/>
      <c r="Q19" s="281"/>
      <c r="R19" s="300"/>
      <c r="S19" s="313">
        <f t="shared" si="0"/>
        <v>0</v>
      </c>
    </row>
    <row r="20" spans="1:19" s="158" customFormat="1">
      <c r="A20" s="120">
        <v>13</v>
      </c>
      <c r="B20" s="73" t="s">
        <v>72</v>
      </c>
      <c r="C20" s="281"/>
      <c r="D20" s="281"/>
      <c r="E20" s="281"/>
      <c r="F20" s="281"/>
      <c r="G20" s="281"/>
      <c r="H20" s="281"/>
      <c r="I20" s="281"/>
      <c r="J20" s="281"/>
      <c r="K20" s="281"/>
      <c r="L20" s="281"/>
      <c r="M20" s="281"/>
      <c r="N20" s="281"/>
      <c r="O20" s="281"/>
      <c r="P20" s="281"/>
      <c r="Q20" s="281"/>
      <c r="R20" s="300"/>
      <c r="S20" s="313">
        <f t="shared" si="0"/>
        <v>0</v>
      </c>
    </row>
    <row r="21" spans="1:19" s="158" customFormat="1" ht="27" customHeight="1">
      <c r="A21" s="120">
        <v>14</v>
      </c>
      <c r="B21" s="176" t="s">
        <v>249</v>
      </c>
      <c r="C21" s="281">
        <v>45470919.649999999</v>
      </c>
      <c r="D21" s="281"/>
      <c r="E21" s="281"/>
      <c r="F21" s="281"/>
      <c r="G21" s="281"/>
      <c r="H21" s="281"/>
      <c r="I21" s="281"/>
      <c r="J21" s="281"/>
      <c r="K21" s="281"/>
      <c r="L21" s="281"/>
      <c r="M21" s="281">
        <v>80363037.329999998</v>
      </c>
      <c r="N21" s="281"/>
      <c r="O21" s="281"/>
      <c r="P21" s="281"/>
      <c r="Q21" s="281"/>
      <c r="R21" s="300"/>
      <c r="S21" s="313">
        <f t="shared" si="0"/>
        <v>80363037.329999998</v>
      </c>
    </row>
    <row r="22" spans="1:19" ht="13.5" thickBot="1">
      <c r="A22" s="102"/>
      <c r="B22" s="160" t="s">
        <v>68</v>
      </c>
      <c r="C22" s="282">
        <f>SUM(C8:C21)</f>
        <v>127184639.47</v>
      </c>
      <c r="D22" s="282">
        <f t="shared" ref="D22:S22" si="1">SUM(D8:D21)</f>
        <v>0</v>
      </c>
      <c r="E22" s="282">
        <f t="shared" si="1"/>
        <v>696326.58</v>
      </c>
      <c r="F22" s="282">
        <f t="shared" si="1"/>
        <v>0</v>
      </c>
      <c r="G22" s="282">
        <f t="shared" si="1"/>
        <v>0</v>
      </c>
      <c r="H22" s="282">
        <f t="shared" si="1"/>
        <v>0</v>
      </c>
      <c r="I22" s="282">
        <f t="shared" si="1"/>
        <v>36526796.270000003</v>
      </c>
      <c r="J22" s="282">
        <f t="shared" si="1"/>
        <v>0</v>
      </c>
      <c r="K22" s="282">
        <f t="shared" si="1"/>
        <v>1002813675.79252</v>
      </c>
      <c r="L22" s="282">
        <f t="shared" si="1"/>
        <v>3022023.9550000001</v>
      </c>
      <c r="M22" s="282">
        <f t="shared" si="1"/>
        <v>219458245.00120032</v>
      </c>
      <c r="N22" s="282">
        <f t="shared" si="1"/>
        <v>0</v>
      </c>
      <c r="O22" s="282">
        <f t="shared" si="1"/>
        <v>16651861.188799543</v>
      </c>
      <c r="P22" s="282">
        <f t="shared" si="1"/>
        <v>0</v>
      </c>
      <c r="Q22" s="282">
        <f t="shared" si="1"/>
        <v>0</v>
      </c>
      <c r="R22" s="282">
        <f t="shared" si="1"/>
        <v>0</v>
      </c>
      <c r="S22" s="508">
        <f t="shared" si="1"/>
        <v>1017215475.0460398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80" zoomScaleNormal="80" workbookViewId="0">
      <pane xSplit="2" ySplit="6" topLeftCell="C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38" t="str">
        <f>Info!C2</f>
        <v>სს "კრედობანკი"</v>
      </c>
    </row>
    <row r="2" spans="1:22">
      <c r="A2" s="2" t="s">
        <v>189</v>
      </c>
      <c r="B2" s="474">
        <f>'1. key ratios'!B2</f>
        <v>44286</v>
      </c>
    </row>
    <row r="4" spans="1:22" ht="27.75" thickBot="1">
      <c r="A4" s="2" t="s">
        <v>339</v>
      </c>
      <c r="B4" s="309" t="s">
        <v>360</v>
      </c>
      <c r="V4" s="202" t="s">
        <v>93</v>
      </c>
    </row>
    <row r="5" spans="1:22">
      <c r="A5" s="100"/>
      <c r="B5" s="101"/>
      <c r="C5" s="565" t="s">
        <v>198</v>
      </c>
      <c r="D5" s="566"/>
      <c r="E5" s="566"/>
      <c r="F5" s="566"/>
      <c r="G5" s="566"/>
      <c r="H5" s="566"/>
      <c r="I5" s="566"/>
      <c r="J5" s="566"/>
      <c r="K5" s="566"/>
      <c r="L5" s="567"/>
      <c r="M5" s="565" t="s">
        <v>199</v>
      </c>
      <c r="N5" s="566"/>
      <c r="O5" s="566"/>
      <c r="P5" s="566"/>
      <c r="Q5" s="566"/>
      <c r="R5" s="566"/>
      <c r="S5" s="567"/>
      <c r="T5" s="570" t="s">
        <v>358</v>
      </c>
      <c r="U5" s="570" t="s">
        <v>357</v>
      </c>
      <c r="V5" s="568" t="s">
        <v>200</v>
      </c>
    </row>
    <row r="6" spans="1:22" s="67" customFormat="1" ht="140.25">
      <c r="A6" s="118"/>
      <c r="B6" s="178"/>
      <c r="C6" s="98" t="s">
        <v>201</v>
      </c>
      <c r="D6" s="97" t="s">
        <v>202</v>
      </c>
      <c r="E6" s="94" t="s">
        <v>203</v>
      </c>
      <c r="F6" s="310" t="s">
        <v>352</v>
      </c>
      <c r="G6" s="97" t="s">
        <v>204</v>
      </c>
      <c r="H6" s="97" t="s">
        <v>205</v>
      </c>
      <c r="I6" s="97" t="s">
        <v>206</v>
      </c>
      <c r="J6" s="97" t="s">
        <v>248</v>
      </c>
      <c r="K6" s="97" t="s">
        <v>207</v>
      </c>
      <c r="L6" s="99" t="s">
        <v>208</v>
      </c>
      <c r="M6" s="98" t="s">
        <v>209</v>
      </c>
      <c r="N6" s="97" t="s">
        <v>210</v>
      </c>
      <c r="O6" s="97" t="s">
        <v>211</v>
      </c>
      <c r="P6" s="97" t="s">
        <v>212</v>
      </c>
      <c r="Q6" s="97" t="s">
        <v>213</v>
      </c>
      <c r="R6" s="97" t="s">
        <v>214</v>
      </c>
      <c r="S6" s="99" t="s">
        <v>215</v>
      </c>
      <c r="T6" s="571"/>
      <c r="U6" s="571"/>
      <c r="V6" s="569"/>
    </row>
    <row r="7" spans="1:22" s="158" customFormat="1">
      <c r="A7" s="159">
        <v>1</v>
      </c>
      <c r="B7" s="157" t="s">
        <v>216</v>
      </c>
      <c r="C7" s="283"/>
      <c r="D7" s="281"/>
      <c r="E7" s="281"/>
      <c r="F7" s="281"/>
      <c r="G7" s="281"/>
      <c r="H7" s="281"/>
      <c r="I7" s="281"/>
      <c r="J7" s="281"/>
      <c r="K7" s="281"/>
      <c r="L7" s="284"/>
      <c r="M7" s="283"/>
      <c r="N7" s="281"/>
      <c r="O7" s="281"/>
      <c r="P7" s="281"/>
      <c r="Q7" s="281"/>
      <c r="R7" s="281"/>
      <c r="S7" s="284"/>
      <c r="T7" s="304"/>
      <c r="U7" s="303"/>
      <c r="V7" s="285">
        <f>SUM(C7:S7)</f>
        <v>0</v>
      </c>
    </row>
    <row r="8" spans="1:22" s="158" customFormat="1">
      <c r="A8" s="159">
        <v>2</v>
      </c>
      <c r="B8" s="157" t="s">
        <v>217</v>
      </c>
      <c r="C8" s="283"/>
      <c r="D8" s="281"/>
      <c r="E8" s="281"/>
      <c r="F8" s="281"/>
      <c r="G8" s="281"/>
      <c r="H8" s="281"/>
      <c r="I8" s="281"/>
      <c r="J8" s="281"/>
      <c r="K8" s="281"/>
      <c r="L8" s="284"/>
      <c r="M8" s="283"/>
      <c r="N8" s="281"/>
      <c r="O8" s="281"/>
      <c r="P8" s="281"/>
      <c r="Q8" s="281"/>
      <c r="R8" s="281"/>
      <c r="S8" s="284"/>
      <c r="T8" s="303"/>
      <c r="U8" s="303"/>
      <c r="V8" s="285">
        <f t="shared" ref="V8:V20" si="0">SUM(C8:S8)</f>
        <v>0</v>
      </c>
    </row>
    <row r="9" spans="1:22" s="158" customFormat="1">
      <c r="A9" s="159">
        <v>3</v>
      </c>
      <c r="B9" s="157" t="s">
        <v>218</v>
      </c>
      <c r="C9" s="283"/>
      <c r="D9" s="281"/>
      <c r="E9" s="281"/>
      <c r="F9" s="281"/>
      <c r="G9" s="281"/>
      <c r="H9" s="281"/>
      <c r="I9" s="281"/>
      <c r="J9" s="281"/>
      <c r="K9" s="281"/>
      <c r="L9" s="284"/>
      <c r="M9" s="283"/>
      <c r="N9" s="281"/>
      <c r="O9" s="281"/>
      <c r="P9" s="281"/>
      <c r="Q9" s="281"/>
      <c r="R9" s="281"/>
      <c r="S9" s="284"/>
      <c r="T9" s="303"/>
      <c r="U9" s="303"/>
      <c r="V9" s="285">
        <f>SUM(C9:S9)</f>
        <v>0</v>
      </c>
    </row>
    <row r="10" spans="1:22" s="158" customFormat="1">
      <c r="A10" s="159">
        <v>4</v>
      </c>
      <c r="B10" s="157" t="s">
        <v>219</v>
      </c>
      <c r="C10" s="283"/>
      <c r="D10" s="281"/>
      <c r="E10" s="281"/>
      <c r="F10" s="281"/>
      <c r="G10" s="281"/>
      <c r="H10" s="281"/>
      <c r="I10" s="281"/>
      <c r="J10" s="281"/>
      <c r="K10" s="281"/>
      <c r="L10" s="284"/>
      <c r="M10" s="283"/>
      <c r="N10" s="281"/>
      <c r="O10" s="281"/>
      <c r="P10" s="281"/>
      <c r="Q10" s="281"/>
      <c r="R10" s="281"/>
      <c r="S10" s="284"/>
      <c r="T10" s="303"/>
      <c r="U10" s="303"/>
      <c r="V10" s="285">
        <f t="shared" si="0"/>
        <v>0</v>
      </c>
    </row>
    <row r="11" spans="1:22" s="158" customFormat="1">
      <c r="A11" s="159">
        <v>5</v>
      </c>
      <c r="B11" s="157" t="s">
        <v>220</v>
      </c>
      <c r="C11" s="283"/>
      <c r="D11" s="281"/>
      <c r="E11" s="281"/>
      <c r="F11" s="281"/>
      <c r="G11" s="281"/>
      <c r="H11" s="281"/>
      <c r="I11" s="281"/>
      <c r="J11" s="281"/>
      <c r="K11" s="281"/>
      <c r="L11" s="284"/>
      <c r="M11" s="283"/>
      <c r="N11" s="281"/>
      <c r="O11" s="281"/>
      <c r="P11" s="281"/>
      <c r="Q11" s="281"/>
      <c r="R11" s="281"/>
      <c r="S11" s="284"/>
      <c r="T11" s="303"/>
      <c r="U11" s="303"/>
      <c r="V11" s="285">
        <f t="shared" si="0"/>
        <v>0</v>
      </c>
    </row>
    <row r="12" spans="1:22" s="158" customFormat="1">
      <c r="A12" s="159">
        <v>6</v>
      </c>
      <c r="B12" s="157" t="s">
        <v>221</v>
      </c>
      <c r="C12" s="283"/>
      <c r="D12" s="281"/>
      <c r="E12" s="281"/>
      <c r="F12" s="281"/>
      <c r="G12" s="281"/>
      <c r="H12" s="281"/>
      <c r="I12" s="281"/>
      <c r="J12" s="281"/>
      <c r="K12" s="281"/>
      <c r="L12" s="284"/>
      <c r="M12" s="283"/>
      <c r="N12" s="281"/>
      <c r="O12" s="281"/>
      <c r="P12" s="281"/>
      <c r="Q12" s="281"/>
      <c r="R12" s="281"/>
      <c r="S12" s="284"/>
      <c r="T12" s="303"/>
      <c r="U12" s="303"/>
      <c r="V12" s="285">
        <f t="shared" si="0"/>
        <v>0</v>
      </c>
    </row>
    <row r="13" spans="1:22" s="158" customFormat="1">
      <c r="A13" s="159">
        <v>7</v>
      </c>
      <c r="B13" s="157" t="s">
        <v>73</v>
      </c>
      <c r="C13" s="283"/>
      <c r="D13" s="281"/>
      <c r="E13" s="281"/>
      <c r="F13" s="281"/>
      <c r="G13" s="281"/>
      <c r="H13" s="281"/>
      <c r="I13" s="281"/>
      <c r="J13" s="281"/>
      <c r="K13" s="281"/>
      <c r="L13" s="284"/>
      <c r="M13" s="283"/>
      <c r="N13" s="281"/>
      <c r="O13" s="281"/>
      <c r="P13" s="281"/>
      <c r="Q13" s="281"/>
      <c r="R13" s="281"/>
      <c r="S13" s="284"/>
      <c r="T13" s="303"/>
      <c r="U13" s="303"/>
      <c r="V13" s="285">
        <f t="shared" si="0"/>
        <v>0</v>
      </c>
    </row>
    <row r="14" spans="1:22" s="158" customFormat="1">
      <c r="A14" s="159">
        <v>8</v>
      </c>
      <c r="B14" s="157" t="s">
        <v>74</v>
      </c>
      <c r="C14" s="283"/>
      <c r="D14" s="281"/>
      <c r="E14" s="281"/>
      <c r="F14" s="281"/>
      <c r="G14" s="281"/>
      <c r="H14" s="281"/>
      <c r="I14" s="281"/>
      <c r="J14" s="281"/>
      <c r="K14" s="281"/>
      <c r="L14" s="284"/>
      <c r="M14" s="283"/>
      <c r="N14" s="281"/>
      <c r="O14" s="281"/>
      <c r="P14" s="281"/>
      <c r="Q14" s="281"/>
      <c r="R14" s="281"/>
      <c r="S14" s="284"/>
      <c r="T14" s="303"/>
      <c r="U14" s="303"/>
      <c r="V14" s="285">
        <f t="shared" si="0"/>
        <v>0</v>
      </c>
    </row>
    <row r="15" spans="1:22" s="158" customFormat="1">
      <c r="A15" s="159">
        <v>9</v>
      </c>
      <c r="B15" s="157" t="s">
        <v>75</v>
      </c>
      <c r="C15" s="283"/>
      <c r="D15" s="281"/>
      <c r="E15" s="281"/>
      <c r="F15" s="281"/>
      <c r="G15" s="281"/>
      <c r="H15" s="281"/>
      <c r="I15" s="281"/>
      <c r="J15" s="281"/>
      <c r="K15" s="281"/>
      <c r="L15" s="284"/>
      <c r="M15" s="283"/>
      <c r="N15" s="281"/>
      <c r="O15" s="281"/>
      <c r="P15" s="281"/>
      <c r="Q15" s="281"/>
      <c r="R15" s="281"/>
      <c r="S15" s="284"/>
      <c r="T15" s="303"/>
      <c r="U15" s="303"/>
      <c r="V15" s="285">
        <f t="shared" si="0"/>
        <v>0</v>
      </c>
    </row>
    <row r="16" spans="1:22" s="158" customFormat="1">
      <c r="A16" s="159">
        <v>10</v>
      </c>
      <c r="B16" s="157" t="s">
        <v>69</v>
      </c>
      <c r="C16" s="283"/>
      <c r="D16" s="281"/>
      <c r="E16" s="281"/>
      <c r="F16" s="281"/>
      <c r="G16" s="281"/>
      <c r="H16" s="281"/>
      <c r="I16" s="281"/>
      <c r="J16" s="281"/>
      <c r="K16" s="281"/>
      <c r="L16" s="284"/>
      <c r="M16" s="283"/>
      <c r="N16" s="281"/>
      <c r="O16" s="281"/>
      <c r="P16" s="281"/>
      <c r="Q16" s="281"/>
      <c r="R16" s="281"/>
      <c r="S16" s="284"/>
      <c r="T16" s="303"/>
      <c r="U16" s="303"/>
      <c r="V16" s="285">
        <f t="shared" si="0"/>
        <v>0</v>
      </c>
    </row>
    <row r="17" spans="1:22" s="158" customFormat="1">
      <c r="A17" s="159">
        <v>11</v>
      </c>
      <c r="B17" s="157" t="s">
        <v>70</v>
      </c>
      <c r="C17" s="283"/>
      <c r="D17" s="281"/>
      <c r="E17" s="281"/>
      <c r="F17" s="281"/>
      <c r="G17" s="281"/>
      <c r="H17" s="281"/>
      <c r="I17" s="281"/>
      <c r="J17" s="281"/>
      <c r="K17" s="281"/>
      <c r="L17" s="284"/>
      <c r="M17" s="283"/>
      <c r="N17" s="281"/>
      <c r="O17" s="281"/>
      <c r="P17" s="281"/>
      <c r="Q17" s="281"/>
      <c r="R17" s="281"/>
      <c r="S17" s="284"/>
      <c r="T17" s="303"/>
      <c r="U17" s="303"/>
      <c r="V17" s="285">
        <f t="shared" si="0"/>
        <v>0</v>
      </c>
    </row>
    <row r="18" spans="1:22" s="158" customFormat="1">
      <c r="A18" s="159">
        <v>12</v>
      </c>
      <c r="B18" s="157" t="s">
        <v>71</v>
      </c>
      <c r="C18" s="283"/>
      <c r="D18" s="281"/>
      <c r="E18" s="281"/>
      <c r="F18" s="281"/>
      <c r="G18" s="281"/>
      <c r="H18" s="281"/>
      <c r="I18" s="281"/>
      <c r="J18" s="281"/>
      <c r="K18" s="281"/>
      <c r="L18" s="284"/>
      <c r="M18" s="283"/>
      <c r="N18" s="281"/>
      <c r="O18" s="281"/>
      <c r="P18" s="281"/>
      <c r="Q18" s="281"/>
      <c r="R18" s="281"/>
      <c r="S18" s="284"/>
      <c r="T18" s="303"/>
      <c r="U18" s="303"/>
      <c r="V18" s="285">
        <f t="shared" si="0"/>
        <v>0</v>
      </c>
    </row>
    <row r="19" spans="1:22" s="158" customFormat="1">
      <c r="A19" s="159">
        <v>13</v>
      </c>
      <c r="B19" s="157" t="s">
        <v>72</v>
      </c>
      <c r="C19" s="283"/>
      <c r="D19" s="281"/>
      <c r="E19" s="281"/>
      <c r="F19" s="281"/>
      <c r="G19" s="281"/>
      <c r="H19" s="281"/>
      <c r="I19" s="281"/>
      <c r="J19" s="281"/>
      <c r="K19" s="281"/>
      <c r="L19" s="284"/>
      <c r="M19" s="283"/>
      <c r="N19" s="281"/>
      <c r="O19" s="281"/>
      <c r="P19" s="281"/>
      <c r="Q19" s="281"/>
      <c r="R19" s="281"/>
      <c r="S19" s="284"/>
      <c r="T19" s="303"/>
      <c r="U19" s="303"/>
      <c r="V19" s="285">
        <f t="shared" si="0"/>
        <v>0</v>
      </c>
    </row>
    <row r="20" spans="1:22" s="158" customFormat="1">
      <c r="A20" s="159">
        <v>14</v>
      </c>
      <c r="B20" s="157" t="s">
        <v>249</v>
      </c>
      <c r="C20" s="283"/>
      <c r="D20" s="281"/>
      <c r="E20" s="281"/>
      <c r="F20" s="281"/>
      <c r="G20" s="281"/>
      <c r="H20" s="281"/>
      <c r="I20" s="281"/>
      <c r="J20" s="281"/>
      <c r="K20" s="281"/>
      <c r="L20" s="284"/>
      <c r="M20" s="283"/>
      <c r="N20" s="281"/>
      <c r="O20" s="281"/>
      <c r="P20" s="281"/>
      <c r="Q20" s="281"/>
      <c r="R20" s="281"/>
      <c r="S20" s="284"/>
      <c r="T20" s="303"/>
      <c r="U20" s="303"/>
      <c r="V20" s="285">
        <f t="shared" si="0"/>
        <v>0</v>
      </c>
    </row>
    <row r="21" spans="1:22" ht="13.5" thickBot="1">
      <c r="A21" s="102"/>
      <c r="B21" s="103" t="s">
        <v>68</v>
      </c>
      <c r="C21" s="286">
        <f>SUM(C7:C20)</f>
        <v>0</v>
      </c>
      <c r="D21" s="282">
        <f t="shared" ref="D21:V21" si="1">SUM(D7:D20)</f>
        <v>0</v>
      </c>
      <c r="E21" s="282">
        <f t="shared" si="1"/>
        <v>0</v>
      </c>
      <c r="F21" s="282">
        <f t="shared" si="1"/>
        <v>0</v>
      </c>
      <c r="G21" s="282">
        <f t="shared" si="1"/>
        <v>0</v>
      </c>
      <c r="H21" s="282">
        <f t="shared" si="1"/>
        <v>0</v>
      </c>
      <c r="I21" s="282">
        <f t="shared" si="1"/>
        <v>0</v>
      </c>
      <c r="J21" s="282">
        <f t="shared" si="1"/>
        <v>0</v>
      </c>
      <c r="K21" s="282">
        <f t="shared" si="1"/>
        <v>0</v>
      </c>
      <c r="L21" s="287">
        <f t="shared" si="1"/>
        <v>0</v>
      </c>
      <c r="M21" s="286">
        <f t="shared" si="1"/>
        <v>0</v>
      </c>
      <c r="N21" s="282">
        <f t="shared" si="1"/>
        <v>0</v>
      </c>
      <c r="O21" s="282">
        <f t="shared" si="1"/>
        <v>0</v>
      </c>
      <c r="P21" s="282">
        <f t="shared" si="1"/>
        <v>0</v>
      </c>
      <c r="Q21" s="282">
        <f t="shared" si="1"/>
        <v>0</v>
      </c>
      <c r="R21" s="282">
        <f t="shared" si="1"/>
        <v>0</v>
      </c>
      <c r="S21" s="287">
        <f t="shared" si="1"/>
        <v>0</v>
      </c>
      <c r="T21" s="287">
        <f>SUM(T7:T20)</f>
        <v>0</v>
      </c>
      <c r="U21" s="287">
        <f t="shared" si="1"/>
        <v>0</v>
      </c>
      <c r="V21" s="288">
        <f t="shared" si="1"/>
        <v>0</v>
      </c>
    </row>
    <row r="24" spans="1:22">
      <c r="A24" s="18"/>
      <c r="B24" s="18"/>
      <c r="C24" s="71"/>
      <c r="D24" s="71"/>
      <c r="E24" s="71"/>
    </row>
    <row r="25" spans="1:22">
      <c r="A25" s="95"/>
      <c r="B25" s="95"/>
      <c r="C25" s="18"/>
      <c r="D25" s="71"/>
      <c r="E25" s="71"/>
    </row>
    <row r="26" spans="1:22">
      <c r="A26" s="95"/>
      <c r="B26" s="96"/>
      <c r="C26" s="18"/>
      <c r="D26" s="71"/>
      <c r="E26" s="71"/>
    </row>
    <row r="27" spans="1:22">
      <c r="A27" s="95"/>
      <c r="B27" s="95"/>
      <c r="C27" s="18"/>
      <c r="D27" s="71"/>
      <c r="E27" s="71"/>
    </row>
    <row r="28" spans="1:22">
      <c r="A28" s="95"/>
      <c r="B28" s="96"/>
      <c r="C28" s="18"/>
      <c r="D28" s="71"/>
      <c r="E28" s="7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90" zoomScaleNormal="90" workbookViewId="0">
      <pane xSplit="1" ySplit="7" topLeftCell="B12" activePane="bottomRight" state="frozen"/>
      <selection activeCell="L18" sqref="L18"/>
      <selection pane="topRight" activeCell="L18" sqref="L18"/>
      <selection pane="bottomLeft" activeCell="L18" sqref="L18"/>
      <selection pane="bottomRight" activeCell="H13" sqref="H13"/>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38" t="str">
        <f>Info!C2</f>
        <v>სს "კრედობანკი"</v>
      </c>
    </row>
    <row r="2" spans="1:9">
      <c r="A2" s="2" t="s">
        <v>189</v>
      </c>
      <c r="B2" s="474">
        <f>'1. key ratios'!B2</f>
        <v>44286</v>
      </c>
    </row>
    <row r="4" spans="1:9" ht="13.5" thickBot="1">
      <c r="A4" s="2" t="s">
        <v>340</v>
      </c>
      <c r="B4" s="306" t="s">
        <v>361</v>
      </c>
    </row>
    <row r="5" spans="1:9">
      <c r="A5" s="100"/>
      <c r="B5" s="155"/>
      <c r="C5" s="161" t="s">
        <v>0</v>
      </c>
      <c r="D5" s="161" t="s">
        <v>1</v>
      </c>
      <c r="E5" s="161" t="s">
        <v>2</v>
      </c>
      <c r="F5" s="161" t="s">
        <v>3</v>
      </c>
      <c r="G5" s="301" t="s">
        <v>4</v>
      </c>
      <c r="H5" s="162" t="s">
        <v>5</v>
      </c>
      <c r="I5" s="24"/>
    </row>
    <row r="6" spans="1:9" ht="15" customHeight="1">
      <c r="A6" s="154"/>
      <c r="B6" s="22"/>
      <c r="C6" s="572" t="s">
        <v>353</v>
      </c>
      <c r="D6" s="576" t="s">
        <v>363</v>
      </c>
      <c r="E6" s="577"/>
      <c r="F6" s="572" t="s">
        <v>364</v>
      </c>
      <c r="G6" s="572" t="s">
        <v>365</v>
      </c>
      <c r="H6" s="574" t="s">
        <v>355</v>
      </c>
      <c r="I6" s="24"/>
    </row>
    <row r="7" spans="1:9" ht="76.5">
      <c r="A7" s="154"/>
      <c r="B7" s="22"/>
      <c r="C7" s="573"/>
      <c r="D7" s="305" t="s">
        <v>356</v>
      </c>
      <c r="E7" s="305" t="s">
        <v>354</v>
      </c>
      <c r="F7" s="573"/>
      <c r="G7" s="573"/>
      <c r="H7" s="575"/>
      <c r="I7" s="24"/>
    </row>
    <row r="8" spans="1:9">
      <c r="A8" s="91">
        <v>1</v>
      </c>
      <c r="B8" s="73" t="s">
        <v>216</v>
      </c>
      <c r="C8" s="289">
        <v>117449558.33000001</v>
      </c>
      <c r="D8" s="290"/>
      <c r="E8" s="289"/>
      <c r="F8" s="289">
        <v>61855509.730000004</v>
      </c>
      <c r="G8" s="302">
        <v>61855509.730000004</v>
      </c>
      <c r="H8" s="311">
        <f>IFERROR(G8/(C8+E8),"")</f>
        <v>0.52665595860482961</v>
      </c>
    </row>
    <row r="9" spans="1:9" ht="21.75" customHeight="1">
      <c r="A9" s="91">
        <v>2</v>
      </c>
      <c r="B9" s="73" t="s">
        <v>217</v>
      </c>
      <c r="C9" s="289"/>
      <c r="D9" s="290"/>
      <c r="E9" s="289"/>
      <c r="F9" s="289"/>
      <c r="G9" s="302"/>
      <c r="H9" s="311" t="str">
        <f t="shared" ref="H9:H21" si="0">IFERROR(G9/(C9+E9),"")</f>
        <v/>
      </c>
    </row>
    <row r="10" spans="1:9">
      <c r="A10" s="91">
        <v>3</v>
      </c>
      <c r="B10" s="73" t="s">
        <v>218</v>
      </c>
      <c r="C10" s="289"/>
      <c r="D10" s="290"/>
      <c r="E10" s="289"/>
      <c r="F10" s="289"/>
      <c r="G10" s="302"/>
      <c r="H10" s="311" t="str">
        <f t="shared" si="0"/>
        <v/>
      </c>
    </row>
    <row r="11" spans="1:9">
      <c r="A11" s="91">
        <v>4</v>
      </c>
      <c r="B11" s="73" t="s">
        <v>219</v>
      </c>
      <c r="C11" s="289">
        <v>26119671.219999999</v>
      </c>
      <c r="D11" s="290"/>
      <c r="E11" s="289"/>
      <c r="F11" s="289"/>
      <c r="G11" s="302"/>
      <c r="H11" s="311"/>
    </row>
    <row r="12" spans="1:9">
      <c r="A12" s="91">
        <v>5</v>
      </c>
      <c r="B12" s="73" t="s">
        <v>220</v>
      </c>
      <c r="C12" s="289"/>
      <c r="D12" s="290"/>
      <c r="E12" s="289"/>
      <c r="F12" s="289"/>
      <c r="G12" s="302"/>
      <c r="H12" s="311" t="str">
        <f t="shared" si="0"/>
        <v/>
      </c>
    </row>
    <row r="13" spans="1:9">
      <c r="A13" s="91">
        <v>6</v>
      </c>
      <c r="B13" s="73" t="s">
        <v>221</v>
      </c>
      <c r="C13" s="289">
        <v>37319984.520000003</v>
      </c>
      <c r="D13" s="290"/>
      <c r="E13" s="289"/>
      <c r="F13" s="289">
        <v>18499525.121000003</v>
      </c>
      <c r="G13" s="302">
        <v>18499525.121000003</v>
      </c>
      <c r="H13" s="311">
        <f t="shared" si="0"/>
        <v>0.49570023564950827</v>
      </c>
    </row>
    <row r="14" spans="1:9">
      <c r="A14" s="91">
        <v>7</v>
      </c>
      <c r="B14" s="73" t="s">
        <v>73</v>
      </c>
      <c r="C14" s="289"/>
      <c r="D14" s="290"/>
      <c r="E14" s="289"/>
      <c r="F14" s="290"/>
      <c r="G14" s="349"/>
      <c r="H14" s="311" t="str">
        <f t="shared" si="0"/>
        <v/>
      </c>
    </row>
    <row r="15" spans="1:9">
      <c r="A15" s="91">
        <v>8</v>
      </c>
      <c r="B15" s="73" t="s">
        <v>74</v>
      </c>
      <c r="C15" s="289">
        <v>1002813675.79252</v>
      </c>
      <c r="D15" s="290">
        <v>31661617.370000001</v>
      </c>
      <c r="E15" s="289">
        <v>3022023.9550000001</v>
      </c>
      <c r="F15" s="290">
        <v>752110256.84439003</v>
      </c>
      <c r="G15" s="349">
        <v>752110256.84439003</v>
      </c>
      <c r="H15" s="311">
        <f t="shared" si="0"/>
        <v>0.74774663201274427</v>
      </c>
    </row>
    <row r="16" spans="1:9">
      <c r="A16" s="91">
        <v>9</v>
      </c>
      <c r="B16" s="73" t="s">
        <v>75</v>
      </c>
      <c r="C16" s="289"/>
      <c r="D16" s="290"/>
      <c r="E16" s="289"/>
      <c r="F16" s="290"/>
      <c r="G16" s="349"/>
      <c r="H16" s="311" t="str">
        <f t="shared" si="0"/>
        <v/>
      </c>
    </row>
    <row r="17" spans="1:8">
      <c r="A17" s="91">
        <v>10</v>
      </c>
      <c r="B17" s="73" t="s">
        <v>69</v>
      </c>
      <c r="C17" s="289">
        <v>4693721.5961822812</v>
      </c>
      <c r="D17" s="290"/>
      <c r="E17" s="289"/>
      <c r="F17" s="290">
        <v>4978482.2847080026</v>
      </c>
      <c r="G17" s="349">
        <v>4978482.2847080026</v>
      </c>
      <c r="H17" s="311">
        <f t="shared" si="0"/>
        <v>1.0606684232736208</v>
      </c>
    </row>
    <row r="18" spans="1:8">
      <c r="A18" s="91">
        <v>11</v>
      </c>
      <c r="B18" s="73" t="s">
        <v>70</v>
      </c>
      <c r="C18" s="289">
        <v>89100975.863817587</v>
      </c>
      <c r="D18" s="290"/>
      <c r="E18" s="289"/>
      <c r="F18" s="290">
        <v>97142145.769691631</v>
      </c>
      <c r="G18" s="349">
        <v>97142145.769691631</v>
      </c>
      <c r="H18" s="311">
        <f t="shared" si="0"/>
        <v>1.0902478320570159</v>
      </c>
    </row>
    <row r="19" spans="1:8">
      <c r="A19" s="91">
        <v>12</v>
      </c>
      <c r="B19" s="73" t="s">
        <v>71</v>
      </c>
      <c r="C19" s="289"/>
      <c r="D19" s="290"/>
      <c r="E19" s="289"/>
      <c r="F19" s="290"/>
      <c r="G19" s="349"/>
      <c r="H19" s="311" t="str">
        <f t="shared" si="0"/>
        <v/>
      </c>
    </row>
    <row r="20" spans="1:8">
      <c r="A20" s="91">
        <v>13</v>
      </c>
      <c r="B20" s="73" t="s">
        <v>72</v>
      </c>
      <c r="C20" s="289"/>
      <c r="D20" s="290"/>
      <c r="E20" s="289"/>
      <c r="F20" s="290"/>
      <c r="G20" s="349"/>
      <c r="H20" s="311" t="str">
        <f t="shared" si="0"/>
        <v/>
      </c>
    </row>
    <row r="21" spans="1:8">
      <c r="A21" s="91">
        <v>14</v>
      </c>
      <c r="B21" s="73" t="s">
        <v>249</v>
      </c>
      <c r="C21" s="289">
        <v>125833956.97999999</v>
      </c>
      <c r="D21" s="290"/>
      <c r="E21" s="289"/>
      <c r="F21" s="290">
        <v>80363037.329999998</v>
      </c>
      <c r="G21" s="349">
        <v>80363037.329999998</v>
      </c>
      <c r="H21" s="311">
        <f t="shared" si="0"/>
        <v>0.63864348907642532</v>
      </c>
    </row>
    <row r="22" spans="1:8" ht="13.5" thickBot="1">
      <c r="A22" s="156"/>
      <c r="B22" s="163" t="s">
        <v>68</v>
      </c>
      <c r="C22" s="282">
        <f>SUM(C8:C21)</f>
        <v>1403331544.30252</v>
      </c>
      <c r="D22" s="282">
        <f>SUM(D8:D21)</f>
        <v>31661617.370000001</v>
      </c>
      <c r="E22" s="282">
        <f>SUM(E8:E21)</f>
        <v>3022023.9550000001</v>
      </c>
      <c r="F22" s="282">
        <f>SUM(F8:F21)</f>
        <v>1014948957.0797896</v>
      </c>
      <c r="G22" s="282">
        <f>SUM(G8:G21)</f>
        <v>1014948957.0797896</v>
      </c>
      <c r="H22" s="312">
        <f>G22/(C22+E22)</f>
        <v>0.72168832929923676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80" zoomScaleNormal="80" workbookViewId="0">
      <pane xSplit="2" ySplit="6" topLeftCell="C12" activePane="bottomRight" state="frozen"/>
      <selection pane="topRight" activeCell="C1" sqref="C1"/>
      <selection pane="bottomLeft" activeCell="A6" sqref="A6"/>
      <selection pane="bottomRight" activeCell="J2" sqref="J2"/>
    </sheetView>
  </sheetViews>
  <sheetFormatPr defaultColWidth="9.140625" defaultRowHeight="12.75"/>
  <cols>
    <col min="1" max="1" width="10.5703125" style="338" bestFit="1" customWidth="1"/>
    <col min="2" max="2" width="104.140625" style="338" customWidth="1"/>
    <col min="3" max="11" width="12.7109375" style="338" customWidth="1"/>
    <col min="12" max="16384" width="9.140625" style="338"/>
  </cols>
  <sheetData>
    <row r="1" spans="1:11">
      <c r="A1" s="338" t="s">
        <v>188</v>
      </c>
      <c r="B1" s="338" t="str">
        <f>Info!C2</f>
        <v>სს "კრედობანკი"</v>
      </c>
    </row>
    <row r="2" spans="1:11">
      <c r="A2" s="338" t="s">
        <v>189</v>
      </c>
      <c r="B2" s="474">
        <f>'1. key ratios'!B2</f>
        <v>44286</v>
      </c>
      <c r="C2" s="339"/>
      <c r="D2" s="339"/>
    </row>
    <row r="3" spans="1:11">
      <c r="B3" s="339"/>
      <c r="C3" s="339"/>
      <c r="D3" s="339"/>
    </row>
    <row r="4" spans="1:11" ht="13.5" thickBot="1">
      <c r="A4" s="338" t="s">
        <v>394</v>
      </c>
      <c r="B4" s="306" t="s">
        <v>393</v>
      </c>
      <c r="C4" s="339"/>
      <c r="D4" s="339"/>
    </row>
    <row r="5" spans="1:11" ht="30" customHeight="1">
      <c r="A5" s="581"/>
      <c r="B5" s="582"/>
      <c r="C5" s="579" t="s">
        <v>425</v>
      </c>
      <c r="D5" s="579"/>
      <c r="E5" s="579"/>
      <c r="F5" s="579" t="s">
        <v>426</v>
      </c>
      <c r="G5" s="579"/>
      <c r="H5" s="579"/>
      <c r="I5" s="579" t="s">
        <v>427</v>
      </c>
      <c r="J5" s="579"/>
      <c r="K5" s="580"/>
    </row>
    <row r="6" spans="1:11">
      <c r="A6" s="336"/>
      <c r="B6" s="337"/>
      <c r="C6" s="340" t="s">
        <v>27</v>
      </c>
      <c r="D6" s="340" t="s">
        <v>96</v>
      </c>
      <c r="E6" s="340" t="s">
        <v>68</v>
      </c>
      <c r="F6" s="340" t="s">
        <v>27</v>
      </c>
      <c r="G6" s="340" t="s">
        <v>96</v>
      </c>
      <c r="H6" s="340" t="s">
        <v>68</v>
      </c>
      <c r="I6" s="340" t="s">
        <v>27</v>
      </c>
      <c r="J6" s="340" t="s">
        <v>96</v>
      </c>
      <c r="K6" s="341" t="s">
        <v>68</v>
      </c>
    </row>
    <row r="7" spans="1:11">
      <c r="A7" s="342" t="s">
        <v>373</v>
      </c>
      <c r="B7" s="335"/>
      <c r="C7" s="335"/>
      <c r="D7" s="335"/>
      <c r="E7" s="335"/>
      <c r="F7" s="335"/>
      <c r="G7" s="335"/>
      <c r="H7" s="335"/>
      <c r="I7" s="335"/>
      <c r="J7" s="335"/>
      <c r="K7" s="343"/>
    </row>
    <row r="8" spans="1:11">
      <c r="A8" s="334">
        <v>1</v>
      </c>
      <c r="B8" s="319" t="s">
        <v>373</v>
      </c>
      <c r="C8" s="317"/>
      <c r="D8" s="317"/>
      <c r="E8" s="317"/>
      <c r="F8" s="515">
        <v>107628441.66220313</v>
      </c>
      <c r="G8" s="515">
        <v>112515730.55997384</v>
      </c>
      <c r="H8" s="516">
        <f>F8+G8</f>
        <v>220144172.22217697</v>
      </c>
      <c r="I8" s="515">
        <v>82806028.995110527</v>
      </c>
      <c r="J8" s="515">
        <v>74339827.007442102</v>
      </c>
      <c r="K8" s="517">
        <f>I8+J8</f>
        <v>157145856.00255263</v>
      </c>
    </row>
    <row r="9" spans="1:11">
      <c r="A9" s="342" t="s">
        <v>374</v>
      </c>
      <c r="B9" s="335"/>
      <c r="C9" s="335"/>
      <c r="D9" s="335"/>
      <c r="E9" s="335"/>
      <c r="F9" s="512"/>
      <c r="G9" s="512"/>
      <c r="H9" s="512"/>
      <c r="I9" s="512"/>
      <c r="J9" s="512"/>
      <c r="K9" s="518"/>
    </row>
    <row r="10" spans="1:11">
      <c r="A10" s="344">
        <v>2</v>
      </c>
      <c r="B10" s="320" t="s">
        <v>375</v>
      </c>
      <c r="C10" s="478">
        <v>53847691.736179352</v>
      </c>
      <c r="D10" s="509">
        <v>30683956.929962438</v>
      </c>
      <c r="E10" s="510">
        <f>C10+D10</f>
        <v>84531648.666141793</v>
      </c>
      <c r="F10" s="509">
        <v>16154307.520853804</v>
      </c>
      <c r="G10" s="509">
        <v>9205187.0789887309</v>
      </c>
      <c r="H10" s="510">
        <f>F10+G10</f>
        <v>25359494.599842533</v>
      </c>
      <c r="I10" s="509">
        <v>2692384.5868089679</v>
      </c>
      <c r="J10" s="509">
        <v>1534197.846498122</v>
      </c>
      <c r="K10" s="519">
        <f>I10+J10</f>
        <v>4226582.4333070898</v>
      </c>
    </row>
    <row r="11" spans="1:11">
      <c r="A11" s="344">
        <v>3</v>
      </c>
      <c r="B11" s="320" t="s">
        <v>376</v>
      </c>
      <c r="C11" s="478">
        <v>69237339.842420027</v>
      </c>
      <c r="D11" s="509">
        <v>11093321.011930443</v>
      </c>
      <c r="E11" s="510">
        <f t="shared" ref="E11:E16" si="0">C11+D11</f>
        <v>80330660.854350477</v>
      </c>
      <c r="F11" s="509">
        <v>35824355.114608914</v>
      </c>
      <c r="G11" s="509">
        <v>9332740.4897692055</v>
      </c>
      <c r="H11" s="510">
        <f t="shared" ref="H11:H16" si="1">F11+G11</f>
        <v>45157095.604378119</v>
      </c>
      <c r="I11" s="509">
        <v>29449608.932656139</v>
      </c>
      <c r="J11" s="509">
        <v>8892595.359228896</v>
      </c>
      <c r="K11" s="519">
        <f t="shared" ref="K11:K16" si="2">I11+J11</f>
        <v>38342204.291885033</v>
      </c>
    </row>
    <row r="12" spans="1:11">
      <c r="A12" s="344">
        <v>4</v>
      </c>
      <c r="B12" s="320" t="s">
        <v>377</v>
      </c>
      <c r="C12" s="478">
        <v>0</v>
      </c>
      <c r="D12" s="509">
        <v>0</v>
      </c>
      <c r="E12" s="510">
        <f t="shared" si="0"/>
        <v>0</v>
      </c>
      <c r="F12" s="509">
        <v>0</v>
      </c>
      <c r="G12" s="509">
        <v>0</v>
      </c>
      <c r="H12" s="510">
        <f t="shared" si="1"/>
        <v>0</v>
      </c>
      <c r="I12" s="509">
        <v>0</v>
      </c>
      <c r="J12" s="509">
        <v>0</v>
      </c>
      <c r="K12" s="519">
        <f t="shared" si="2"/>
        <v>0</v>
      </c>
    </row>
    <row r="13" spans="1:11">
      <c r="A13" s="344">
        <v>5</v>
      </c>
      <c r="B13" s="320" t="s">
        <v>378</v>
      </c>
      <c r="C13" s="478">
        <v>29459582.29267196</v>
      </c>
      <c r="D13" s="509">
        <v>2036471.7386534393</v>
      </c>
      <c r="E13" s="510">
        <f t="shared" si="0"/>
        <v>31496054.0313254</v>
      </c>
      <c r="F13" s="509">
        <v>8837874.6878015883</v>
      </c>
      <c r="G13" s="509">
        <v>610941.52159603173</v>
      </c>
      <c r="H13" s="510">
        <f t="shared" si="1"/>
        <v>9448816.2093976196</v>
      </c>
      <c r="I13" s="509">
        <v>1472979.1146335981</v>
      </c>
      <c r="J13" s="509">
        <v>101823.58693267197</v>
      </c>
      <c r="K13" s="519">
        <f t="shared" si="2"/>
        <v>1574802.7015662701</v>
      </c>
    </row>
    <row r="14" spans="1:11">
      <c r="A14" s="344">
        <v>6</v>
      </c>
      <c r="B14" s="320" t="s">
        <v>392</v>
      </c>
      <c r="C14" s="478"/>
      <c r="D14" s="509"/>
      <c r="E14" s="510">
        <f t="shared" si="0"/>
        <v>0</v>
      </c>
      <c r="F14" s="509">
        <v>0</v>
      </c>
      <c r="G14" s="509">
        <v>0</v>
      </c>
      <c r="H14" s="510">
        <f t="shared" si="1"/>
        <v>0</v>
      </c>
      <c r="I14" s="509">
        <v>0</v>
      </c>
      <c r="J14" s="509">
        <v>0</v>
      </c>
      <c r="K14" s="519">
        <f t="shared" si="2"/>
        <v>0</v>
      </c>
    </row>
    <row r="15" spans="1:11">
      <c r="A15" s="344">
        <v>7</v>
      </c>
      <c r="B15" s="320" t="s">
        <v>379</v>
      </c>
      <c r="C15" s="478">
        <v>9321090.8389999997</v>
      </c>
      <c r="D15" s="509">
        <v>3590503.6748695769</v>
      </c>
      <c r="E15" s="510">
        <f t="shared" si="0"/>
        <v>12911594.513869576</v>
      </c>
      <c r="F15" s="509">
        <v>9321090.8389999997</v>
      </c>
      <c r="G15" s="509">
        <v>3590503.6748695769</v>
      </c>
      <c r="H15" s="510">
        <f t="shared" si="1"/>
        <v>12911594.513869576</v>
      </c>
      <c r="I15" s="509">
        <v>9321090.8389999997</v>
      </c>
      <c r="J15" s="509">
        <v>3590503.6748695769</v>
      </c>
      <c r="K15" s="519">
        <f t="shared" si="2"/>
        <v>12911594.513869576</v>
      </c>
    </row>
    <row r="16" spans="1:11">
      <c r="A16" s="344">
        <v>8</v>
      </c>
      <c r="B16" s="321" t="s">
        <v>380</v>
      </c>
      <c r="C16" s="511">
        <f>SUM(C10:C15)</f>
        <v>161865704.71027133</v>
      </c>
      <c r="D16" s="511">
        <f>SUM(D10:D15)</f>
        <v>47404253.355415888</v>
      </c>
      <c r="E16" s="510">
        <f t="shared" si="0"/>
        <v>209269958.06568721</v>
      </c>
      <c r="F16" s="511">
        <f>SUM(F10:F15)</f>
        <v>70137628.162264302</v>
      </c>
      <c r="G16" s="511">
        <f>SUM(G10:G15)</f>
        <v>22739372.765223548</v>
      </c>
      <c r="H16" s="510">
        <f t="shared" si="1"/>
        <v>92877000.92748785</v>
      </c>
      <c r="I16" s="511">
        <f>SUM(I10:I15)</f>
        <v>42936063.47309871</v>
      </c>
      <c r="J16" s="511">
        <f>SUM(J10:J15)</f>
        <v>14119120.467529267</v>
      </c>
      <c r="K16" s="519">
        <f t="shared" si="2"/>
        <v>57055183.940627977</v>
      </c>
    </row>
    <row r="17" spans="1:11">
      <c r="A17" s="342" t="s">
        <v>381</v>
      </c>
      <c r="B17" s="335"/>
      <c r="C17" s="512"/>
      <c r="D17" s="512"/>
      <c r="E17" s="512"/>
      <c r="F17" s="512"/>
      <c r="G17" s="512"/>
      <c r="H17" s="512"/>
      <c r="I17" s="512"/>
      <c r="J17" s="512"/>
      <c r="K17" s="518"/>
    </row>
    <row r="18" spans="1:11">
      <c r="A18" s="344">
        <v>9</v>
      </c>
      <c r="B18" s="320" t="s">
        <v>382</v>
      </c>
      <c r="C18" s="478"/>
      <c r="D18" s="509"/>
      <c r="E18" s="509">
        <f>C18+D18</f>
        <v>0</v>
      </c>
      <c r="F18" s="509"/>
      <c r="G18" s="509"/>
      <c r="H18" s="509">
        <f>F18+G18</f>
        <v>0</v>
      </c>
      <c r="I18" s="509"/>
      <c r="J18" s="509"/>
      <c r="K18" s="478">
        <f>I18+J18</f>
        <v>0</v>
      </c>
    </row>
    <row r="19" spans="1:11">
      <c r="A19" s="344">
        <v>10</v>
      </c>
      <c r="B19" s="320" t="s">
        <v>383</v>
      </c>
      <c r="C19" s="478">
        <v>52358320.670031749</v>
      </c>
      <c r="D19" s="509">
        <v>525259.26207237062</v>
      </c>
      <c r="E19" s="510">
        <f t="shared" ref="E19:E21" si="3">C19+D19</f>
        <v>52883579.932104118</v>
      </c>
      <c r="F19" s="509">
        <v>26179160.335015874</v>
      </c>
      <c r="G19" s="509">
        <v>262629.63103618531</v>
      </c>
      <c r="H19" s="510">
        <f t="shared" ref="H19:H21" si="4">F19+G19</f>
        <v>26441789.966052059</v>
      </c>
      <c r="I19" s="509">
        <v>50522397.414608471</v>
      </c>
      <c r="J19" s="509">
        <v>45002181.601676323</v>
      </c>
      <c r="K19" s="511">
        <f t="shared" ref="K19:K21" si="5">I19+J19</f>
        <v>95524579.016284794</v>
      </c>
    </row>
    <row r="20" spans="1:11">
      <c r="A20" s="344">
        <v>11</v>
      </c>
      <c r="B20" s="320" t="s">
        <v>384</v>
      </c>
      <c r="C20" s="478"/>
      <c r="D20" s="509"/>
      <c r="E20" s="509">
        <f t="shared" si="3"/>
        <v>0</v>
      </c>
      <c r="F20" s="509"/>
      <c r="G20" s="509"/>
      <c r="H20" s="509">
        <f t="shared" si="4"/>
        <v>0</v>
      </c>
      <c r="I20" s="509"/>
      <c r="J20" s="509"/>
      <c r="K20" s="478">
        <f t="shared" si="5"/>
        <v>0</v>
      </c>
    </row>
    <row r="21" spans="1:11" ht="13.5" thickBot="1">
      <c r="A21" s="221">
        <v>12</v>
      </c>
      <c r="B21" s="345" t="s">
        <v>385</v>
      </c>
      <c r="C21" s="513">
        <f>SUM(C18:C20)</f>
        <v>52358320.670031749</v>
      </c>
      <c r="D21" s="514">
        <f>SUM(D18:D20)</f>
        <v>525259.26207237062</v>
      </c>
      <c r="E21" s="510">
        <f t="shared" si="3"/>
        <v>52883579.932104118</v>
      </c>
      <c r="F21" s="514">
        <f>SUM(F18:F20)</f>
        <v>26179160.335015874</v>
      </c>
      <c r="G21" s="514">
        <f>SUM(G18:G20)</f>
        <v>262629.63103618531</v>
      </c>
      <c r="H21" s="510">
        <f t="shared" si="4"/>
        <v>26441789.966052059</v>
      </c>
      <c r="I21" s="514">
        <f>SUM(I18:I20)</f>
        <v>50522397.414608471</v>
      </c>
      <c r="J21" s="514">
        <f>SUM(J18:J20)</f>
        <v>45002181.601676323</v>
      </c>
      <c r="K21" s="514">
        <f t="shared" si="5"/>
        <v>95524579.016284794</v>
      </c>
    </row>
    <row r="22" spans="1:11" ht="38.25" customHeight="1" thickBot="1">
      <c r="A22" s="332"/>
      <c r="B22" s="333"/>
      <c r="C22" s="333"/>
      <c r="D22" s="333"/>
      <c r="E22" s="333"/>
      <c r="F22" s="578" t="s">
        <v>386</v>
      </c>
      <c r="G22" s="579"/>
      <c r="H22" s="579"/>
      <c r="I22" s="578" t="s">
        <v>387</v>
      </c>
      <c r="J22" s="579"/>
      <c r="K22" s="580"/>
    </row>
    <row r="23" spans="1:11" ht="13.5" thickBot="1">
      <c r="A23" s="325">
        <v>13</v>
      </c>
      <c r="B23" s="322" t="s">
        <v>373</v>
      </c>
      <c r="C23" s="331"/>
      <c r="D23" s="331"/>
      <c r="E23" s="331"/>
      <c r="F23" s="520">
        <f>F8</f>
        <v>107628441.66220313</v>
      </c>
      <c r="G23" s="520">
        <f>G8</f>
        <v>112515730.55997384</v>
      </c>
      <c r="H23" s="536">
        <f>F23+G23</f>
        <v>220144172.22217697</v>
      </c>
      <c r="I23" s="520">
        <f>I8</f>
        <v>82806028.995110527</v>
      </c>
      <c r="J23" s="520">
        <f>J8</f>
        <v>74339827.007442102</v>
      </c>
      <c r="K23" s="537">
        <f>I23+J23</f>
        <v>157145856.00255263</v>
      </c>
    </row>
    <row r="24" spans="1:11" ht="13.5" thickBot="1">
      <c r="A24" s="326">
        <v>14</v>
      </c>
      <c r="B24" s="323" t="s">
        <v>388</v>
      </c>
      <c r="C24" s="346"/>
      <c r="D24" s="329"/>
      <c r="E24" s="330"/>
      <c r="F24" s="521">
        <f>MAX(F16-F21,F16*0.25)</f>
        <v>43958467.827248424</v>
      </c>
      <c r="G24" s="521">
        <f>MAX(G16-G21,G16*0.25)</f>
        <v>22476743.134187363</v>
      </c>
      <c r="H24" s="536">
        <f>F24+G24</f>
        <v>66435210.961435787</v>
      </c>
      <c r="I24" s="521">
        <f>MAX(I16-I21,I16*0.25)</f>
        <v>10734015.868274678</v>
      </c>
      <c r="J24" s="521">
        <f>MAX(J16-J21,J16*0.25)</f>
        <v>3529780.1168823168</v>
      </c>
      <c r="K24" s="537">
        <f>I24+J24</f>
        <v>14263795.985156994</v>
      </c>
    </row>
    <row r="25" spans="1:11" ht="13.5" thickBot="1">
      <c r="A25" s="327">
        <v>15</v>
      </c>
      <c r="B25" s="324" t="s">
        <v>389</v>
      </c>
      <c r="C25" s="328"/>
      <c r="D25" s="328"/>
      <c r="E25" s="328"/>
      <c r="F25" s="522">
        <f t="shared" ref="F25:K25" si="6">F23/F24</f>
        <v>2.4484120348591349</v>
      </c>
      <c r="G25" s="522">
        <f t="shared" si="6"/>
        <v>5.0058733993732494</v>
      </c>
      <c r="H25" s="522">
        <f t="shared" si="6"/>
        <v>3.3136670906330972</v>
      </c>
      <c r="I25" s="522">
        <f t="shared" si="6"/>
        <v>7.7143568643168292</v>
      </c>
      <c r="J25" s="522">
        <f t="shared" si="6"/>
        <v>21.060752949422486</v>
      </c>
      <c r="K25" s="523">
        <f t="shared" si="6"/>
        <v>11.017113268170668</v>
      </c>
    </row>
    <row r="28" spans="1:11" ht="38.25">
      <c r="B28" s="23" t="s">
        <v>424</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E16:H16 E21 H21 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0" zoomScaleNormal="80" workbookViewId="0">
      <pane xSplit="1" ySplit="5" topLeftCell="B6" activePane="bottomRight" state="frozen"/>
      <selection pane="topRight" activeCell="B1" sqref="B1"/>
      <selection pane="bottomLeft" activeCell="A5" sqref="A5"/>
      <selection pane="bottomRight" activeCell="K9" sqref="K9"/>
    </sheetView>
  </sheetViews>
  <sheetFormatPr defaultColWidth="9.140625" defaultRowHeight="15"/>
  <cols>
    <col min="1" max="1" width="10.5703125" style="68" bestFit="1" customWidth="1"/>
    <col min="2" max="2" width="95" style="68" customWidth="1"/>
    <col min="3" max="3" width="14.28515625" style="68" bestFit="1" customWidth="1"/>
    <col min="4" max="4" width="10" style="68" bestFit="1" customWidth="1"/>
    <col min="5" max="5" width="18.28515625" style="68" bestFit="1" customWidth="1"/>
    <col min="6" max="13" width="10.7109375" style="68" customWidth="1"/>
    <col min="14" max="14" width="31" style="68" bestFit="1" customWidth="1"/>
    <col min="15" max="16384" width="9.140625" style="13"/>
  </cols>
  <sheetData>
    <row r="1" spans="1:14">
      <c r="A1" s="5" t="s">
        <v>188</v>
      </c>
      <c r="B1" s="68" t="str">
        <f>Info!C2</f>
        <v>სს "კრედობანკი"</v>
      </c>
    </row>
    <row r="2" spans="1:14" ht="14.25" customHeight="1">
      <c r="A2" s="68" t="s">
        <v>189</v>
      </c>
      <c r="B2" s="474">
        <f>'1. key ratios'!B2</f>
        <v>44286</v>
      </c>
    </row>
    <row r="3" spans="1:14" ht="14.25" customHeight="1"/>
    <row r="4" spans="1:14" ht="15.75" thickBot="1">
      <c r="A4" s="2" t="s">
        <v>341</v>
      </c>
      <c r="B4" s="93" t="s">
        <v>77</v>
      </c>
    </row>
    <row r="5" spans="1:14" s="25" customFormat="1" ht="12.75">
      <c r="A5" s="172"/>
      <c r="B5" s="173"/>
      <c r="C5" s="174" t="s">
        <v>0</v>
      </c>
      <c r="D5" s="174" t="s">
        <v>1</v>
      </c>
      <c r="E5" s="174" t="s">
        <v>2</v>
      </c>
      <c r="F5" s="174" t="s">
        <v>3</v>
      </c>
      <c r="G5" s="174" t="s">
        <v>4</v>
      </c>
      <c r="H5" s="174" t="s">
        <v>5</v>
      </c>
      <c r="I5" s="174" t="s">
        <v>238</v>
      </c>
      <c r="J5" s="174" t="s">
        <v>239</v>
      </c>
      <c r="K5" s="174" t="s">
        <v>240</v>
      </c>
      <c r="L5" s="174" t="s">
        <v>241</v>
      </c>
      <c r="M5" s="174" t="s">
        <v>242</v>
      </c>
      <c r="N5" s="175" t="s">
        <v>243</v>
      </c>
    </row>
    <row r="6" spans="1:14" ht="45">
      <c r="A6" s="164"/>
      <c r="B6" s="105"/>
      <c r="C6" s="106" t="s">
        <v>87</v>
      </c>
      <c r="D6" s="107" t="s">
        <v>76</v>
      </c>
      <c r="E6" s="108" t="s">
        <v>86</v>
      </c>
      <c r="F6" s="109">
        <v>0</v>
      </c>
      <c r="G6" s="109">
        <v>0.2</v>
      </c>
      <c r="H6" s="109">
        <v>0.35</v>
      </c>
      <c r="I6" s="109">
        <v>0.5</v>
      </c>
      <c r="J6" s="109">
        <v>0.75</v>
      </c>
      <c r="K6" s="109">
        <v>1</v>
      </c>
      <c r="L6" s="109">
        <v>1.5</v>
      </c>
      <c r="M6" s="109">
        <v>2.5</v>
      </c>
      <c r="N6" s="165" t="s">
        <v>77</v>
      </c>
    </row>
    <row r="7" spans="1:14">
      <c r="A7" s="166">
        <v>1</v>
      </c>
      <c r="B7" s="110" t="s">
        <v>78</v>
      </c>
      <c r="C7" s="291">
        <f>SUM(C8:C13)</f>
        <v>17059000</v>
      </c>
      <c r="D7" s="105"/>
      <c r="E7" s="294">
        <f t="shared" ref="E7:M7" si="0">SUM(E8:E13)</f>
        <v>852950</v>
      </c>
      <c r="F7" s="291">
        <f>SUM(F8:F13)</f>
        <v>0</v>
      </c>
      <c r="G7" s="291">
        <f t="shared" si="0"/>
        <v>0</v>
      </c>
      <c r="H7" s="291">
        <f t="shared" si="0"/>
        <v>0</v>
      </c>
      <c r="I7" s="291">
        <f t="shared" si="0"/>
        <v>0</v>
      </c>
      <c r="J7" s="291">
        <f t="shared" si="0"/>
        <v>0</v>
      </c>
      <c r="K7" s="291">
        <f t="shared" si="0"/>
        <v>852950</v>
      </c>
      <c r="L7" s="291">
        <f t="shared" si="0"/>
        <v>0</v>
      </c>
      <c r="M7" s="291">
        <f t="shared" si="0"/>
        <v>0</v>
      </c>
      <c r="N7" s="167">
        <f>SUM(N8:N13)</f>
        <v>852950</v>
      </c>
    </row>
    <row r="8" spans="1:14">
      <c r="A8" s="166">
        <v>1.1000000000000001</v>
      </c>
      <c r="B8" s="111" t="s">
        <v>79</v>
      </c>
      <c r="C8" s="292">
        <v>0</v>
      </c>
      <c r="D8" s="112">
        <v>0.02</v>
      </c>
      <c r="E8" s="294">
        <f>C8*D8</f>
        <v>0</v>
      </c>
      <c r="F8" s="292"/>
      <c r="G8" s="292"/>
      <c r="H8" s="292"/>
      <c r="I8" s="292"/>
      <c r="J8" s="292"/>
      <c r="K8" s="292"/>
      <c r="L8" s="292"/>
      <c r="M8" s="292"/>
      <c r="N8" s="167">
        <f>SUMPRODUCT($F$6:$M$6,F8:M8)</f>
        <v>0</v>
      </c>
    </row>
    <row r="9" spans="1:14">
      <c r="A9" s="166">
        <v>1.2</v>
      </c>
      <c r="B9" s="111" t="s">
        <v>80</v>
      </c>
      <c r="C9" s="292">
        <f>5000000*3.4118</f>
        <v>17059000</v>
      </c>
      <c r="D9" s="112">
        <v>0.05</v>
      </c>
      <c r="E9" s="294">
        <f>C9*D9</f>
        <v>852950</v>
      </c>
      <c r="F9" s="292"/>
      <c r="G9" s="292"/>
      <c r="H9" s="292"/>
      <c r="I9" s="292"/>
      <c r="J9" s="292"/>
      <c r="K9" s="292">
        <v>852950</v>
      </c>
      <c r="L9" s="292"/>
      <c r="M9" s="292"/>
      <c r="N9" s="167">
        <f t="shared" ref="N9:N12" si="1">SUMPRODUCT($F$6:$M$6,F9:M9)</f>
        <v>852950</v>
      </c>
    </row>
    <row r="10" spans="1:14">
      <c r="A10" s="166">
        <v>1.3</v>
      </c>
      <c r="B10" s="111" t="s">
        <v>81</v>
      </c>
      <c r="C10" s="292">
        <v>0</v>
      </c>
      <c r="D10" s="112">
        <v>0.08</v>
      </c>
      <c r="E10" s="294">
        <f>C10*D10</f>
        <v>0</v>
      </c>
      <c r="F10" s="292"/>
      <c r="G10" s="292"/>
      <c r="H10" s="292"/>
      <c r="I10" s="292"/>
      <c r="J10" s="292"/>
      <c r="K10" s="292"/>
      <c r="L10" s="292"/>
      <c r="M10" s="292"/>
      <c r="N10" s="167">
        <f>SUMPRODUCT($F$6:$M$6,F10:M10)</f>
        <v>0</v>
      </c>
    </row>
    <row r="11" spans="1:14">
      <c r="A11" s="166">
        <v>1.4</v>
      </c>
      <c r="B11" s="111" t="s">
        <v>82</v>
      </c>
      <c r="C11" s="292">
        <v>0</v>
      </c>
      <c r="D11" s="112">
        <v>0.11</v>
      </c>
      <c r="E11" s="294">
        <f>C11*D11</f>
        <v>0</v>
      </c>
      <c r="F11" s="292"/>
      <c r="G11" s="292"/>
      <c r="H11" s="292"/>
      <c r="I11" s="292"/>
      <c r="J11" s="292"/>
      <c r="K11" s="292"/>
      <c r="L11" s="292"/>
      <c r="M11" s="292"/>
      <c r="N11" s="167">
        <f t="shared" si="1"/>
        <v>0</v>
      </c>
    </row>
    <row r="12" spans="1:14">
      <c r="A12" s="166">
        <v>1.5</v>
      </c>
      <c r="B12" s="111" t="s">
        <v>83</v>
      </c>
      <c r="C12" s="292">
        <v>0</v>
      </c>
      <c r="D12" s="112">
        <v>0.14000000000000001</v>
      </c>
      <c r="E12" s="294">
        <f>C12*D12</f>
        <v>0</v>
      </c>
      <c r="F12" s="292"/>
      <c r="G12" s="292"/>
      <c r="H12" s="292"/>
      <c r="I12" s="292"/>
      <c r="J12" s="292"/>
      <c r="K12" s="292"/>
      <c r="L12" s="292"/>
      <c r="M12" s="292"/>
      <c r="N12" s="167">
        <f t="shared" si="1"/>
        <v>0</v>
      </c>
    </row>
    <row r="13" spans="1:14">
      <c r="A13" s="166">
        <v>1.6</v>
      </c>
      <c r="B13" s="113" t="s">
        <v>84</v>
      </c>
      <c r="C13" s="292">
        <v>0</v>
      </c>
      <c r="D13" s="114"/>
      <c r="E13" s="292"/>
      <c r="F13" s="292"/>
      <c r="G13" s="292"/>
      <c r="H13" s="292"/>
      <c r="I13" s="292"/>
      <c r="J13" s="292"/>
      <c r="K13" s="292"/>
      <c r="L13" s="292"/>
      <c r="M13" s="292"/>
      <c r="N13" s="167">
        <f>SUMPRODUCT($F$6:$M$6,F13:M13)</f>
        <v>0</v>
      </c>
    </row>
    <row r="14" spans="1:14">
      <c r="A14" s="166">
        <v>2</v>
      </c>
      <c r="B14" s="115" t="s">
        <v>85</v>
      </c>
      <c r="C14" s="291">
        <f>SUM(C15:C20)</f>
        <v>0</v>
      </c>
      <c r="D14" s="105"/>
      <c r="E14" s="294">
        <f t="shared" ref="E14:M14" si="2">SUM(E15:E20)</f>
        <v>0</v>
      </c>
      <c r="F14" s="292">
        <f t="shared" si="2"/>
        <v>0</v>
      </c>
      <c r="G14" s="292">
        <f t="shared" si="2"/>
        <v>0</v>
      </c>
      <c r="H14" s="292">
        <f t="shared" si="2"/>
        <v>0</v>
      </c>
      <c r="I14" s="292">
        <f t="shared" si="2"/>
        <v>0</v>
      </c>
      <c r="J14" s="292">
        <f t="shared" si="2"/>
        <v>0</v>
      </c>
      <c r="K14" s="292">
        <f t="shared" si="2"/>
        <v>0</v>
      </c>
      <c r="L14" s="292">
        <f t="shared" si="2"/>
        <v>0</v>
      </c>
      <c r="M14" s="292">
        <f t="shared" si="2"/>
        <v>0</v>
      </c>
      <c r="N14" s="167">
        <f>SUM(N15:N20)</f>
        <v>0</v>
      </c>
    </row>
    <row r="15" spans="1:14">
      <c r="A15" s="166">
        <v>2.1</v>
      </c>
      <c r="B15" s="113" t="s">
        <v>79</v>
      </c>
      <c r="C15" s="292"/>
      <c r="D15" s="112">
        <v>5.0000000000000001E-3</v>
      </c>
      <c r="E15" s="294">
        <f>C15*D15</f>
        <v>0</v>
      </c>
      <c r="F15" s="292"/>
      <c r="G15" s="292"/>
      <c r="H15" s="292"/>
      <c r="I15" s="292"/>
      <c r="J15" s="292"/>
      <c r="K15" s="292"/>
      <c r="L15" s="292"/>
      <c r="M15" s="292"/>
      <c r="N15" s="167">
        <f>SUMPRODUCT($F$6:$M$6,F15:M15)</f>
        <v>0</v>
      </c>
    </row>
    <row r="16" spans="1:14">
      <c r="A16" s="166">
        <v>2.2000000000000002</v>
      </c>
      <c r="B16" s="113" t="s">
        <v>80</v>
      </c>
      <c r="C16" s="292"/>
      <c r="D16" s="112">
        <v>0.01</v>
      </c>
      <c r="E16" s="294">
        <f>C16*D16</f>
        <v>0</v>
      </c>
      <c r="F16" s="292"/>
      <c r="G16" s="292"/>
      <c r="H16" s="292"/>
      <c r="I16" s="292"/>
      <c r="J16" s="292"/>
      <c r="K16" s="292"/>
      <c r="L16" s="292"/>
      <c r="M16" s="292"/>
      <c r="N16" s="167">
        <f t="shared" ref="N16:N20" si="3">SUMPRODUCT($F$6:$M$6,F16:M16)</f>
        <v>0</v>
      </c>
    </row>
    <row r="17" spans="1:14">
      <c r="A17" s="166">
        <v>2.2999999999999998</v>
      </c>
      <c r="B17" s="113" t="s">
        <v>81</v>
      </c>
      <c r="C17" s="292"/>
      <c r="D17" s="112">
        <v>0.02</v>
      </c>
      <c r="E17" s="294">
        <f>C17*D17</f>
        <v>0</v>
      </c>
      <c r="F17" s="292"/>
      <c r="G17" s="292"/>
      <c r="H17" s="292"/>
      <c r="I17" s="292"/>
      <c r="J17" s="292"/>
      <c r="K17" s="292"/>
      <c r="L17" s="292"/>
      <c r="M17" s="292"/>
      <c r="N17" s="167">
        <f t="shared" si="3"/>
        <v>0</v>
      </c>
    </row>
    <row r="18" spans="1:14">
      <c r="A18" s="166">
        <v>2.4</v>
      </c>
      <c r="B18" s="113" t="s">
        <v>82</v>
      </c>
      <c r="C18" s="292"/>
      <c r="D18" s="112">
        <v>0.03</v>
      </c>
      <c r="E18" s="294">
        <f>C18*D18</f>
        <v>0</v>
      </c>
      <c r="F18" s="292"/>
      <c r="G18" s="292"/>
      <c r="H18" s="292"/>
      <c r="I18" s="292"/>
      <c r="J18" s="292"/>
      <c r="K18" s="292"/>
      <c r="L18" s="292"/>
      <c r="M18" s="292"/>
      <c r="N18" s="167">
        <f t="shared" si="3"/>
        <v>0</v>
      </c>
    </row>
    <row r="19" spans="1:14">
      <c r="A19" s="166">
        <v>2.5</v>
      </c>
      <c r="B19" s="113" t="s">
        <v>83</v>
      </c>
      <c r="C19" s="292"/>
      <c r="D19" s="112">
        <v>0.04</v>
      </c>
      <c r="E19" s="294">
        <f>C19*D19</f>
        <v>0</v>
      </c>
      <c r="F19" s="292"/>
      <c r="G19" s="292"/>
      <c r="H19" s="292"/>
      <c r="I19" s="292"/>
      <c r="J19" s="292"/>
      <c r="K19" s="292"/>
      <c r="L19" s="292"/>
      <c r="M19" s="292"/>
      <c r="N19" s="167">
        <f t="shared" si="3"/>
        <v>0</v>
      </c>
    </row>
    <row r="20" spans="1:14">
      <c r="A20" s="166">
        <v>2.6</v>
      </c>
      <c r="B20" s="113" t="s">
        <v>84</v>
      </c>
      <c r="C20" s="292"/>
      <c r="D20" s="114"/>
      <c r="E20" s="295"/>
      <c r="F20" s="292"/>
      <c r="G20" s="292"/>
      <c r="H20" s="292"/>
      <c r="I20" s="292"/>
      <c r="J20" s="292"/>
      <c r="K20" s="292"/>
      <c r="L20" s="292"/>
      <c r="M20" s="292"/>
      <c r="N20" s="167">
        <f t="shared" si="3"/>
        <v>0</v>
      </c>
    </row>
    <row r="21" spans="1:14" ht="15.75" thickBot="1">
      <c r="A21" s="168">
        <v>3</v>
      </c>
      <c r="B21" s="169" t="s">
        <v>68</v>
      </c>
      <c r="C21" s="293">
        <f>C14+C7</f>
        <v>17059000</v>
      </c>
      <c r="D21" s="170"/>
      <c r="E21" s="296">
        <f>E14+E7</f>
        <v>852950</v>
      </c>
      <c r="F21" s="297">
        <f>F7+F14</f>
        <v>0</v>
      </c>
      <c r="G21" s="297">
        <f t="shared" ref="G21:L21" si="4">G7+G14</f>
        <v>0</v>
      </c>
      <c r="H21" s="297">
        <f t="shared" si="4"/>
        <v>0</v>
      </c>
      <c r="I21" s="297">
        <f t="shared" si="4"/>
        <v>0</v>
      </c>
      <c r="J21" s="297">
        <f t="shared" si="4"/>
        <v>0</v>
      </c>
      <c r="K21" s="297">
        <f t="shared" si="4"/>
        <v>852950</v>
      </c>
      <c r="L21" s="297">
        <f t="shared" si="4"/>
        <v>0</v>
      </c>
      <c r="M21" s="297">
        <f>M7+M14</f>
        <v>0</v>
      </c>
      <c r="N21" s="171">
        <f>N14+N7</f>
        <v>852950</v>
      </c>
    </row>
    <row r="22" spans="1:14">
      <c r="E22" s="298"/>
      <c r="F22" s="298"/>
      <c r="G22" s="298"/>
      <c r="H22" s="298"/>
      <c r="I22" s="298"/>
      <c r="J22" s="298"/>
      <c r="K22" s="298"/>
      <c r="L22" s="298"/>
      <c r="M22" s="29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21" zoomScale="80" zoomScaleNormal="80" workbookViewId="0">
      <selection activeCell="C35" sqref="C35"/>
    </sheetView>
  </sheetViews>
  <sheetFormatPr defaultRowHeight="15"/>
  <cols>
    <col min="1" max="1" width="11.42578125" customWidth="1"/>
    <col min="2" max="2" width="76.85546875" style="4" customWidth="1"/>
    <col min="3" max="3" width="22.85546875" customWidth="1"/>
  </cols>
  <sheetData>
    <row r="1" spans="1:3">
      <c r="A1" s="338" t="s">
        <v>188</v>
      </c>
      <c r="B1" t="str">
        <f>Info!C2</f>
        <v>სს "კრედობანკი"</v>
      </c>
    </row>
    <row r="2" spans="1:3">
      <c r="A2" s="338" t="s">
        <v>189</v>
      </c>
      <c r="B2" s="474">
        <f>'1. key ratios'!B2</f>
        <v>44286</v>
      </c>
    </row>
    <row r="3" spans="1:3">
      <c r="A3" s="338"/>
      <c r="B3"/>
    </row>
    <row r="4" spans="1:3">
      <c r="A4" s="338" t="s">
        <v>469</v>
      </c>
      <c r="B4" t="s">
        <v>428</v>
      </c>
    </row>
    <row r="5" spans="1:3">
      <c r="A5" s="399"/>
      <c r="B5" s="399" t="s">
        <v>429</v>
      </c>
      <c r="C5" s="411"/>
    </row>
    <row r="6" spans="1:3">
      <c r="A6" s="400">
        <v>1</v>
      </c>
      <c r="B6" s="412" t="s">
        <v>481</v>
      </c>
      <c r="C6" s="413">
        <v>1411851140.4725187</v>
      </c>
    </row>
    <row r="7" spans="1:3">
      <c r="A7" s="400">
        <v>2</v>
      </c>
      <c r="B7" s="412" t="s">
        <v>430</v>
      </c>
      <c r="C7" s="413">
        <v>-9084153.1699999999</v>
      </c>
    </row>
    <row r="8" spans="1:3">
      <c r="A8" s="401">
        <v>3</v>
      </c>
      <c r="B8" s="414" t="s">
        <v>431</v>
      </c>
      <c r="C8" s="415">
        <f>C6+C7</f>
        <v>1402766987.3025186</v>
      </c>
    </row>
    <row r="9" spans="1:3">
      <c r="A9" s="402"/>
      <c r="B9" s="402" t="s">
        <v>432</v>
      </c>
      <c r="C9" s="416"/>
    </row>
    <row r="10" spans="1:3">
      <c r="A10" s="403">
        <v>4</v>
      </c>
      <c r="B10" s="417" t="s">
        <v>433</v>
      </c>
      <c r="C10" s="413"/>
    </row>
    <row r="11" spans="1:3">
      <c r="A11" s="403">
        <v>5</v>
      </c>
      <c r="B11" s="418" t="s">
        <v>434</v>
      </c>
      <c r="C11" s="413"/>
    </row>
    <row r="12" spans="1:3">
      <c r="A12" s="403" t="s">
        <v>435</v>
      </c>
      <c r="B12" s="412" t="s">
        <v>436</v>
      </c>
      <c r="C12" s="415">
        <f>'15. CCR'!E21</f>
        <v>852950</v>
      </c>
    </row>
    <row r="13" spans="1:3">
      <c r="A13" s="404">
        <v>6</v>
      </c>
      <c r="B13" s="419" t="s">
        <v>437</v>
      </c>
      <c r="C13" s="413"/>
    </row>
    <row r="14" spans="1:3">
      <c r="A14" s="404">
        <v>7</v>
      </c>
      <c r="B14" s="420" t="s">
        <v>438</v>
      </c>
      <c r="C14" s="413"/>
    </row>
    <row r="15" spans="1:3">
      <c r="A15" s="405">
        <v>8</v>
      </c>
      <c r="B15" s="412" t="s">
        <v>439</v>
      </c>
      <c r="C15" s="413"/>
    </row>
    <row r="16" spans="1:3" ht="24">
      <c r="A16" s="404">
        <v>9</v>
      </c>
      <c r="B16" s="420" t="s">
        <v>440</v>
      </c>
      <c r="C16" s="413"/>
    </row>
    <row r="17" spans="1:3">
      <c r="A17" s="404">
        <v>10</v>
      </c>
      <c r="B17" s="420" t="s">
        <v>441</v>
      </c>
      <c r="C17" s="413"/>
    </row>
    <row r="18" spans="1:3">
      <c r="A18" s="406">
        <v>11</v>
      </c>
      <c r="B18" s="421" t="s">
        <v>442</v>
      </c>
      <c r="C18" s="415">
        <f>SUM(C10:C17)</f>
        <v>852950</v>
      </c>
    </row>
    <row r="19" spans="1:3">
      <c r="A19" s="402"/>
      <c r="B19" s="402" t="s">
        <v>443</v>
      </c>
      <c r="C19" s="422"/>
    </row>
    <row r="20" spans="1:3">
      <c r="A20" s="404">
        <v>12</v>
      </c>
      <c r="B20" s="417" t="s">
        <v>444</v>
      </c>
      <c r="C20" s="413"/>
    </row>
    <row r="21" spans="1:3">
      <c r="A21" s="404">
        <v>13</v>
      </c>
      <c r="B21" s="417" t="s">
        <v>445</v>
      </c>
      <c r="C21" s="413"/>
    </row>
    <row r="22" spans="1:3">
      <c r="A22" s="404">
        <v>14</v>
      </c>
      <c r="B22" s="417" t="s">
        <v>446</v>
      </c>
      <c r="C22" s="413"/>
    </row>
    <row r="23" spans="1:3" ht="24">
      <c r="A23" s="404" t="s">
        <v>447</v>
      </c>
      <c r="B23" s="417" t="s">
        <v>448</v>
      </c>
      <c r="C23" s="413"/>
    </row>
    <row r="24" spans="1:3">
      <c r="A24" s="404">
        <v>15</v>
      </c>
      <c r="B24" s="417" t="s">
        <v>449</v>
      </c>
      <c r="C24" s="413"/>
    </row>
    <row r="25" spans="1:3">
      <c r="A25" s="404" t="s">
        <v>450</v>
      </c>
      <c r="B25" s="412" t="s">
        <v>451</v>
      </c>
      <c r="C25" s="413"/>
    </row>
    <row r="26" spans="1:3">
      <c r="A26" s="406">
        <v>16</v>
      </c>
      <c r="B26" s="421" t="s">
        <v>452</v>
      </c>
      <c r="C26" s="415">
        <f>SUM(C20:C25)</f>
        <v>0</v>
      </c>
    </row>
    <row r="27" spans="1:3">
      <c r="A27" s="402"/>
      <c r="B27" s="402" t="s">
        <v>453</v>
      </c>
      <c r="C27" s="416"/>
    </row>
    <row r="28" spans="1:3">
      <c r="A28" s="403">
        <v>17</v>
      </c>
      <c r="B28" s="412" t="s">
        <v>454</v>
      </c>
      <c r="C28" s="413">
        <v>31661617.370000001</v>
      </c>
    </row>
    <row r="29" spans="1:3">
      <c r="A29" s="403">
        <v>18</v>
      </c>
      <c r="B29" s="412" t="s">
        <v>455</v>
      </c>
      <c r="C29" s="533">
        <v>-28639593.414999999</v>
      </c>
    </row>
    <row r="30" spans="1:3">
      <c r="A30" s="406">
        <v>19</v>
      </c>
      <c r="B30" s="421" t="s">
        <v>456</v>
      </c>
      <c r="C30" s="415">
        <f>C28+C29</f>
        <v>3022023.9550000019</v>
      </c>
    </row>
    <row r="31" spans="1:3">
      <c r="A31" s="407"/>
      <c r="B31" s="402" t="s">
        <v>457</v>
      </c>
      <c r="C31" s="416"/>
    </row>
    <row r="32" spans="1:3">
      <c r="A32" s="403" t="s">
        <v>458</v>
      </c>
      <c r="B32" s="417" t="s">
        <v>459</v>
      </c>
      <c r="C32" s="423"/>
    </row>
    <row r="33" spans="1:3">
      <c r="A33" s="403" t="s">
        <v>460</v>
      </c>
      <c r="B33" s="418" t="s">
        <v>461</v>
      </c>
      <c r="C33" s="423"/>
    </row>
    <row r="34" spans="1:3">
      <c r="A34" s="402"/>
      <c r="B34" s="402" t="s">
        <v>462</v>
      </c>
      <c r="C34" s="416"/>
    </row>
    <row r="35" spans="1:3">
      <c r="A35" s="406">
        <v>20</v>
      </c>
      <c r="B35" s="421" t="s">
        <v>89</v>
      </c>
      <c r="C35" s="415">
        <f>'1. key ratios'!C9</f>
        <v>151702892.47</v>
      </c>
    </row>
    <row r="36" spans="1:3">
      <c r="A36" s="406">
        <v>21</v>
      </c>
      <c r="B36" s="421" t="s">
        <v>463</v>
      </c>
      <c r="C36" s="415">
        <f>C8+C18+C26+C30</f>
        <v>1406641961.2575185</v>
      </c>
    </row>
    <row r="37" spans="1:3">
      <c r="A37" s="408"/>
      <c r="B37" s="408" t="s">
        <v>428</v>
      </c>
      <c r="C37" s="416"/>
    </row>
    <row r="38" spans="1:3">
      <c r="A38" s="406">
        <v>22</v>
      </c>
      <c r="B38" s="421" t="s">
        <v>428</v>
      </c>
      <c r="C38" s="524">
        <f>IFERROR(C35/C36,0)</f>
        <v>0.10784755228997982</v>
      </c>
    </row>
    <row r="39" spans="1:3">
      <c r="A39" s="408"/>
      <c r="B39" s="408" t="s">
        <v>464</v>
      </c>
      <c r="C39" s="416"/>
    </row>
    <row r="40" spans="1:3">
      <c r="A40" s="409" t="s">
        <v>465</v>
      </c>
      <c r="B40" s="417" t="s">
        <v>466</v>
      </c>
      <c r="C40" s="423"/>
    </row>
    <row r="41" spans="1:3">
      <c r="A41" s="410" t="s">
        <v>467</v>
      </c>
      <c r="B41" s="418" t="s">
        <v>468</v>
      </c>
      <c r="C41" s="423"/>
    </row>
    <row r="43" spans="1:3">
      <c r="B43" s="435" t="s">
        <v>482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51"/>
  <sheetViews>
    <sheetView zoomScaleNormal="100" workbookViewId="0">
      <pane xSplit="1" ySplit="5" topLeftCell="B44" activePane="bottomRight" state="frozen"/>
      <selection pane="topRight" activeCell="B1" sqref="B1"/>
      <selection pane="bottomLeft" activeCell="A6" sqref="A6"/>
      <selection pane="bottomRight" activeCell="C46" sqref="C46:G48"/>
    </sheetView>
  </sheetViews>
  <sheetFormatPr defaultRowHeight="15.75"/>
  <cols>
    <col min="1" max="1" width="9.5703125" style="19" bestFit="1" customWidth="1"/>
    <col min="2" max="2" width="88.42578125" style="16" customWidth="1"/>
    <col min="3" max="3" width="12.7109375" style="16" customWidth="1"/>
    <col min="4" max="7" width="12.7109375" style="2" customWidth="1"/>
    <col min="8" max="9" width="6.7109375" customWidth="1"/>
    <col min="10" max="10" width="10.42578125" hidden="1" customWidth="1"/>
    <col min="11" max="11" width="16.28515625" hidden="1" customWidth="1"/>
    <col min="12" max="12" width="15.28515625" hidden="1" customWidth="1"/>
    <col min="13" max="14" width="14.28515625" hidden="1" customWidth="1"/>
  </cols>
  <sheetData>
    <row r="1" spans="1:8">
      <c r="A1" s="17" t="s">
        <v>188</v>
      </c>
      <c r="B1" s="434" t="str">
        <f>Info!C2</f>
        <v>სს "კრედობანკი"</v>
      </c>
    </row>
    <row r="2" spans="1:8">
      <c r="A2" s="17" t="s">
        <v>189</v>
      </c>
      <c r="B2" s="535">
        <v>44286</v>
      </c>
      <c r="C2" s="29"/>
      <c r="D2" s="18"/>
      <c r="E2" s="18"/>
      <c r="F2" s="18"/>
      <c r="G2" s="18"/>
      <c r="H2" s="1"/>
    </row>
    <row r="3" spans="1:8">
      <c r="A3" s="17"/>
      <c r="C3" s="29"/>
      <c r="D3" s="18"/>
      <c r="E3" s="18"/>
      <c r="F3" s="18"/>
      <c r="G3" s="18"/>
      <c r="H3" s="1"/>
    </row>
    <row r="4" spans="1:8" ht="16.5" thickBot="1">
      <c r="A4" s="69" t="s">
        <v>328</v>
      </c>
      <c r="B4" s="205" t="s">
        <v>223</v>
      </c>
      <c r="C4" s="206"/>
      <c r="D4" s="207"/>
      <c r="E4" s="207"/>
      <c r="F4" s="207"/>
      <c r="G4" s="207"/>
      <c r="H4" s="1"/>
    </row>
    <row r="5" spans="1:8" ht="15">
      <c r="A5" s="315" t="s">
        <v>26</v>
      </c>
      <c r="B5" s="316"/>
      <c r="C5" s="457" t="str">
        <f>INT((MONTH($B$2))/3)&amp;"Q"&amp;"-"&amp;YEAR($B$2)</f>
        <v>1Q-2021</v>
      </c>
      <c r="D5" s="457" t="str">
        <f>IF(INT(MONTH($B$2))=3, "4"&amp;"Q"&amp;"-"&amp;YEAR($B$2)-1, IF(INT(MONTH($B$2))=6, "1"&amp;"Q"&amp;"-"&amp;YEAR($B$2), IF(INT(MONTH($B$2))=9, "2"&amp;"Q"&amp;"-"&amp;YEAR($B$2),IF(INT(MONTH($B$2))=12, "3"&amp;"Q"&amp;"-"&amp;YEAR($B$2), 0))))</f>
        <v>4Q-2020</v>
      </c>
      <c r="E5" s="457" t="str">
        <f>IF(INT(MONTH($B$2))=3, "3"&amp;"Q"&amp;"-"&amp;YEAR($B$2)-1, IF(INT(MONTH($B$2))=6, "4"&amp;"Q"&amp;"-"&amp;YEAR($B$2)-1, IF(INT(MONTH($B$2))=9, "1"&amp;"Q"&amp;"-"&amp;YEAR($B$2),IF(INT(MONTH($B$2))=12, "2"&amp;"Q"&amp;"-"&amp;YEAR($B$2), 0))))</f>
        <v>3Q-2020</v>
      </c>
      <c r="F5" s="457" t="str">
        <f>IF(INT(MONTH($B$2))=3, "2"&amp;"Q"&amp;"-"&amp;YEAR($B$2)-1, IF(INT(MONTH($B$2))=6, "3"&amp;"Q"&amp;"-"&amp;YEAR($B$2)-1, IF(INT(MONTH($B$2))=9, "4"&amp;"Q"&amp;"-"&amp;YEAR($B$2)-1,IF(INT(MONTH($B$2))=12, "1"&amp;"Q"&amp;"-"&amp;YEAR($B$2), 0))))</f>
        <v>2Q-2020</v>
      </c>
      <c r="G5" s="458" t="str">
        <f>IF(INT(MONTH($B$2))=3, "1"&amp;"Q"&amp;"-"&amp;YEAR($B$2)-1, IF(INT(MONTH($B$2))=6, "2"&amp;"Q"&amp;"-"&amp;YEAR($B$2)-1, IF(INT(MONTH($B$2))=9, "3"&amp;"Q"&amp;"-"&amp;YEAR($B$2)-1,IF(INT(MONTH($B$2))=12, "4"&amp;"Q"&amp;"-"&amp;YEAR($B$2)-1, 0))))</f>
        <v>1Q-2020</v>
      </c>
    </row>
    <row r="6" spans="1:8" ht="15">
      <c r="A6" s="459"/>
      <c r="B6" s="460" t="s">
        <v>186</v>
      </c>
      <c r="C6" s="317"/>
      <c r="D6" s="317"/>
      <c r="E6" s="317"/>
      <c r="F6" s="317"/>
      <c r="G6" s="318"/>
    </row>
    <row r="7" spans="1:8" ht="15">
      <c r="A7" s="459"/>
      <c r="B7" s="461" t="s">
        <v>190</v>
      </c>
      <c r="C7" s="317"/>
      <c r="D7" s="317"/>
      <c r="E7" s="317"/>
      <c r="F7" s="317"/>
      <c r="G7" s="318"/>
    </row>
    <row r="8" spans="1:8" ht="15">
      <c r="A8" s="439">
        <v>1</v>
      </c>
      <c r="B8" s="440" t="s">
        <v>23</v>
      </c>
      <c r="C8" s="462">
        <v>151702892.47</v>
      </c>
      <c r="D8" s="463">
        <v>143907195.28999963</v>
      </c>
      <c r="E8" s="463">
        <v>135156420.78999978</v>
      </c>
      <c r="F8" s="463">
        <v>125007190.10999967</v>
      </c>
      <c r="G8" s="464">
        <v>123316511.58999991</v>
      </c>
    </row>
    <row r="9" spans="1:8" ht="15">
      <c r="A9" s="439">
        <v>2</v>
      </c>
      <c r="B9" s="440" t="s">
        <v>89</v>
      </c>
      <c r="C9" s="462">
        <v>151702892.47</v>
      </c>
      <c r="D9" s="463">
        <v>143907195.28999963</v>
      </c>
      <c r="E9" s="463">
        <v>135156420.78999978</v>
      </c>
      <c r="F9" s="463">
        <v>125007190.10999967</v>
      </c>
      <c r="G9" s="464">
        <v>123316511.58999991</v>
      </c>
    </row>
    <row r="10" spans="1:8" ht="15">
      <c r="A10" s="439">
        <v>3</v>
      </c>
      <c r="B10" s="440" t="s">
        <v>88</v>
      </c>
      <c r="C10" s="462">
        <v>208474378.55370051</v>
      </c>
      <c r="D10" s="463">
        <v>189392744.52843872</v>
      </c>
      <c r="E10" s="463">
        <v>180656742.28759545</v>
      </c>
      <c r="F10" s="463">
        <v>170090987.80353391</v>
      </c>
      <c r="G10" s="464">
        <v>154317183.00179398</v>
      </c>
    </row>
    <row r="11" spans="1:8" ht="15">
      <c r="A11" s="439">
        <v>4</v>
      </c>
      <c r="B11" s="440" t="s">
        <v>487</v>
      </c>
      <c r="C11" s="462">
        <v>67662721.97703366</v>
      </c>
      <c r="D11" s="463">
        <v>61877855.567255847</v>
      </c>
      <c r="E11" s="463">
        <v>58079597.334735222</v>
      </c>
      <c r="F11" s="463">
        <v>53692850.923918754</v>
      </c>
      <c r="G11" s="464">
        <v>50411107.997476868</v>
      </c>
    </row>
    <row r="12" spans="1:8" ht="15">
      <c r="A12" s="439">
        <v>5</v>
      </c>
      <c r="B12" s="440" t="s">
        <v>488</v>
      </c>
      <c r="C12" s="462">
        <v>90224248.275642887</v>
      </c>
      <c r="D12" s="463">
        <v>82510802.514234364</v>
      </c>
      <c r="E12" s="463">
        <v>77446130.273720309</v>
      </c>
      <c r="F12" s="463">
        <v>71596734.358473152</v>
      </c>
      <c r="G12" s="464">
        <v>67221205.655955821</v>
      </c>
    </row>
    <row r="13" spans="1:8" ht="15">
      <c r="A13" s="439">
        <v>6</v>
      </c>
      <c r="B13" s="440" t="s">
        <v>489</v>
      </c>
      <c r="C13" s="462">
        <v>134554051.85172278</v>
      </c>
      <c r="D13" s="463">
        <v>131997266.97875273</v>
      </c>
      <c r="E13" s="463">
        <v>123888820.86321713</v>
      </c>
      <c r="F13" s="463">
        <v>114525388.7657184</v>
      </c>
      <c r="G13" s="464">
        <v>107495080.51407714</v>
      </c>
    </row>
    <row r="14" spans="1:8" ht="15">
      <c r="A14" s="459"/>
      <c r="B14" s="460" t="s">
        <v>491</v>
      </c>
      <c r="C14" s="317"/>
      <c r="D14" s="317"/>
      <c r="E14" s="317"/>
      <c r="F14" s="317"/>
      <c r="G14" s="318"/>
    </row>
    <row r="15" spans="1:8" ht="15" customHeight="1">
      <c r="A15" s="439">
        <v>7</v>
      </c>
      <c r="B15" s="440" t="s">
        <v>490</v>
      </c>
      <c r="C15" s="465">
        <v>1272772692.0415695</v>
      </c>
      <c r="D15" s="463">
        <v>1249026342.4113774</v>
      </c>
      <c r="E15" s="463">
        <v>1172006467.7039804</v>
      </c>
      <c r="F15" s="463">
        <v>1083129334.5314882</v>
      </c>
      <c r="G15" s="464">
        <v>1015159449.2122746</v>
      </c>
    </row>
    <row r="16" spans="1:8" ht="15">
      <c r="A16" s="459"/>
      <c r="B16" s="460" t="s">
        <v>495</v>
      </c>
      <c r="C16" s="317"/>
      <c r="D16" s="317"/>
      <c r="E16" s="317"/>
      <c r="F16" s="317"/>
      <c r="G16" s="318"/>
    </row>
    <row r="17" spans="1:20" s="3" customFormat="1" ht="15">
      <c r="A17" s="439"/>
      <c r="B17" s="461" t="s">
        <v>476</v>
      </c>
      <c r="C17" s="317"/>
      <c r="D17" s="317"/>
      <c r="E17" s="317"/>
      <c r="F17" s="317"/>
      <c r="G17" s="318"/>
    </row>
    <row r="18" spans="1:20" ht="15">
      <c r="A18" s="438">
        <v>8</v>
      </c>
      <c r="B18" s="466" t="s">
        <v>485</v>
      </c>
      <c r="C18" s="475">
        <v>0.11919087628024415</v>
      </c>
      <c r="D18" s="476">
        <v>0.11521550058918019</v>
      </c>
      <c r="E18" s="476">
        <v>0.11532054174989154</v>
      </c>
      <c r="F18" s="476">
        <v>0.11541298543453449</v>
      </c>
      <c r="G18" s="477">
        <v>0.1215</v>
      </c>
    </row>
    <row r="19" spans="1:20" ht="15" customHeight="1">
      <c r="A19" s="438">
        <v>9</v>
      </c>
      <c r="B19" s="466" t="s">
        <v>484</v>
      </c>
      <c r="C19" s="475">
        <v>0.11919087628024415</v>
      </c>
      <c r="D19" s="476">
        <v>0.11521550058918019</v>
      </c>
      <c r="E19" s="476">
        <v>0.11532054174989154</v>
      </c>
      <c r="F19" s="476">
        <v>0.11541298543453449</v>
      </c>
      <c r="G19" s="477">
        <v>0.1215</v>
      </c>
    </row>
    <row r="20" spans="1:20" ht="15">
      <c r="A20" s="438">
        <v>10</v>
      </c>
      <c r="B20" s="466" t="s">
        <v>486</v>
      </c>
      <c r="C20" s="475">
        <v>0.16379545213159838</v>
      </c>
      <c r="D20" s="476">
        <v>0.15163230597906846</v>
      </c>
      <c r="E20" s="476">
        <v>0.15414312741934871</v>
      </c>
      <c r="F20" s="476">
        <v>0.157</v>
      </c>
      <c r="G20" s="477">
        <v>0.152</v>
      </c>
    </row>
    <row r="21" spans="1:20" ht="15">
      <c r="A21" s="438">
        <v>11</v>
      </c>
      <c r="B21" s="440" t="s">
        <v>487</v>
      </c>
      <c r="C21" s="475">
        <v>5.3161670108195377E-2</v>
      </c>
      <c r="D21" s="476">
        <v>4.9540873131461827E-2</v>
      </c>
      <c r="E21" s="476">
        <v>4.9555696948086023E-2</v>
      </c>
      <c r="F21" s="476">
        <v>4.9571966349839292E-2</v>
      </c>
      <c r="G21" s="477">
        <v>4.965831528888786E-2</v>
      </c>
    </row>
    <row r="22" spans="1:20" ht="15">
      <c r="A22" s="438">
        <v>12</v>
      </c>
      <c r="B22" s="440" t="s">
        <v>488</v>
      </c>
      <c r="C22" s="475">
        <v>7.0887951037761673E-2</v>
      </c>
      <c r="D22" s="476">
        <v>6.6060097943922091E-2</v>
      </c>
      <c r="E22" s="476">
        <v>6.6079951269758061E-2</v>
      </c>
      <c r="F22" s="476">
        <v>6.6101740647106194E-2</v>
      </c>
      <c r="G22" s="477">
        <v>6.6217386547617663E-2</v>
      </c>
    </row>
    <row r="23" spans="1:20" ht="15">
      <c r="A23" s="438">
        <v>13</v>
      </c>
      <c r="B23" s="440" t="s">
        <v>489</v>
      </c>
      <c r="C23" s="475">
        <v>0.10571726805034889</v>
      </c>
      <c r="D23" s="476">
        <v>0.10568013059189613</v>
      </c>
      <c r="E23" s="476">
        <v>0.10570660169301076</v>
      </c>
      <c r="F23" s="476">
        <v>0.10573565419614159</v>
      </c>
      <c r="G23" s="477">
        <v>0.10588984873015689</v>
      </c>
    </row>
    <row r="24" spans="1:20" ht="15">
      <c r="A24" s="459"/>
      <c r="B24" s="460" t="s">
        <v>6</v>
      </c>
      <c r="C24" s="317"/>
      <c r="D24" s="317"/>
      <c r="E24" s="317"/>
      <c r="F24" s="317"/>
      <c r="G24" s="318"/>
    </row>
    <row r="25" spans="1:20" ht="15" customHeight="1">
      <c r="A25" s="467">
        <v>14</v>
      </c>
      <c r="B25" s="468" t="s">
        <v>7</v>
      </c>
      <c r="C25" s="528">
        <v>0.16420464402205129</v>
      </c>
      <c r="D25" s="487">
        <v>0.16420737604838972</v>
      </c>
      <c r="E25" s="487">
        <v>0.16355891124094896</v>
      </c>
      <c r="F25" s="487">
        <v>0.16288327795457508</v>
      </c>
      <c r="G25" s="488">
        <v>0.1650468857858102</v>
      </c>
      <c r="K25" t="s">
        <v>545</v>
      </c>
      <c r="L25" t="s">
        <v>546</v>
      </c>
      <c r="M25" t="s">
        <v>547</v>
      </c>
      <c r="N25" t="s">
        <v>548</v>
      </c>
    </row>
    <row r="26" spans="1:20" ht="15">
      <c r="A26" s="467">
        <v>15</v>
      </c>
      <c r="B26" s="468" t="s">
        <v>8</v>
      </c>
      <c r="C26" s="528">
        <v>8.0441019149516221E-2</v>
      </c>
      <c r="D26" s="487">
        <v>8.61720096087078E-2</v>
      </c>
      <c r="E26" s="487">
        <v>8.7125047062246275E-2</v>
      </c>
      <c r="F26" s="487">
        <v>8.7637114938110133E-2</v>
      </c>
      <c r="G26" s="488">
        <v>8.4838236060264333E-2</v>
      </c>
    </row>
    <row r="27" spans="1:20" ht="15">
      <c r="A27" s="467">
        <v>16</v>
      </c>
      <c r="B27" s="468" t="s">
        <v>9</v>
      </c>
      <c r="C27" s="528">
        <v>4.1424513920289049E-2</v>
      </c>
      <c r="D27" s="487">
        <v>3.4016918835750566E-2</v>
      </c>
      <c r="E27" s="487">
        <v>3.0556825174370746E-2</v>
      </c>
      <c r="F27" s="487">
        <v>2.678571621741431E-2</v>
      </c>
      <c r="G27" s="488">
        <v>2.0708672332525227E-2</v>
      </c>
      <c r="J27" t="s">
        <v>541</v>
      </c>
      <c r="K27" s="526">
        <v>1395024280.2629561</v>
      </c>
      <c r="L27" s="526">
        <v>1369031797.8073223</v>
      </c>
      <c r="M27" s="526">
        <v>1378207531.7539001</v>
      </c>
      <c r="N27" s="526">
        <v>1392709436.3580408</v>
      </c>
      <c r="O27" s="526"/>
      <c r="P27" s="526"/>
      <c r="Q27" s="526"/>
      <c r="R27" s="526"/>
      <c r="S27" s="525"/>
      <c r="T27" s="525"/>
    </row>
    <row r="28" spans="1:20" ht="15">
      <c r="A28" s="467">
        <v>17</v>
      </c>
      <c r="B28" s="468" t="s">
        <v>224</v>
      </c>
      <c r="C28" s="528">
        <v>8.3763624872535053E-2</v>
      </c>
      <c r="D28" s="487">
        <v>7.8035366439681952E-2</v>
      </c>
      <c r="E28" s="487">
        <v>7.6433864178702696E-2</v>
      </c>
      <c r="F28" s="487">
        <v>7.5246163016464945E-2</v>
      </c>
      <c r="G28" s="488">
        <v>8.0208649725545866E-2</v>
      </c>
      <c r="J28" t="s">
        <v>542</v>
      </c>
      <c r="K28" s="526"/>
      <c r="L28" s="526">
        <f>AVERAGE($K27:L27)</f>
        <v>1382028039.0351391</v>
      </c>
      <c r="M28" s="526">
        <f>AVERAGE($K27:M27)</f>
        <v>1380754536.6080594</v>
      </c>
      <c r="N28" s="526">
        <f>AVERAGE($K27:N27)</f>
        <v>1383743261.5455546</v>
      </c>
      <c r="O28" s="526"/>
      <c r="P28" s="526"/>
      <c r="Q28" s="526"/>
      <c r="R28" s="526"/>
      <c r="S28" s="525"/>
      <c r="T28" s="525"/>
    </row>
    <row r="29" spans="1:20" ht="15">
      <c r="A29" s="467">
        <v>18</v>
      </c>
      <c r="B29" s="468" t="s">
        <v>10</v>
      </c>
      <c r="C29" s="528">
        <v>2.1769455792221164E-2</v>
      </c>
      <c r="D29" s="487">
        <v>1.1729153857570951E-2</v>
      </c>
      <c r="E29" s="487">
        <v>5.9587097792051782E-3</v>
      </c>
      <c r="F29" s="487">
        <v>-8.6774472265875018E-3</v>
      </c>
      <c r="G29" s="488">
        <v>-2.5934865245174812E-2</v>
      </c>
      <c r="K29" s="526"/>
      <c r="L29" s="526"/>
      <c r="M29" s="526"/>
      <c r="N29" s="526"/>
      <c r="O29" s="526"/>
      <c r="P29" s="526"/>
      <c r="Q29" s="526"/>
      <c r="R29" s="526"/>
      <c r="S29" s="525"/>
      <c r="T29" s="525"/>
    </row>
    <row r="30" spans="1:20" ht="15">
      <c r="A30" s="467">
        <v>19</v>
      </c>
      <c r="B30" s="468" t="s">
        <v>11</v>
      </c>
      <c r="C30" s="528">
        <v>0.19207039542552393</v>
      </c>
      <c r="D30" s="487">
        <v>9.9399996651987718E-2</v>
      </c>
      <c r="E30" s="487">
        <v>4.9632132443742809E-2</v>
      </c>
      <c r="F30" s="487">
        <v>-6.9781547170249175E-2</v>
      </c>
      <c r="G30" s="488">
        <v>-0.19803226738461732</v>
      </c>
      <c r="J30" t="s">
        <v>543</v>
      </c>
      <c r="K30" s="526">
        <v>153256211.15999964</v>
      </c>
      <c r="L30" s="526">
        <v>155491864.73999974</v>
      </c>
      <c r="M30" s="526">
        <v>157804405.58000034</v>
      </c>
      <c r="N30" s="526">
        <v>160787045.63999999</v>
      </c>
      <c r="O30" s="526"/>
      <c r="P30" s="526"/>
      <c r="Q30" s="526"/>
      <c r="R30" s="526"/>
      <c r="S30" s="525"/>
      <c r="T30" s="525"/>
    </row>
    <row r="31" spans="1:20" ht="15">
      <c r="A31" s="459"/>
      <c r="B31" s="460" t="s">
        <v>12</v>
      </c>
      <c r="C31" s="317"/>
      <c r="D31" s="317"/>
      <c r="E31" s="317"/>
      <c r="F31" s="317"/>
      <c r="G31" s="318"/>
      <c r="J31" t="s">
        <v>544</v>
      </c>
      <c r="K31" s="525"/>
      <c r="L31" s="526">
        <f>AVERAGE($K30:L30)</f>
        <v>154374037.94999969</v>
      </c>
      <c r="M31" s="526">
        <f>AVERAGE($K30:M30)</f>
        <v>155517493.82666656</v>
      </c>
      <c r="N31" s="526">
        <f>AVERAGE($K30:N30)</f>
        <v>156834881.77999991</v>
      </c>
      <c r="O31" s="525"/>
      <c r="P31" s="525"/>
      <c r="Q31" s="525"/>
      <c r="R31" s="525"/>
      <c r="S31" s="525"/>
      <c r="T31" s="525"/>
    </row>
    <row r="32" spans="1:20" ht="15">
      <c r="A32" s="467">
        <v>20</v>
      </c>
      <c r="B32" s="468" t="s">
        <v>13</v>
      </c>
      <c r="C32" s="486">
        <v>2.0822403825060919E-2</v>
      </c>
      <c r="D32" s="487">
        <v>1.8321966877577089E-2</v>
      </c>
      <c r="E32" s="487">
        <v>8.6E-3</v>
      </c>
      <c r="F32" s="487">
        <v>9.4000000000000004E-3</v>
      </c>
      <c r="G32" s="488">
        <v>1.103E-2</v>
      </c>
    </row>
    <row r="33" spans="1:12" ht="15" customHeight="1">
      <c r="A33" s="467">
        <v>21</v>
      </c>
      <c r="B33" s="468" t="s">
        <v>14</v>
      </c>
      <c r="C33" s="486">
        <v>3.6187962041661199E-2</v>
      </c>
      <c r="D33" s="487">
        <v>3.6087926082905786E-2</v>
      </c>
      <c r="E33" s="487">
        <v>3.4700000000000002E-2</v>
      </c>
      <c r="F33" s="487">
        <v>3.6900000000000002E-2</v>
      </c>
      <c r="G33" s="488">
        <v>3.7600000000000001E-2</v>
      </c>
      <c r="K33" s="527"/>
      <c r="L33" s="527"/>
    </row>
    <row r="34" spans="1:12" ht="15">
      <c r="A34" s="467">
        <v>22</v>
      </c>
      <c r="B34" s="468" t="s">
        <v>15</v>
      </c>
      <c r="C34" s="486">
        <v>9.6783736693314318E-2</v>
      </c>
      <c r="D34" s="487">
        <v>9.5857896605660076E-2</v>
      </c>
      <c r="E34" s="487">
        <v>9.4200000000000006E-2</v>
      </c>
      <c r="F34" s="487">
        <v>9.1899999999999996E-2</v>
      </c>
      <c r="G34" s="488">
        <v>0.1027286629840982</v>
      </c>
      <c r="K34" s="527"/>
    </row>
    <row r="35" spans="1:12" ht="15" customHeight="1">
      <c r="A35" s="467">
        <v>23</v>
      </c>
      <c r="B35" s="468" t="s">
        <v>16</v>
      </c>
      <c r="C35" s="486">
        <v>0.16489806577974372</v>
      </c>
      <c r="D35" s="487">
        <v>0.17054484636504691</v>
      </c>
      <c r="E35" s="487">
        <v>0.15590000000000001</v>
      </c>
      <c r="F35" s="487">
        <v>0.1487</v>
      </c>
      <c r="G35" s="488">
        <v>0.15093033674069736</v>
      </c>
      <c r="K35" s="529"/>
      <c r="L35" s="527"/>
    </row>
    <row r="36" spans="1:12" ht="15">
      <c r="A36" s="467">
        <v>24</v>
      </c>
      <c r="B36" s="468" t="s">
        <v>17</v>
      </c>
      <c r="C36" s="486">
        <v>2.1100000000000001E-2</v>
      </c>
      <c r="D36" s="487">
        <v>0.26032038042050143</v>
      </c>
      <c r="E36" s="487">
        <v>0.21299999999999999</v>
      </c>
      <c r="F36" s="487">
        <v>0.114</v>
      </c>
      <c r="G36" s="488">
        <v>4.1200000000000001E-2</v>
      </c>
    </row>
    <row r="37" spans="1:12" ht="15" customHeight="1">
      <c r="A37" s="459"/>
      <c r="B37" s="460" t="s">
        <v>18</v>
      </c>
      <c r="C37" s="317"/>
      <c r="D37" s="317"/>
      <c r="E37" s="317"/>
      <c r="F37" s="317"/>
      <c r="G37" s="318"/>
    </row>
    <row r="38" spans="1:12" ht="15" customHeight="1">
      <c r="A38" s="467">
        <v>25</v>
      </c>
      <c r="B38" s="468" t="s">
        <v>19</v>
      </c>
      <c r="C38" s="486">
        <v>0.16675064262590911</v>
      </c>
      <c r="D38" s="486">
        <v>0.187987283250416</v>
      </c>
      <c r="E38" s="486">
        <v>0.13109999999999999</v>
      </c>
      <c r="F38" s="486">
        <v>0.11509999999999999</v>
      </c>
      <c r="G38" s="489">
        <v>0.11219999999999999</v>
      </c>
    </row>
    <row r="39" spans="1:12" ht="15" customHeight="1">
      <c r="A39" s="467">
        <v>26</v>
      </c>
      <c r="B39" s="468" t="s">
        <v>20</v>
      </c>
      <c r="C39" s="486">
        <v>0.25273793537411621</v>
      </c>
      <c r="D39" s="486">
        <v>0.25784482166546513</v>
      </c>
      <c r="E39" s="486">
        <v>0.24779999999999999</v>
      </c>
      <c r="F39" s="486">
        <v>0.23719999999999999</v>
      </c>
      <c r="G39" s="489">
        <v>0.20271610565916984</v>
      </c>
    </row>
    <row r="40" spans="1:12" ht="15" customHeight="1">
      <c r="A40" s="467">
        <v>27</v>
      </c>
      <c r="B40" s="469" t="s">
        <v>21</v>
      </c>
      <c r="C40" s="486">
        <v>5.0901537786217151E-2</v>
      </c>
      <c r="D40" s="486">
        <v>5.9616186238940265E-2</v>
      </c>
      <c r="E40" s="486">
        <v>4.0500000000000001E-2</v>
      </c>
      <c r="F40" s="486">
        <v>3.3700000000000001E-2</v>
      </c>
      <c r="G40" s="489">
        <v>2.3498131662469838E-2</v>
      </c>
    </row>
    <row r="41" spans="1:12" ht="15" customHeight="1">
      <c r="A41" s="473"/>
      <c r="B41" s="460" t="s">
        <v>397</v>
      </c>
      <c r="C41" s="317"/>
      <c r="D41" s="317"/>
      <c r="E41" s="317"/>
      <c r="F41" s="317"/>
      <c r="G41" s="318"/>
    </row>
    <row r="42" spans="1:12" ht="15" customHeight="1">
      <c r="A42" s="467">
        <v>28</v>
      </c>
      <c r="B42" s="484" t="s">
        <v>390</v>
      </c>
      <c r="C42" s="534">
        <v>220144172.22217697</v>
      </c>
      <c r="D42" s="469">
        <v>176591304.296114</v>
      </c>
      <c r="E42" s="469">
        <v>126822446.40269232</v>
      </c>
      <c r="F42" s="469">
        <v>150570856.35149148</v>
      </c>
      <c r="G42" s="472">
        <v>108579772.76464474</v>
      </c>
    </row>
    <row r="43" spans="1:12" ht="15">
      <c r="A43" s="467">
        <v>29</v>
      </c>
      <c r="B43" s="468" t="s">
        <v>391</v>
      </c>
      <c r="C43" s="534">
        <v>66435210.961435787</v>
      </c>
      <c r="D43" s="470">
        <v>34877597.749489382</v>
      </c>
      <c r="E43" s="470">
        <v>33543495.428065702</v>
      </c>
      <c r="F43" s="470">
        <v>64596953.263940752</v>
      </c>
      <c r="G43" s="471">
        <v>50814794.668466493</v>
      </c>
    </row>
    <row r="44" spans="1:12" ht="15">
      <c r="A44" s="479">
        <v>30</v>
      </c>
      <c r="B44" s="480" t="s">
        <v>389</v>
      </c>
      <c r="C44" s="528">
        <v>3.3136670906330972</v>
      </c>
      <c r="D44" s="486">
        <v>5.0631728011915422</v>
      </c>
      <c r="E44" s="486">
        <v>3.7808357413038269</v>
      </c>
      <c r="F44" s="486">
        <v>2.330928143565294</v>
      </c>
      <c r="G44" s="489">
        <v>2.1367748009818239</v>
      </c>
    </row>
    <row r="45" spans="1:12" ht="15">
      <c r="A45" s="479"/>
      <c r="B45" s="460" t="s">
        <v>496</v>
      </c>
      <c r="C45" s="317"/>
      <c r="D45" s="317"/>
      <c r="E45" s="317"/>
      <c r="F45" s="317"/>
      <c r="G45" s="318"/>
    </row>
    <row r="46" spans="1:12" ht="15">
      <c r="A46" s="479">
        <v>31</v>
      </c>
      <c r="B46" s="480" t="s">
        <v>497</v>
      </c>
      <c r="C46" s="481">
        <v>959459929.28716135</v>
      </c>
      <c r="D46" s="482">
        <v>970567426.34524727</v>
      </c>
      <c r="E46" s="482">
        <v>967696323.30999029</v>
      </c>
      <c r="F46" s="482">
        <v>899708345.50172865</v>
      </c>
      <c r="G46" s="483">
        <v>832951837.00179398</v>
      </c>
    </row>
    <row r="47" spans="1:12" ht="15">
      <c r="A47" s="479">
        <v>32</v>
      </c>
      <c r="B47" s="480" t="s">
        <v>498</v>
      </c>
      <c r="C47" s="481">
        <v>794469701.77628505</v>
      </c>
      <c r="D47" s="482">
        <v>772625756.8957088</v>
      </c>
      <c r="E47" s="482">
        <v>738975693.71630383</v>
      </c>
      <c r="F47" s="482">
        <v>690262923.06059361</v>
      </c>
      <c r="G47" s="483">
        <v>654695978.57799995</v>
      </c>
    </row>
    <row r="48" spans="1:12" thickBot="1">
      <c r="A48" s="121">
        <v>33</v>
      </c>
      <c r="B48" s="229" t="s">
        <v>499</v>
      </c>
      <c r="C48" s="490">
        <v>1.2076734042116259</v>
      </c>
      <c r="D48" s="491">
        <v>1.2561934645368769</v>
      </c>
      <c r="E48" s="491">
        <v>1.3095103553994476</v>
      </c>
      <c r="F48" s="491">
        <v>1.3034284697089971</v>
      </c>
      <c r="G48" s="492">
        <v>1.2722727254426793</v>
      </c>
    </row>
    <row r="49" spans="1:7">
      <c r="A49" s="20"/>
    </row>
    <row r="50" spans="1:7" ht="39.75">
      <c r="B50" s="23" t="s">
        <v>475</v>
      </c>
    </row>
    <row r="51" spans="1:7" ht="65.25">
      <c r="B51" s="364" t="s">
        <v>396</v>
      </c>
      <c r="D51" s="338"/>
      <c r="E51" s="338"/>
      <c r="F51" s="338"/>
      <c r="G51" s="338"/>
    </row>
  </sheetData>
  <pageMargins left="0.7" right="0.7" top="0.75" bottom="0.75" header="0.3" footer="0.3"/>
  <pageSetup paperSize="9" orientation="portrait" r:id="rId1"/>
  <ignoredErrors>
    <ignoredError sqref="L31:N31 L28:N2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33" activePane="bottomRight" state="frozen"/>
      <selection pane="topRight" activeCell="B1" sqref="B1"/>
      <selection pane="bottomLeft" activeCell="A5" sqref="A5"/>
      <selection pane="bottomRight" activeCell="F33" sqref="F33:F40"/>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188</v>
      </c>
      <c r="B1" s="338" t="str">
        <f>Info!C2</f>
        <v>სს "კრედობანკი"</v>
      </c>
    </row>
    <row r="2" spans="1:8" ht="15.75">
      <c r="A2" s="17" t="s">
        <v>189</v>
      </c>
      <c r="B2" s="474">
        <f>'1. key ratios'!B2</f>
        <v>44286</v>
      </c>
    </row>
    <row r="3" spans="1:8" ht="15.75">
      <c r="A3" s="17"/>
    </row>
    <row r="4" spans="1:8" ht="16.5" thickBot="1">
      <c r="A4" s="31" t="s">
        <v>329</v>
      </c>
      <c r="B4" s="70" t="s">
        <v>244</v>
      </c>
      <c r="C4" s="31"/>
      <c r="D4" s="32"/>
      <c r="E4" s="32"/>
      <c r="F4" s="33"/>
      <c r="G4" s="33"/>
      <c r="H4" s="34" t="s">
        <v>93</v>
      </c>
    </row>
    <row r="5" spans="1:8" ht="15.75">
      <c r="A5" s="35"/>
      <c r="B5" s="36"/>
      <c r="C5" s="540" t="s">
        <v>194</v>
      </c>
      <c r="D5" s="541"/>
      <c r="E5" s="542"/>
      <c r="F5" s="540" t="s">
        <v>195</v>
      </c>
      <c r="G5" s="541"/>
      <c r="H5" s="543"/>
    </row>
    <row r="6" spans="1:8" ht="15.75">
      <c r="A6" s="37" t="s">
        <v>26</v>
      </c>
      <c r="B6" s="38" t="s">
        <v>153</v>
      </c>
      <c r="C6" s="39" t="s">
        <v>27</v>
      </c>
      <c r="D6" s="39" t="s">
        <v>94</v>
      </c>
      <c r="E6" s="39" t="s">
        <v>68</v>
      </c>
      <c r="F6" s="39" t="s">
        <v>27</v>
      </c>
      <c r="G6" s="39" t="s">
        <v>94</v>
      </c>
      <c r="H6" s="40" t="s">
        <v>68</v>
      </c>
    </row>
    <row r="7" spans="1:8" ht="15.75">
      <c r="A7" s="37">
        <v>1</v>
      </c>
      <c r="B7" s="41" t="s">
        <v>154</v>
      </c>
      <c r="C7" s="230">
        <v>25664474.629999999</v>
      </c>
      <c r="D7" s="230">
        <v>19806445.02</v>
      </c>
      <c r="E7" s="231">
        <f>C7+D7</f>
        <v>45470919.649999999</v>
      </c>
      <c r="F7" s="232">
        <v>23563333.800000001</v>
      </c>
      <c r="G7" s="233">
        <v>13390385.459999999</v>
      </c>
      <c r="H7" s="234">
        <f>F7+G7</f>
        <v>36953719.259999998</v>
      </c>
    </row>
    <row r="8" spans="1:8" ht="15.75">
      <c r="A8" s="37">
        <v>2</v>
      </c>
      <c r="B8" s="41" t="s">
        <v>155</v>
      </c>
      <c r="C8" s="230">
        <v>38442853.649999999</v>
      </c>
      <c r="D8" s="230">
        <v>61856868.410000004</v>
      </c>
      <c r="E8" s="231">
        <f t="shared" ref="E8:E20" si="0">C8+D8</f>
        <v>100299722.06</v>
      </c>
      <c r="F8" s="232">
        <v>29999932.960000001</v>
      </c>
      <c r="G8" s="233">
        <v>34009680.280000001</v>
      </c>
      <c r="H8" s="234">
        <f t="shared" ref="H8:H40" si="1">F8+G8</f>
        <v>64009613.240000002</v>
      </c>
    </row>
    <row r="9" spans="1:8" ht="15.75">
      <c r="A9" s="37">
        <v>3</v>
      </c>
      <c r="B9" s="41" t="s">
        <v>156</v>
      </c>
      <c r="C9" s="230">
        <v>695776.98</v>
      </c>
      <c r="D9" s="230">
        <v>36631353.680000007</v>
      </c>
      <c r="E9" s="231">
        <f t="shared" si="0"/>
        <v>37327130.660000004</v>
      </c>
      <c r="F9" s="232">
        <v>327240.87</v>
      </c>
      <c r="G9" s="233">
        <v>21095224.150000002</v>
      </c>
      <c r="H9" s="234">
        <f t="shared" si="1"/>
        <v>21422465.020000003</v>
      </c>
    </row>
    <row r="10" spans="1:8" ht="15.75">
      <c r="A10" s="37">
        <v>4</v>
      </c>
      <c r="B10" s="41" t="s">
        <v>185</v>
      </c>
      <c r="C10" s="230">
        <v>0</v>
      </c>
      <c r="D10" s="230">
        <v>0</v>
      </c>
      <c r="E10" s="231">
        <f t="shared" si="0"/>
        <v>0</v>
      </c>
      <c r="F10" s="232">
        <v>0</v>
      </c>
      <c r="G10" s="233">
        <v>0</v>
      </c>
      <c r="H10" s="234">
        <f t="shared" si="1"/>
        <v>0</v>
      </c>
    </row>
    <row r="11" spans="1:8" ht="15.75">
      <c r="A11" s="37">
        <v>5</v>
      </c>
      <c r="B11" s="41" t="s">
        <v>157</v>
      </c>
      <c r="C11" s="230">
        <v>42819663.519999996</v>
      </c>
      <c r="D11" s="230">
        <v>0</v>
      </c>
      <c r="E11" s="231">
        <f t="shared" si="0"/>
        <v>42819663.519999996</v>
      </c>
      <c r="F11" s="232">
        <v>28902781.77</v>
      </c>
      <c r="G11" s="233">
        <v>0</v>
      </c>
      <c r="H11" s="234">
        <f t="shared" si="1"/>
        <v>28902781.77</v>
      </c>
    </row>
    <row r="12" spans="1:8" ht="15.75">
      <c r="A12" s="37">
        <v>6.1</v>
      </c>
      <c r="B12" s="42" t="s">
        <v>158</v>
      </c>
      <c r="C12" s="230">
        <v>982486427.13999999</v>
      </c>
      <c r="D12" s="230">
        <v>105277895.8175</v>
      </c>
      <c r="E12" s="231">
        <f t="shared" si="0"/>
        <v>1087764322.9575</v>
      </c>
      <c r="F12" s="232">
        <v>789657269.23000002</v>
      </c>
      <c r="G12" s="233">
        <v>90407920.254600003</v>
      </c>
      <c r="H12" s="234">
        <f t="shared" si="1"/>
        <v>880065189.48460007</v>
      </c>
    </row>
    <row r="13" spans="1:8" ht="15.75">
      <c r="A13" s="37">
        <v>6.2</v>
      </c>
      <c r="B13" s="42" t="s">
        <v>159</v>
      </c>
      <c r="C13" s="230">
        <v>-34687255.000597298</v>
      </c>
      <c r="D13" s="230">
        <v>-4676719.0288620004</v>
      </c>
      <c r="E13" s="231">
        <f t="shared" si="0"/>
        <v>-39363974.029459298</v>
      </c>
      <c r="F13" s="232">
        <v>-28952057.994898703</v>
      </c>
      <c r="G13" s="233">
        <v>-4161466.5906919995</v>
      </c>
      <c r="H13" s="234">
        <f t="shared" si="1"/>
        <v>-33113524.585590702</v>
      </c>
    </row>
    <row r="14" spans="1:8" ht="15.75">
      <c r="A14" s="37">
        <v>6</v>
      </c>
      <c r="B14" s="41" t="s">
        <v>160</v>
      </c>
      <c r="C14" s="231">
        <f>C12+C13</f>
        <v>947799172.13940263</v>
      </c>
      <c r="D14" s="231">
        <f>D12+D13</f>
        <v>100601176.788638</v>
      </c>
      <c r="E14" s="231">
        <f t="shared" si="0"/>
        <v>1048400348.9280406</v>
      </c>
      <c r="F14" s="231">
        <f>F12+F13</f>
        <v>760705211.23510134</v>
      </c>
      <c r="G14" s="231">
        <f>G12+G13</f>
        <v>86246453.663908005</v>
      </c>
      <c r="H14" s="234">
        <f t="shared" si="1"/>
        <v>846951664.89900935</v>
      </c>
    </row>
    <row r="15" spans="1:8" ht="15.75">
      <c r="A15" s="37">
        <v>7</v>
      </c>
      <c r="B15" s="41" t="s">
        <v>161</v>
      </c>
      <c r="C15" s="230">
        <v>27001246.239999998</v>
      </c>
      <c r="D15" s="230">
        <v>2339673.7999999998</v>
      </c>
      <c r="E15" s="231">
        <f t="shared" si="0"/>
        <v>29340920.039999999</v>
      </c>
      <c r="F15" s="232">
        <v>16372887.560000002</v>
      </c>
      <c r="G15" s="233">
        <v>1045526.6699999999</v>
      </c>
      <c r="H15" s="234">
        <f t="shared" si="1"/>
        <v>17418414.230000004</v>
      </c>
    </row>
    <row r="16" spans="1:8" ht="15.75">
      <c r="A16" s="37">
        <v>8</v>
      </c>
      <c r="B16" s="41" t="s">
        <v>162</v>
      </c>
      <c r="C16" s="230">
        <v>953826</v>
      </c>
      <c r="D16" s="230" t="s">
        <v>504</v>
      </c>
      <c r="E16" s="231">
        <f>C16</f>
        <v>953826</v>
      </c>
      <c r="F16" s="232">
        <v>1389398.5</v>
      </c>
      <c r="G16" s="233" t="s">
        <v>504</v>
      </c>
      <c r="H16" s="234">
        <f>F16</f>
        <v>1389398.5</v>
      </c>
    </row>
    <row r="17" spans="1:8" ht="15.75">
      <c r="A17" s="37">
        <v>9</v>
      </c>
      <c r="B17" s="41" t="s">
        <v>163</v>
      </c>
      <c r="C17" s="230">
        <v>0</v>
      </c>
      <c r="D17" s="230">
        <v>0</v>
      </c>
      <c r="E17" s="231">
        <f t="shared" si="0"/>
        <v>0</v>
      </c>
      <c r="F17" s="232">
        <v>0</v>
      </c>
      <c r="G17" s="233">
        <v>0</v>
      </c>
      <c r="H17" s="234">
        <f t="shared" si="1"/>
        <v>0</v>
      </c>
    </row>
    <row r="18" spans="1:8" ht="15.75">
      <c r="A18" s="37">
        <v>10</v>
      </c>
      <c r="B18" s="41" t="s">
        <v>164</v>
      </c>
      <c r="C18" s="230">
        <v>29710338.549999997</v>
      </c>
      <c r="D18" s="230" t="s">
        <v>504</v>
      </c>
      <c r="E18" s="231">
        <f>C18</f>
        <v>29710338.549999997</v>
      </c>
      <c r="F18" s="232">
        <v>30813947.359999999</v>
      </c>
      <c r="G18" s="233" t="s">
        <v>504</v>
      </c>
      <c r="H18" s="234">
        <f>F18</f>
        <v>30813947.359999999</v>
      </c>
    </row>
    <row r="19" spans="1:8" ht="15.75">
      <c r="A19" s="37">
        <v>11</v>
      </c>
      <c r="B19" s="41" t="s">
        <v>165</v>
      </c>
      <c r="C19" s="230">
        <v>49966992.399999999</v>
      </c>
      <c r="D19" s="230">
        <v>8419574.5500000007</v>
      </c>
      <c r="E19" s="231">
        <f t="shared" si="0"/>
        <v>58386566.950000003</v>
      </c>
      <c r="F19" s="232">
        <v>23732425.830000002</v>
      </c>
      <c r="G19" s="233">
        <v>7006301.3900000006</v>
      </c>
      <c r="H19" s="234">
        <f t="shared" si="1"/>
        <v>30738727.220000003</v>
      </c>
    </row>
    <row r="20" spans="1:8" ht="15.75">
      <c r="A20" s="37">
        <v>12</v>
      </c>
      <c r="B20" s="43" t="s">
        <v>166</v>
      </c>
      <c r="C20" s="231">
        <f>SUM(C7:C11)+SUM(C14:C19)</f>
        <v>1163054344.1094027</v>
      </c>
      <c r="D20" s="231">
        <f>SUM(D7:D11)+SUM(D14:D19)</f>
        <v>229655092.248638</v>
      </c>
      <c r="E20" s="231">
        <f t="shared" si="0"/>
        <v>1392709436.3580406</v>
      </c>
      <c r="F20" s="231">
        <f>SUM(F7:F11)+SUM(F14:F19)</f>
        <v>915807159.88510144</v>
      </c>
      <c r="G20" s="231">
        <f>SUM(G7:G11)+SUM(G14:G19)</f>
        <v>162793571.61390799</v>
      </c>
      <c r="H20" s="234">
        <f t="shared" si="1"/>
        <v>1078600731.4990094</v>
      </c>
    </row>
    <row r="21" spans="1:8" ht="15.75">
      <c r="A21" s="37"/>
      <c r="B21" s="38" t="s">
        <v>183</v>
      </c>
      <c r="C21" s="235"/>
      <c r="D21" s="235"/>
      <c r="E21" s="235"/>
      <c r="F21" s="236"/>
      <c r="G21" s="237"/>
      <c r="H21" s="238"/>
    </row>
    <row r="22" spans="1:8" ht="15.75">
      <c r="A22" s="37">
        <v>13</v>
      </c>
      <c r="B22" s="41" t="s">
        <v>167</v>
      </c>
      <c r="C22" s="230">
        <v>0</v>
      </c>
      <c r="D22" s="230">
        <v>0</v>
      </c>
      <c r="E22" s="231">
        <f>C22+D22</f>
        <v>0</v>
      </c>
      <c r="F22" s="232">
        <v>24000000</v>
      </c>
      <c r="G22" s="233">
        <v>5255200</v>
      </c>
      <c r="H22" s="234">
        <f t="shared" si="1"/>
        <v>29255200</v>
      </c>
    </row>
    <row r="23" spans="1:8" ht="15.75">
      <c r="A23" s="37">
        <v>14</v>
      </c>
      <c r="B23" s="41" t="s">
        <v>168</v>
      </c>
      <c r="C23" s="230">
        <v>41275065.18</v>
      </c>
      <c r="D23" s="230">
        <v>6625371.1999999974</v>
      </c>
      <c r="E23" s="231">
        <f t="shared" ref="E23:E40" si="2">C23+D23</f>
        <v>47900436.379999995</v>
      </c>
      <c r="F23" s="232">
        <v>14809116.6</v>
      </c>
      <c r="G23" s="233">
        <v>2611930.0299999998</v>
      </c>
      <c r="H23" s="234">
        <f t="shared" si="1"/>
        <v>17421046.629999999</v>
      </c>
    </row>
    <row r="24" spans="1:8" ht="15.75">
      <c r="A24" s="37">
        <v>15</v>
      </c>
      <c r="B24" s="41" t="s">
        <v>169</v>
      </c>
      <c r="C24" s="230">
        <v>9486270.6999999993</v>
      </c>
      <c r="D24" s="230">
        <v>13504344.92</v>
      </c>
      <c r="E24" s="231">
        <f t="shared" si="2"/>
        <v>22990615.619999997</v>
      </c>
      <c r="F24" s="232">
        <v>3471252.0641999999</v>
      </c>
      <c r="G24" s="233">
        <v>4452803.4821768599</v>
      </c>
      <c r="H24" s="234">
        <f t="shared" si="1"/>
        <v>7924055.5463768598</v>
      </c>
    </row>
    <row r="25" spans="1:8" ht="15.75">
      <c r="A25" s="37">
        <v>16</v>
      </c>
      <c r="B25" s="41" t="s">
        <v>170</v>
      </c>
      <c r="C25" s="230">
        <v>73101634.479999989</v>
      </c>
      <c r="D25" s="230">
        <v>18495356.889999993</v>
      </c>
      <c r="E25" s="231">
        <f t="shared" si="2"/>
        <v>91596991.369999975</v>
      </c>
      <c r="F25" s="232">
        <v>32528118.460000001</v>
      </c>
      <c r="G25" s="233">
        <v>11363079.700747006</v>
      </c>
      <c r="H25" s="234">
        <f t="shared" si="1"/>
        <v>43891198.160747007</v>
      </c>
    </row>
    <row r="26" spans="1:8" ht="15.75">
      <c r="A26" s="37">
        <v>17</v>
      </c>
      <c r="B26" s="41" t="s">
        <v>171</v>
      </c>
      <c r="C26" s="235"/>
      <c r="D26" s="235"/>
      <c r="E26" s="231">
        <f t="shared" si="2"/>
        <v>0</v>
      </c>
      <c r="F26" s="236"/>
      <c r="G26" s="237"/>
      <c r="H26" s="234">
        <f t="shared" si="1"/>
        <v>0</v>
      </c>
    </row>
    <row r="27" spans="1:8" ht="15.75">
      <c r="A27" s="37">
        <v>18</v>
      </c>
      <c r="B27" s="41" t="s">
        <v>172</v>
      </c>
      <c r="C27" s="230">
        <v>648009963.44650793</v>
      </c>
      <c r="D27" s="230">
        <v>260230447.67729628</v>
      </c>
      <c r="E27" s="231">
        <f t="shared" si="2"/>
        <v>908240411.12380421</v>
      </c>
      <c r="F27" s="232">
        <v>588827962.11539674</v>
      </c>
      <c r="G27" s="233">
        <v>157256258.57797402</v>
      </c>
      <c r="H27" s="234">
        <f t="shared" si="1"/>
        <v>746084220.69337082</v>
      </c>
    </row>
    <row r="28" spans="1:8" ht="15.75">
      <c r="A28" s="37">
        <v>19</v>
      </c>
      <c r="B28" s="41" t="s">
        <v>173</v>
      </c>
      <c r="C28" s="230">
        <v>20175749.5</v>
      </c>
      <c r="D28" s="230">
        <v>3009219.0100000002</v>
      </c>
      <c r="E28" s="231">
        <f t="shared" si="2"/>
        <v>23184968.510000002</v>
      </c>
      <c r="F28" s="232">
        <v>17684841.25</v>
      </c>
      <c r="G28" s="233">
        <v>1593456.5</v>
      </c>
      <c r="H28" s="234">
        <f t="shared" si="1"/>
        <v>19278297.75</v>
      </c>
    </row>
    <row r="29" spans="1:8" ht="15.75">
      <c r="A29" s="37">
        <v>20</v>
      </c>
      <c r="B29" s="41" t="s">
        <v>95</v>
      </c>
      <c r="C29" s="230">
        <v>81488855.739999995</v>
      </c>
      <c r="D29" s="230">
        <v>9488781.8399999999</v>
      </c>
      <c r="E29" s="231">
        <f t="shared" si="2"/>
        <v>90977637.579999998</v>
      </c>
      <c r="F29" s="232">
        <v>51477581.989999987</v>
      </c>
      <c r="G29" s="233">
        <v>9263223.8699999992</v>
      </c>
      <c r="H29" s="234">
        <f t="shared" si="1"/>
        <v>60740805.859999985</v>
      </c>
    </row>
    <row r="30" spans="1:8" ht="15.75">
      <c r="A30" s="37">
        <v>21</v>
      </c>
      <c r="B30" s="41" t="s">
        <v>174</v>
      </c>
      <c r="C30" s="230">
        <v>47031330</v>
      </c>
      <c r="D30" s="230">
        <v>0</v>
      </c>
      <c r="E30" s="231">
        <f t="shared" si="2"/>
        <v>47031330</v>
      </c>
      <c r="F30" s="232">
        <v>21535980</v>
      </c>
      <c r="G30" s="233">
        <v>0</v>
      </c>
      <c r="H30" s="234">
        <f t="shared" si="1"/>
        <v>21535980</v>
      </c>
    </row>
    <row r="31" spans="1:8" ht="15.75">
      <c r="A31" s="37">
        <v>22</v>
      </c>
      <c r="B31" s="43" t="s">
        <v>175</v>
      </c>
      <c r="C31" s="231">
        <f>SUM(C22:C30)</f>
        <v>920568869.04650795</v>
      </c>
      <c r="D31" s="231">
        <f>SUM(D22:D30)</f>
        <v>311353521.53729624</v>
      </c>
      <c r="E31" s="231">
        <f>C31+D31</f>
        <v>1231922390.5838041</v>
      </c>
      <c r="F31" s="231">
        <f>SUM(F22:F30)</f>
        <v>754334852.47959673</v>
      </c>
      <c r="G31" s="231">
        <f>SUM(G22:G30)</f>
        <v>191795952.16089788</v>
      </c>
      <c r="H31" s="234">
        <f t="shared" si="1"/>
        <v>946130804.64049459</v>
      </c>
    </row>
    <row r="32" spans="1:8" ht="15.75">
      <c r="A32" s="37"/>
      <c r="B32" s="38" t="s">
        <v>184</v>
      </c>
      <c r="C32" s="235"/>
      <c r="D32" s="235"/>
      <c r="E32" s="230"/>
      <c r="F32" s="236"/>
      <c r="G32" s="237"/>
      <c r="H32" s="238"/>
    </row>
    <row r="33" spans="1:8" ht="15.75">
      <c r="A33" s="37">
        <v>23</v>
      </c>
      <c r="B33" s="41" t="s">
        <v>176</v>
      </c>
      <c r="C33" s="230">
        <v>4400000</v>
      </c>
      <c r="D33" s="235"/>
      <c r="E33" s="231">
        <f t="shared" si="2"/>
        <v>4400000</v>
      </c>
      <c r="F33" s="232">
        <v>4400000</v>
      </c>
      <c r="G33" s="237"/>
      <c r="H33" s="234">
        <f t="shared" si="1"/>
        <v>4400000</v>
      </c>
    </row>
    <row r="34" spans="1:8" ht="15.75">
      <c r="A34" s="37">
        <v>24</v>
      </c>
      <c r="B34" s="41" t="s">
        <v>177</v>
      </c>
      <c r="C34" s="230">
        <v>0</v>
      </c>
      <c r="D34" s="235"/>
      <c r="E34" s="231">
        <f t="shared" si="2"/>
        <v>0</v>
      </c>
      <c r="F34" s="232">
        <v>0</v>
      </c>
      <c r="G34" s="237"/>
      <c r="H34" s="234">
        <f t="shared" si="1"/>
        <v>0</v>
      </c>
    </row>
    <row r="35" spans="1:8" ht="15.75">
      <c r="A35" s="37">
        <v>25</v>
      </c>
      <c r="B35" s="42" t="s">
        <v>178</v>
      </c>
      <c r="C35" s="230">
        <v>0</v>
      </c>
      <c r="D35" s="235"/>
      <c r="E35" s="231">
        <f t="shared" si="2"/>
        <v>0</v>
      </c>
      <c r="F35" s="232">
        <v>0</v>
      </c>
      <c r="G35" s="237"/>
      <c r="H35" s="234">
        <f t="shared" si="1"/>
        <v>0</v>
      </c>
    </row>
    <row r="36" spans="1:8" ht="15.75">
      <c r="A36" s="37">
        <v>26</v>
      </c>
      <c r="B36" s="41" t="s">
        <v>179</v>
      </c>
      <c r="C36" s="230">
        <v>0</v>
      </c>
      <c r="D36" s="235"/>
      <c r="E36" s="231">
        <f t="shared" si="2"/>
        <v>0</v>
      </c>
      <c r="F36" s="232">
        <v>0</v>
      </c>
      <c r="G36" s="237"/>
      <c r="H36" s="234">
        <f t="shared" si="1"/>
        <v>0</v>
      </c>
    </row>
    <row r="37" spans="1:8" ht="15.75">
      <c r="A37" s="37">
        <v>27</v>
      </c>
      <c r="B37" s="41" t="s">
        <v>180</v>
      </c>
      <c r="C37" s="230">
        <v>0</v>
      </c>
      <c r="D37" s="235"/>
      <c r="E37" s="231">
        <f t="shared" si="2"/>
        <v>0</v>
      </c>
      <c r="F37" s="232">
        <v>0</v>
      </c>
      <c r="G37" s="237"/>
      <c r="H37" s="234">
        <f t="shared" si="1"/>
        <v>0</v>
      </c>
    </row>
    <row r="38" spans="1:8" ht="15.75">
      <c r="A38" s="37">
        <v>28</v>
      </c>
      <c r="B38" s="41" t="s">
        <v>181</v>
      </c>
      <c r="C38" s="230">
        <v>155990586.63999999</v>
      </c>
      <c r="D38" s="235"/>
      <c r="E38" s="231">
        <f t="shared" si="2"/>
        <v>155990586.63999999</v>
      </c>
      <c r="F38" s="232">
        <v>127673467.14999992</v>
      </c>
      <c r="G38" s="237"/>
      <c r="H38" s="234">
        <f t="shared" si="1"/>
        <v>127673467.14999992</v>
      </c>
    </row>
    <row r="39" spans="1:8" ht="15.75">
      <c r="A39" s="37">
        <v>29</v>
      </c>
      <c r="B39" s="41" t="s">
        <v>196</v>
      </c>
      <c r="C39" s="230">
        <v>396459</v>
      </c>
      <c r="D39" s="235"/>
      <c r="E39" s="231">
        <f t="shared" si="2"/>
        <v>396459</v>
      </c>
      <c r="F39" s="232">
        <v>396459</v>
      </c>
      <c r="G39" s="237"/>
      <c r="H39" s="234">
        <f t="shared" si="1"/>
        <v>396459</v>
      </c>
    </row>
    <row r="40" spans="1:8" ht="15.75">
      <c r="A40" s="37">
        <v>30</v>
      </c>
      <c r="B40" s="43" t="s">
        <v>182</v>
      </c>
      <c r="C40" s="230">
        <f>SUM(C33:C39)</f>
        <v>160787045.63999999</v>
      </c>
      <c r="D40" s="235"/>
      <c r="E40" s="231">
        <f t="shared" si="2"/>
        <v>160787045.63999999</v>
      </c>
      <c r="F40" s="230">
        <f>SUM(F33:F39)</f>
        <v>132469926.14999992</v>
      </c>
      <c r="G40" s="237"/>
      <c r="H40" s="234">
        <f t="shared" si="1"/>
        <v>132469926.14999992</v>
      </c>
    </row>
    <row r="41" spans="1:8" ht="16.5" thickBot="1">
      <c r="A41" s="44">
        <v>31</v>
      </c>
      <c r="B41" s="45" t="s">
        <v>197</v>
      </c>
      <c r="C41" s="239">
        <f>C31+C40</f>
        <v>1081355914.6865079</v>
      </c>
      <c r="D41" s="239">
        <f>D31+D40</f>
        <v>311353521.53729624</v>
      </c>
      <c r="E41" s="239">
        <f>C41+D41</f>
        <v>1392709436.2238042</v>
      </c>
      <c r="F41" s="239">
        <f>F31+F40</f>
        <v>886804778.62959671</v>
      </c>
      <c r="G41" s="239">
        <f>G31+G40</f>
        <v>191795952.16089788</v>
      </c>
      <c r="H41" s="240">
        <f>F41+G41</f>
        <v>1078600730.7904947</v>
      </c>
    </row>
    <row r="43" spans="1:8">
      <c r="B43" s="4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7" activePane="bottomRight" state="frozen"/>
      <selection pane="topRight" activeCell="B1" sqref="B1"/>
      <selection pane="bottomLeft" activeCell="A6" sqref="A6"/>
      <selection pane="bottomRight" activeCell="C34" sqref="C3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188</v>
      </c>
      <c r="B1" s="16" t="str">
        <f>Info!C2</f>
        <v>სს "კრედობანკი"</v>
      </c>
      <c r="C1" s="16"/>
    </row>
    <row r="2" spans="1:8" ht="15.75">
      <c r="A2" s="17" t="s">
        <v>189</v>
      </c>
      <c r="B2" s="474">
        <f>'1. key ratios'!B2</f>
        <v>44286</v>
      </c>
      <c r="C2" s="29"/>
      <c r="D2" s="18"/>
      <c r="E2" s="18"/>
      <c r="F2" s="18"/>
      <c r="G2" s="18"/>
      <c r="H2" s="18"/>
    </row>
    <row r="3" spans="1:8" ht="15.75">
      <c r="A3" s="17"/>
      <c r="B3" s="16"/>
      <c r="C3" s="29"/>
      <c r="D3" s="18"/>
      <c r="E3" s="18"/>
      <c r="F3" s="18"/>
      <c r="G3" s="18"/>
      <c r="H3" s="18"/>
    </row>
    <row r="4" spans="1:8" ht="16.5" thickBot="1">
      <c r="A4" s="47" t="s">
        <v>330</v>
      </c>
      <c r="B4" s="30" t="s">
        <v>222</v>
      </c>
      <c r="C4" s="33"/>
      <c r="D4" s="33"/>
      <c r="E4" s="33"/>
      <c r="F4" s="47"/>
      <c r="G4" s="47"/>
      <c r="H4" s="48" t="s">
        <v>93</v>
      </c>
    </row>
    <row r="5" spans="1:8" ht="15.75">
      <c r="A5" s="122"/>
      <c r="B5" s="123"/>
      <c r="C5" s="540" t="s">
        <v>194</v>
      </c>
      <c r="D5" s="541"/>
      <c r="E5" s="542"/>
      <c r="F5" s="540" t="s">
        <v>195</v>
      </c>
      <c r="G5" s="541"/>
      <c r="H5" s="543"/>
    </row>
    <row r="6" spans="1:8">
      <c r="A6" s="124" t="s">
        <v>26</v>
      </c>
      <c r="B6" s="49"/>
      <c r="C6" s="50" t="s">
        <v>27</v>
      </c>
      <c r="D6" s="50" t="s">
        <v>96</v>
      </c>
      <c r="E6" s="50" t="s">
        <v>68</v>
      </c>
      <c r="F6" s="50" t="s">
        <v>27</v>
      </c>
      <c r="G6" s="50" t="s">
        <v>96</v>
      </c>
      <c r="H6" s="125" t="s">
        <v>68</v>
      </c>
    </row>
    <row r="7" spans="1:8">
      <c r="A7" s="126"/>
      <c r="B7" s="52" t="s">
        <v>92</v>
      </c>
      <c r="C7" s="53"/>
      <c r="D7" s="53"/>
      <c r="E7" s="53"/>
      <c r="F7" s="53"/>
      <c r="G7" s="53"/>
      <c r="H7" s="127"/>
    </row>
    <row r="8" spans="1:8" ht="15.75">
      <c r="A8" s="126">
        <v>1</v>
      </c>
      <c r="B8" s="54" t="s">
        <v>97</v>
      </c>
      <c r="C8" s="241">
        <v>889221.01</v>
      </c>
      <c r="D8" s="241">
        <v>-74666.929999999993</v>
      </c>
      <c r="E8" s="231">
        <f>C8+D8</f>
        <v>814554.08000000007</v>
      </c>
      <c r="F8" s="241">
        <v>412887.74</v>
      </c>
      <c r="G8" s="241">
        <v>76825.320000000007</v>
      </c>
      <c r="H8" s="242">
        <f>F8+G8</f>
        <v>489713.06</v>
      </c>
    </row>
    <row r="9" spans="1:8" ht="15.75">
      <c r="A9" s="126">
        <v>2</v>
      </c>
      <c r="B9" s="54" t="s">
        <v>98</v>
      </c>
      <c r="C9" s="243">
        <f>SUM(C10:C18)</f>
        <v>50107388.890000001</v>
      </c>
      <c r="D9" s="243">
        <f>SUM(D10:D18)</f>
        <v>1871185.76</v>
      </c>
      <c r="E9" s="231">
        <f t="shared" ref="E9:E67" si="0">C9+D9</f>
        <v>51978574.649999999</v>
      </c>
      <c r="F9" s="243">
        <f>SUM(F10:F18)</f>
        <v>39248706.560000002</v>
      </c>
      <c r="G9" s="243">
        <f>SUM(G10:G18)</f>
        <v>1420354.6</v>
      </c>
      <c r="H9" s="242">
        <f t="shared" ref="H9:H67" si="1">F9+G9</f>
        <v>40669061.160000004</v>
      </c>
    </row>
    <row r="10" spans="1:8" ht="15.75">
      <c r="A10" s="126">
        <v>2.1</v>
      </c>
      <c r="B10" s="55" t="s">
        <v>99</v>
      </c>
      <c r="C10" s="241">
        <v>0</v>
      </c>
      <c r="D10" s="241">
        <v>0</v>
      </c>
      <c r="E10" s="231">
        <f t="shared" si="0"/>
        <v>0</v>
      </c>
      <c r="F10" s="241">
        <v>0</v>
      </c>
      <c r="G10" s="241">
        <v>0</v>
      </c>
      <c r="H10" s="242">
        <f t="shared" si="1"/>
        <v>0</v>
      </c>
    </row>
    <row r="11" spans="1:8" ht="15.75">
      <c r="A11" s="126">
        <v>2.2000000000000002</v>
      </c>
      <c r="B11" s="55" t="s">
        <v>100</v>
      </c>
      <c r="C11" s="241">
        <v>159195.60999999999</v>
      </c>
      <c r="D11" s="241">
        <v>312032.33</v>
      </c>
      <c r="E11" s="231">
        <f t="shared" si="0"/>
        <v>471227.94</v>
      </c>
      <c r="F11" s="241">
        <v>121535.31</v>
      </c>
      <c r="G11" s="241">
        <v>234948.92</v>
      </c>
      <c r="H11" s="242">
        <f t="shared" si="1"/>
        <v>356484.23</v>
      </c>
    </row>
    <row r="12" spans="1:8" ht="15.75">
      <c r="A12" s="126">
        <v>2.2999999999999998</v>
      </c>
      <c r="B12" s="55" t="s">
        <v>101</v>
      </c>
      <c r="C12" s="241">
        <v>0</v>
      </c>
      <c r="D12" s="241">
        <v>0</v>
      </c>
      <c r="E12" s="231">
        <f t="shared" si="0"/>
        <v>0</v>
      </c>
      <c r="F12" s="241">
        <v>0</v>
      </c>
      <c r="G12" s="241">
        <v>0</v>
      </c>
      <c r="H12" s="242">
        <f t="shared" si="1"/>
        <v>0</v>
      </c>
    </row>
    <row r="13" spans="1:8" ht="15.75">
      <c r="A13" s="126">
        <v>2.4</v>
      </c>
      <c r="B13" s="55" t="s">
        <v>102</v>
      </c>
      <c r="C13" s="241">
        <v>24648.560000000001</v>
      </c>
      <c r="D13" s="241">
        <v>7254.58</v>
      </c>
      <c r="E13" s="231">
        <f t="shared" si="0"/>
        <v>31903.14</v>
      </c>
      <c r="F13" s="241">
        <v>3460.28</v>
      </c>
      <c r="G13" s="241">
        <v>7597.43</v>
      </c>
      <c r="H13" s="242">
        <f t="shared" si="1"/>
        <v>11057.710000000001</v>
      </c>
    </row>
    <row r="14" spans="1:8" ht="15.75">
      <c r="A14" s="126">
        <v>2.5</v>
      </c>
      <c r="B14" s="55" t="s">
        <v>103</v>
      </c>
      <c r="C14" s="241">
        <v>15453</v>
      </c>
      <c r="D14" s="241">
        <v>51114.68</v>
      </c>
      <c r="E14" s="231">
        <f t="shared" si="0"/>
        <v>66567.679999999993</v>
      </c>
      <c r="F14" s="241">
        <v>6286.12</v>
      </c>
      <c r="G14" s="241">
        <v>40861.370000000003</v>
      </c>
      <c r="H14" s="242">
        <f t="shared" si="1"/>
        <v>47147.490000000005</v>
      </c>
    </row>
    <row r="15" spans="1:8" ht="15.75">
      <c r="A15" s="126">
        <v>2.6</v>
      </c>
      <c r="B15" s="55" t="s">
        <v>104</v>
      </c>
      <c r="C15" s="241">
        <v>60536.639999999999</v>
      </c>
      <c r="D15" s="241">
        <v>46515.29</v>
      </c>
      <c r="E15" s="231">
        <f t="shared" si="0"/>
        <v>107051.93</v>
      </c>
      <c r="F15" s="241">
        <v>29706.16</v>
      </c>
      <c r="G15" s="241">
        <v>21253.26</v>
      </c>
      <c r="H15" s="242">
        <f t="shared" si="1"/>
        <v>50959.42</v>
      </c>
    </row>
    <row r="16" spans="1:8" ht="15.75">
      <c r="A16" s="126">
        <v>2.7</v>
      </c>
      <c r="B16" s="55" t="s">
        <v>105</v>
      </c>
      <c r="C16" s="241">
        <v>21891.13</v>
      </c>
      <c r="D16" s="241">
        <v>29247.9</v>
      </c>
      <c r="E16" s="231">
        <f t="shared" si="0"/>
        <v>51139.03</v>
      </c>
      <c r="F16" s="241">
        <v>13573.64</v>
      </c>
      <c r="G16" s="241">
        <v>34274.239999999998</v>
      </c>
      <c r="H16" s="242">
        <f t="shared" si="1"/>
        <v>47847.88</v>
      </c>
    </row>
    <row r="17" spans="1:8" ht="15.75">
      <c r="A17" s="126">
        <v>2.8</v>
      </c>
      <c r="B17" s="55" t="s">
        <v>106</v>
      </c>
      <c r="C17" s="241">
        <v>49801282.550000004</v>
      </c>
      <c r="D17" s="241">
        <v>1413404.44</v>
      </c>
      <c r="E17" s="231">
        <f t="shared" si="0"/>
        <v>51214686.990000002</v>
      </c>
      <c r="F17" s="241">
        <v>39054397.350000001</v>
      </c>
      <c r="G17" s="241">
        <v>1070476.6200000001</v>
      </c>
      <c r="H17" s="242">
        <f t="shared" si="1"/>
        <v>40124873.969999999</v>
      </c>
    </row>
    <row r="18" spans="1:8" ht="15.75">
      <c r="A18" s="126">
        <v>2.9</v>
      </c>
      <c r="B18" s="55" t="s">
        <v>107</v>
      </c>
      <c r="C18" s="241">
        <v>24381.4</v>
      </c>
      <c r="D18" s="241">
        <v>11616.54</v>
      </c>
      <c r="E18" s="231">
        <f t="shared" si="0"/>
        <v>35997.94</v>
      </c>
      <c r="F18" s="241">
        <v>19747.7</v>
      </c>
      <c r="G18" s="241">
        <v>10942.76</v>
      </c>
      <c r="H18" s="242">
        <f t="shared" si="1"/>
        <v>30690.46</v>
      </c>
    </row>
    <row r="19" spans="1:8" ht="15.75">
      <c r="A19" s="126">
        <v>3</v>
      </c>
      <c r="B19" s="54" t="s">
        <v>108</v>
      </c>
      <c r="C19" s="241">
        <v>3067162.96</v>
      </c>
      <c r="D19" s="241">
        <v>44700.25</v>
      </c>
      <c r="E19" s="231">
        <f t="shared" si="0"/>
        <v>3111863.21</v>
      </c>
      <c r="F19" s="241">
        <v>1651102.88</v>
      </c>
      <c r="G19" s="241">
        <v>48699.5</v>
      </c>
      <c r="H19" s="242">
        <f t="shared" si="1"/>
        <v>1699802.38</v>
      </c>
    </row>
    <row r="20" spans="1:8" ht="15.75">
      <c r="A20" s="126">
        <v>4</v>
      </c>
      <c r="B20" s="54" t="s">
        <v>109</v>
      </c>
      <c r="C20" s="241">
        <v>899275.48</v>
      </c>
      <c r="D20" s="241">
        <v>0</v>
      </c>
      <c r="E20" s="231">
        <f t="shared" si="0"/>
        <v>899275.48</v>
      </c>
      <c r="F20" s="241">
        <v>642951.22</v>
      </c>
      <c r="G20" s="241">
        <v>0</v>
      </c>
      <c r="H20" s="242">
        <f t="shared" si="1"/>
        <v>642951.22</v>
      </c>
    </row>
    <row r="21" spans="1:8" ht="15.75">
      <c r="A21" s="126">
        <v>5</v>
      </c>
      <c r="B21" s="54" t="s">
        <v>110</v>
      </c>
      <c r="C21" s="241">
        <v>0</v>
      </c>
      <c r="D21" s="241">
        <v>0</v>
      </c>
      <c r="E21" s="231">
        <f t="shared" si="0"/>
        <v>0</v>
      </c>
      <c r="F21" s="241">
        <v>0</v>
      </c>
      <c r="G21" s="241">
        <v>0</v>
      </c>
      <c r="H21" s="242">
        <f>F21+G21</f>
        <v>0</v>
      </c>
    </row>
    <row r="22" spans="1:8" ht="15.75">
      <c r="A22" s="126">
        <v>6</v>
      </c>
      <c r="B22" s="56" t="s">
        <v>111</v>
      </c>
      <c r="C22" s="243">
        <f>C8+C9+C19+C20+C21</f>
        <v>54963048.339999996</v>
      </c>
      <c r="D22" s="243">
        <f>D8+D9+D19+D20+D21</f>
        <v>1841219.08</v>
      </c>
      <c r="E22" s="231">
        <f>C22+D22</f>
        <v>56804267.419999994</v>
      </c>
      <c r="F22" s="243">
        <f>F8+F9+F19+F20+F21</f>
        <v>41955648.400000006</v>
      </c>
      <c r="G22" s="243">
        <f>G8+G9+G19+G20+G21</f>
        <v>1545879.4200000002</v>
      </c>
      <c r="H22" s="242">
        <f>F22+G22</f>
        <v>43501527.820000008</v>
      </c>
    </row>
    <row r="23" spans="1:8" ht="15.75">
      <c r="A23" s="126"/>
      <c r="B23" s="52" t="s">
        <v>90</v>
      </c>
      <c r="C23" s="241"/>
      <c r="D23" s="241"/>
      <c r="E23" s="230"/>
      <c r="F23" s="241"/>
      <c r="G23" s="241"/>
      <c r="H23" s="244"/>
    </row>
    <row r="24" spans="1:8" ht="15.75">
      <c r="A24" s="126">
        <v>7</v>
      </c>
      <c r="B24" s="54" t="s">
        <v>112</v>
      </c>
      <c r="C24" s="241">
        <v>289935.81</v>
      </c>
      <c r="D24" s="241">
        <v>10543.33</v>
      </c>
      <c r="E24" s="231">
        <f t="shared" si="0"/>
        <v>300479.14</v>
      </c>
      <c r="F24" s="241">
        <v>53807.020000000004</v>
      </c>
      <c r="G24" s="241">
        <v>12888.189999999999</v>
      </c>
      <c r="H24" s="242">
        <f t="shared" si="1"/>
        <v>66695.210000000006</v>
      </c>
    </row>
    <row r="25" spans="1:8" ht="15.75">
      <c r="A25" s="126">
        <v>8</v>
      </c>
      <c r="B25" s="54" t="s">
        <v>113</v>
      </c>
      <c r="C25" s="241">
        <v>1776949.8599999999</v>
      </c>
      <c r="D25" s="241">
        <v>79074.73</v>
      </c>
      <c r="E25" s="231">
        <f t="shared" si="0"/>
        <v>1856024.5899999999</v>
      </c>
      <c r="F25" s="241">
        <v>937466.71</v>
      </c>
      <c r="G25" s="241">
        <v>78104.780000000013</v>
      </c>
      <c r="H25" s="242">
        <f t="shared" si="1"/>
        <v>1015571.49</v>
      </c>
    </row>
    <row r="26" spans="1:8" ht="15.75">
      <c r="A26" s="126">
        <v>9</v>
      </c>
      <c r="B26" s="54" t="s">
        <v>114</v>
      </c>
      <c r="C26" s="241">
        <v>0</v>
      </c>
      <c r="D26" s="241">
        <v>0</v>
      </c>
      <c r="E26" s="231">
        <f t="shared" si="0"/>
        <v>0</v>
      </c>
      <c r="F26" s="241">
        <v>175167.12</v>
      </c>
      <c r="G26" s="241">
        <v>8116.06</v>
      </c>
      <c r="H26" s="242">
        <f t="shared" si="1"/>
        <v>183283.18</v>
      </c>
    </row>
    <row r="27" spans="1:8" ht="15.75">
      <c r="A27" s="126">
        <v>10</v>
      </c>
      <c r="B27" s="54" t="s">
        <v>115</v>
      </c>
      <c r="C27" s="241">
        <v>0</v>
      </c>
      <c r="D27" s="241">
        <v>0</v>
      </c>
      <c r="E27" s="231">
        <f t="shared" si="0"/>
        <v>0</v>
      </c>
      <c r="F27" s="241">
        <v>0</v>
      </c>
      <c r="G27" s="241">
        <v>0</v>
      </c>
      <c r="H27" s="242">
        <f t="shared" si="1"/>
        <v>0</v>
      </c>
    </row>
    <row r="28" spans="1:8" ht="15.75">
      <c r="A28" s="126">
        <v>11</v>
      </c>
      <c r="B28" s="54" t="s">
        <v>116</v>
      </c>
      <c r="C28" s="241">
        <v>22817691.239999998</v>
      </c>
      <c r="D28" s="241">
        <v>2853234.58</v>
      </c>
      <c r="E28" s="231">
        <f t="shared" si="0"/>
        <v>25670925.82</v>
      </c>
      <c r="F28" s="241">
        <v>19437238.869999997</v>
      </c>
      <c r="G28" s="241">
        <v>1658086.88</v>
      </c>
      <c r="H28" s="242">
        <f t="shared" si="1"/>
        <v>21095325.749999996</v>
      </c>
    </row>
    <row r="29" spans="1:8" ht="15.75">
      <c r="A29" s="126">
        <v>12</v>
      </c>
      <c r="B29" s="54" t="s">
        <v>117</v>
      </c>
      <c r="C29" s="241">
        <v>0</v>
      </c>
      <c r="D29" s="241">
        <v>0</v>
      </c>
      <c r="E29" s="231">
        <f t="shared" si="0"/>
        <v>0</v>
      </c>
      <c r="F29" s="241">
        <v>0</v>
      </c>
      <c r="G29" s="241">
        <v>0</v>
      </c>
      <c r="H29" s="242">
        <f t="shared" si="1"/>
        <v>0</v>
      </c>
    </row>
    <row r="30" spans="1:8" ht="15.75">
      <c r="A30" s="126">
        <v>13</v>
      </c>
      <c r="B30" s="57" t="s">
        <v>118</v>
      </c>
      <c r="C30" s="243">
        <f>SUM(C24:C29)</f>
        <v>24884576.909999996</v>
      </c>
      <c r="D30" s="243">
        <f>SUM(D24:D29)</f>
        <v>2942852.64</v>
      </c>
      <c r="E30" s="231">
        <f t="shared" si="0"/>
        <v>27827429.549999997</v>
      </c>
      <c r="F30" s="243">
        <f>SUM(F24:F29)</f>
        <v>20603679.719999999</v>
      </c>
      <c r="G30" s="243">
        <f>SUM(G24:G29)</f>
        <v>1757195.91</v>
      </c>
      <c r="H30" s="242">
        <f t="shared" si="1"/>
        <v>22360875.629999999</v>
      </c>
    </row>
    <row r="31" spans="1:8" ht="15.75">
      <c r="A31" s="126">
        <v>14</v>
      </c>
      <c r="B31" s="57" t="s">
        <v>119</v>
      </c>
      <c r="C31" s="243">
        <f>C22-C30</f>
        <v>30078471.43</v>
      </c>
      <c r="D31" s="243">
        <f>D22-D30</f>
        <v>-1101633.56</v>
      </c>
      <c r="E31" s="231">
        <f t="shared" si="0"/>
        <v>28976837.870000001</v>
      </c>
      <c r="F31" s="243">
        <f>F22-F30</f>
        <v>21351968.680000007</v>
      </c>
      <c r="G31" s="243">
        <f>G22-G30</f>
        <v>-211316.48999999976</v>
      </c>
      <c r="H31" s="242">
        <f t="shared" si="1"/>
        <v>21140652.190000009</v>
      </c>
    </row>
    <row r="32" spans="1:8">
      <c r="A32" s="126"/>
      <c r="B32" s="52"/>
      <c r="C32" s="245"/>
      <c r="D32" s="245"/>
      <c r="E32" s="245"/>
      <c r="F32" s="245"/>
      <c r="G32" s="245"/>
      <c r="H32" s="246"/>
    </row>
    <row r="33" spans="1:8" ht="15.75">
      <c r="A33" s="126"/>
      <c r="B33" s="52" t="s">
        <v>120</v>
      </c>
      <c r="C33" s="241"/>
      <c r="D33" s="241"/>
      <c r="E33" s="230"/>
      <c r="F33" s="241"/>
      <c r="G33" s="241"/>
      <c r="H33" s="244"/>
    </row>
    <row r="34" spans="1:8" ht="15.75">
      <c r="A34" s="126">
        <v>15</v>
      </c>
      <c r="B34" s="51" t="s">
        <v>91</v>
      </c>
      <c r="C34" s="247">
        <f>C35-C36</f>
        <v>15550902.709999997</v>
      </c>
      <c r="D34" s="247">
        <f>D35-D36</f>
        <v>-225044.33999999991</v>
      </c>
      <c r="E34" s="231">
        <f t="shared" si="0"/>
        <v>15325858.369999997</v>
      </c>
      <c r="F34" s="247">
        <f>F35-F36</f>
        <v>11367725.030000005</v>
      </c>
      <c r="G34" s="247">
        <f>G35-G36</f>
        <v>-77704.839999999909</v>
      </c>
      <c r="H34" s="242">
        <f t="shared" si="1"/>
        <v>11290020.190000005</v>
      </c>
    </row>
    <row r="35" spans="1:8" ht="15.75">
      <c r="A35" s="126">
        <v>15.1</v>
      </c>
      <c r="B35" s="55" t="s">
        <v>121</v>
      </c>
      <c r="C35" s="241">
        <v>17599046.259999998</v>
      </c>
      <c r="D35" s="241">
        <v>427390.61000000004</v>
      </c>
      <c r="E35" s="231">
        <f t="shared" si="0"/>
        <v>18026436.869999997</v>
      </c>
      <c r="F35" s="241">
        <v>13249299.980000004</v>
      </c>
      <c r="G35" s="241">
        <v>509348.23000000004</v>
      </c>
      <c r="H35" s="242">
        <f t="shared" si="1"/>
        <v>13758648.210000005</v>
      </c>
    </row>
    <row r="36" spans="1:8" ht="15.75">
      <c r="A36" s="126">
        <v>15.2</v>
      </c>
      <c r="B36" s="55" t="s">
        <v>122</v>
      </c>
      <c r="C36" s="241">
        <v>2048143.5500000003</v>
      </c>
      <c r="D36" s="241">
        <v>652434.94999999995</v>
      </c>
      <c r="E36" s="231">
        <f t="shared" si="0"/>
        <v>2700578.5</v>
      </c>
      <c r="F36" s="241">
        <v>1881574.9500000002</v>
      </c>
      <c r="G36" s="241">
        <v>587053.06999999995</v>
      </c>
      <c r="H36" s="242">
        <f t="shared" si="1"/>
        <v>2468628.02</v>
      </c>
    </row>
    <row r="37" spans="1:8" ht="15.75">
      <c r="A37" s="126">
        <v>16</v>
      </c>
      <c r="B37" s="54" t="s">
        <v>123</v>
      </c>
      <c r="C37" s="241">
        <v>0</v>
      </c>
      <c r="D37" s="241">
        <v>0</v>
      </c>
      <c r="E37" s="231">
        <f t="shared" si="0"/>
        <v>0</v>
      </c>
      <c r="F37" s="241">
        <v>0</v>
      </c>
      <c r="G37" s="241">
        <v>0</v>
      </c>
      <c r="H37" s="242">
        <f t="shared" si="1"/>
        <v>0</v>
      </c>
    </row>
    <row r="38" spans="1:8" ht="15.75">
      <c r="A38" s="126">
        <v>17</v>
      </c>
      <c r="B38" s="54" t="s">
        <v>124</v>
      </c>
      <c r="C38" s="241">
        <v>0</v>
      </c>
      <c r="D38" s="241">
        <v>0</v>
      </c>
      <c r="E38" s="231">
        <f t="shared" si="0"/>
        <v>0</v>
      </c>
      <c r="F38" s="241">
        <v>0</v>
      </c>
      <c r="G38" s="241">
        <v>0</v>
      </c>
      <c r="H38" s="242">
        <f t="shared" si="1"/>
        <v>0</v>
      </c>
    </row>
    <row r="39" spans="1:8" ht="15.75">
      <c r="A39" s="126">
        <v>18</v>
      </c>
      <c r="B39" s="54" t="s">
        <v>125</v>
      </c>
      <c r="C39" s="241">
        <v>0</v>
      </c>
      <c r="D39" s="241">
        <v>0</v>
      </c>
      <c r="E39" s="231">
        <f t="shared" si="0"/>
        <v>0</v>
      </c>
      <c r="F39" s="241">
        <v>0</v>
      </c>
      <c r="G39" s="241">
        <v>0</v>
      </c>
      <c r="H39" s="242">
        <f t="shared" si="1"/>
        <v>0</v>
      </c>
    </row>
    <row r="40" spans="1:8" ht="15.75">
      <c r="A40" s="126">
        <v>19</v>
      </c>
      <c r="B40" s="54" t="s">
        <v>126</v>
      </c>
      <c r="C40" s="241">
        <v>-1190745.3999999999</v>
      </c>
      <c r="D40" s="241"/>
      <c r="E40" s="231">
        <f t="shared" si="0"/>
        <v>-1190745.3999999999</v>
      </c>
      <c r="F40" s="241">
        <v>-47604.380000000354</v>
      </c>
      <c r="G40" s="241"/>
      <c r="H40" s="242">
        <f t="shared" si="1"/>
        <v>-47604.380000000354</v>
      </c>
    </row>
    <row r="41" spans="1:8" ht="15.75">
      <c r="A41" s="126">
        <v>20</v>
      </c>
      <c r="B41" s="54" t="s">
        <v>127</v>
      </c>
      <c r="C41" s="241">
        <v>210226.57999996655</v>
      </c>
      <c r="D41" s="241"/>
      <c r="E41" s="231">
        <f t="shared" si="0"/>
        <v>210226.57999996655</v>
      </c>
      <c r="F41" s="241">
        <v>-759143.52000010014</v>
      </c>
      <c r="G41" s="241"/>
      <c r="H41" s="242">
        <f t="shared" si="1"/>
        <v>-759143.52000010014</v>
      </c>
    </row>
    <row r="42" spans="1:8" ht="15.75">
      <c r="A42" s="126">
        <v>21</v>
      </c>
      <c r="B42" s="54" t="s">
        <v>128</v>
      </c>
      <c r="C42" s="241">
        <v>3289.0899999999965</v>
      </c>
      <c r="D42" s="241">
        <v>0</v>
      </c>
      <c r="E42" s="231">
        <f t="shared" si="0"/>
        <v>3289.0899999999965</v>
      </c>
      <c r="F42" s="241">
        <v>-265.75000000000182</v>
      </c>
      <c r="G42" s="241">
        <v>0</v>
      </c>
      <c r="H42" s="242">
        <f t="shared" si="1"/>
        <v>-265.75000000000182</v>
      </c>
    </row>
    <row r="43" spans="1:8" ht="15.75">
      <c r="A43" s="126">
        <v>22</v>
      </c>
      <c r="B43" s="54" t="s">
        <v>129</v>
      </c>
      <c r="C43" s="241">
        <v>5620.46</v>
      </c>
      <c r="D43" s="241">
        <v>33.25</v>
      </c>
      <c r="E43" s="231">
        <f t="shared" si="0"/>
        <v>5653.71</v>
      </c>
      <c r="F43" s="241">
        <v>185982.71</v>
      </c>
      <c r="G43" s="241">
        <v>98.69</v>
      </c>
      <c r="H43" s="242">
        <f t="shared" si="1"/>
        <v>186081.4</v>
      </c>
    </row>
    <row r="44" spans="1:8" ht="15.75">
      <c r="A44" s="126">
        <v>23</v>
      </c>
      <c r="B44" s="54" t="s">
        <v>130</v>
      </c>
      <c r="C44" s="241">
        <v>73951.170000000013</v>
      </c>
      <c r="D44" s="241">
        <v>0</v>
      </c>
      <c r="E44" s="231">
        <f t="shared" si="0"/>
        <v>73951.170000000013</v>
      </c>
      <c r="F44" s="241">
        <v>473358.31</v>
      </c>
      <c r="G44" s="241">
        <v>0</v>
      </c>
      <c r="H44" s="242">
        <f t="shared" si="1"/>
        <v>473358.31</v>
      </c>
    </row>
    <row r="45" spans="1:8" ht="15.75">
      <c r="A45" s="126">
        <v>24</v>
      </c>
      <c r="B45" s="57" t="s">
        <v>131</v>
      </c>
      <c r="C45" s="243">
        <f>C34+C37+C38+C39+C40+C41+C42+C43+C44</f>
        <v>14653244.609999964</v>
      </c>
      <c r="D45" s="243">
        <f>D34+D37+D38+D39+D40+D41+D42+D43+D44</f>
        <v>-225011.08999999991</v>
      </c>
      <c r="E45" s="231">
        <f t="shared" si="0"/>
        <v>14428233.519999964</v>
      </c>
      <c r="F45" s="243">
        <f>F34+F37+F38+F39+F40+F41+F42+F43+F44</f>
        <v>11220052.399999905</v>
      </c>
      <c r="G45" s="243">
        <f>G34+G37+G38+G39+G40+G41+G42+G43+G44</f>
        <v>-77606.149999999907</v>
      </c>
      <c r="H45" s="242">
        <f t="shared" si="1"/>
        <v>11142446.249999905</v>
      </c>
    </row>
    <row r="46" spans="1:8">
      <c r="A46" s="126"/>
      <c r="B46" s="52" t="s">
        <v>132</v>
      </c>
      <c r="C46" s="241"/>
      <c r="D46" s="241"/>
      <c r="E46" s="241"/>
      <c r="F46" s="241"/>
      <c r="G46" s="241"/>
      <c r="H46" s="248"/>
    </row>
    <row r="47" spans="1:8" ht="15.75">
      <c r="A47" s="126">
        <v>25</v>
      </c>
      <c r="B47" s="54" t="s">
        <v>133</v>
      </c>
      <c r="C47" s="241">
        <v>608362.43999999994</v>
      </c>
      <c r="D47" s="241">
        <v>54191.56</v>
      </c>
      <c r="E47" s="231">
        <f t="shared" si="0"/>
        <v>662554</v>
      </c>
      <c r="F47" s="241">
        <v>-264545.42999999988</v>
      </c>
      <c r="G47" s="241">
        <v>-19175.55</v>
      </c>
      <c r="H47" s="242">
        <f t="shared" si="1"/>
        <v>-283720.97999999986</v>
      </c>
    </row>
    <row r="48" spans="1:8" ht="15.75">
      <c r="A48" s="126">
        <v>26</v>
      </c>
      <c r="B48" s="54" t="s">
        <v>134</v>
      </c>
      <c r="C48" s="241">
        <v>1268143.1599999999</v>
      </c>
      <c r="D48" s="241">
        <v>69154.7</v>
      </c>
      <c r="E48" s="231">
        <f t="shared" si="0"/>
        <v>1337297.8599999999</v>
      </c>
      <c r="F48" s="241">
        <v>1622860.06</v>
      </c>
      <c r="G48" s="241">
        <v>14280.15</v>
      </c>
      <c r="H48" s="242">
        <f t="shared" si="1"/>
        <v>1637140.21</v>
      </c>
    </row>
    <row r="49" spans="1:9" ht="15.75">
      <c r="A49" s="126">
        <v>27</v>
      </c>
      <c r="B49" s="54" t="s">
        <v>135</v>
      </c>
      <c r="C49" s="241">
        <v>20009302.169999998</v>
      </c>
      <c r="D49" s="241"/>
      <c r="E49" s="231">
        <f t="shared" si="0"/>
        <v>20009302.169999998</v>
      </c>
      <c r="F49" s="241">
        <v>17551240.600000001</v>
      </c>
      <c r="G49" s="241"/>
      <c r="H49" s="242">
        <f t="shared" si="1"/>
        <v>17551240.600000001</v>
      </c>
    </row>
    <row r="50" spans="1:9" ht="15.75">
      <c r="A50" s="126">
        <v>28</v>
      </c>
      <c r="B50" s="54" t="s">
        <v>271</v>
      </c>
      <c r="C50" s="241">
        <v>225795.16999999998</v>
      </c>
      <c r="D50" s="241"/>
      <c r="E50" s="231">
        <f t="shared" si="0"/>
        <v>225795.16999999998</v>
      </c>
      <c r="F50" s="241">
        <v>169760.12</v>
      </c>
      <c r="G50" s="241"/>
      <c r="H50" s="242">
        <f t="shared" si="1"/>
        <v>169760.12</v>
      </c>
    </row>
    <row r="51" spans="1:9" ht="15.75">
      <c r="A51" s="126">
        <v>29</v>
      </c>
      <c r="B51" s="54" t="s">
        <v>136</v>
      </c>
      <c r="C51" s="241">
        <v>2811771.2</v>
      </c>
      <c r="D51" s="241"/>
      <c r="E51" s="231">
        <f t="shared" si="0"/>
        <v>2811771.2</v>
      </c>
      <c r="F51" s="241">
        <v>3546059.76</v>
      </c>
      <c r="G51" s="241"/>
      <c r="H51" s="242">
        <f t="shared" si="1"/>
        <v>3546059.76</v>
      </c>
    </row>
    <row r="52" spans="1:9" ht="15.75">
      <c r="A52" s="126">
        <v>30</v>
      </c>
      <c r="B52" s="54" t="s">
        <v>137</v>
      </c>
      <c r="C52" s="241">
        <v>3724020.01</v>
      </c>
      <c r="D52" s="241">
        <v>90592.68</v>
      </c>
      <c r="E52" s="231">
        <f t="shared" si="0"/>
        <v>3814612.69</v>
      </c>
      <c r="F52" s="241">
        <v>4950594.95</v>
      </c>
      <c r="G52" s="241">
        <v>13233.210000000001</v>
      </c>
      <c r="H52" s="242">
        <f t="shared" si="1"/>
        <v>4963828.16</v>
      </c>
    </row>
    <row r="53" spans="1:9" ht="15.75">
      <c r="A53" s="126">
        <v>31</v>
      </c>
      <c r="B53" s="57" t="s">
        <v>138</v>
      </c>
      <c r="C53" s="243">
        <f>C47+C48+C49+C50+C51+C52</f>
        <v>28647394.149999999</v>
      </c>
      <c r="D53" s="243">
        <f>D47+D48+D49+D50+D51+D52</f>
        <v>213938.94</v>
      </c>
      <c r="E53" s="231">
        <f t="shared" si="0"/>
        <v>28861333.09</v>
      </c>
      <c r="F53" s="243">
        <f>F47+F48+F49+F50+F51+F52</f>
        <v>27575970.059999999</v>
      </c>
      <c r="G53" s="243">
        <f>G47+G48+G49+G50+G51+G52</f>
        <v>8337.8100000000013</v>
      </c>
      <c r="H53" s="242">
        <f t="shared" si="1"/>
        <v>27584307.869999997</v>
      </c>
    </row>
    <row r="54" spans="1:9" ht="15.75">
      <c r="A54" s="126">
        <v>32</v>
      </c>
      <c r="B54" s="57" t="s">
        <v>139</v>
      </c>
      <c r="C54" s="243">
        <f>C45-C53</f>
        <v>-13994149.540000034</v>
      </c>
      <c r="D54" s="243">
        <f>D45-D53</f>
        <v>-438950.02999999991</v>
      </c>
      <c r="E54" s="231">
        <f t="shared" si="0"/>
        <v>-14433099.570000034</v>
      </c>
      <c r="F54" s="243">
        <f>F45-F53</f>
        <v>-16355917.660000093</v>
      </c>
      <c r="G54" s="243">
        <f>G45-G53</f>
        <v>-85943.959999999905</v>
      </c>
      <c r="H54" s="242">
        <f t="shared" si="1"/>
        <v>-16441861.620000092</v>
      </c>
    </row>
    <row r="55" spans="1:9">
      <c r="A55" s="126"/>
      <c r="B55" s="52"/>
      <c r="C55" s="245"/>
      <c r="D55" s="245"/>
      <c r="E55" s="245"/>
      <c r="F55" s="245"/>
      <c r="G55" s="245"/>
      <c r="H55" s="246"/>
    </row>
    <row r="56" spans="1:9" ht="15.75">
      <c r="A56" s="126">
        <v>33</v>
      </c>
      <c r="B56" s="57" t="s">
        <v>140</v>
      </c>
      <c r="C56" s="243">
        <f>C31+C54</f>
        <v>16084321.889999965</v>
      </c>
      <c r="D56" s="243">
        <f>D31+D54</f>
        <v>-1540583.5899999999</v>
      </c>
      <c r="E56" s="231">
        <f t="shared" si="0"/>
        <v>14543738.299999965</v>
      </c>
      <c r="F56" s="243">
        <f>F31+F54</f>
        <v>4996051.0199999139</v>
      </c>
      <c r="G56" s="243">
        <f>G31+G54</f>
        <v>-297260.44999999966</v>
      </c>
      <c r="H56" s="242">
        <f t="shared" si="1"/>
        <v>4698790.5699999146</v>
      </c>
    </row>
    <row r="57" spans="1:9">
      <c r="A57" s="126"/>
      <c r="B57" s="52"/>
      <c r="C57" s="245"/>
      <c r="D57" s="245"/>
      <c r="E57" s="245"/>
      <c r="F57" s="245"/>
      <c r="G57" s="245"/>
      <c r="H57" s="246"/>
    </row>
    <row r="58" spans="1:9" ht="15.75">
      <c r="A58" s="126">
        <v>34</v>
      </c>
      <c r="B58" s="54" t="s">
        <v>141</v>
      </c>
      <c r="C58" s="241">
        <v>5465429.5499999998</v>
      </c>
      <c r="D58" s="241"/>
      <c r="E58" s="231">
        <f t="shared" si="0"/>
        <v>5465429.5499999998</v>
      </c>
      <c r="F58" s="241">
        <v>11244782.449999999</v>
      </c>
      <c r="G58" s="241"/>
      <c r="H58" s="242">
        <f t="shared" si="1"/>
        <v>11244782.449999999</v>
      </c>
    </row>
    <row r="59" spans="1:9" s="204" customFormat="1" ht="15.75">
      <c r="A59" s="126">
        <v>35</v>
      </c>
      <c r="B59" s="51" t="s">
        <v>142</v>
      </c>
      <c r="C59" s="249"/>
      <c r="D59" s="249"/>
      <c r="E59" s="250">
        <f t="shared" si="0"/>
        <v>0</v>
      </c>
      <c r="F59" s="251"/>
      <c r="G59" s="251"/>
      <c r="H59" s="252">
        <f t="shared" si="1"/>
        <v>0</v>
      </c>
      <c r="I59" s="203"/>
    </row>
    <row r="60" spans="1:9" ht="15.75">
      <c r="A60" s="126">
        <v>36</v>
      </c>
      <c r="B60" s="54" t="s">
        <v>143</v>
      </c>
      <c r="C60" s="241">
        <v>216713.4</v>
      </c>
      <c r="D60" s="241"/>
      <c r="E60" s="231">
        <f t="shared" si="0"/>
        <v>216713.4</v>
      </c>
      <c r="F60" s="241">
        <v>328482.77</v>
      </c>
      <c r="G60" s="241"/>
      <c r="H60" s="242">
        <f t="shared" si="1"/>
        <v>328482.77</v>
      </c>
    </row>
    <row r="61" spans="1:9" ht="15.75">
      <c r="A61" s="126">
        <v>37</v>
      </c>
      <c r="B61" s="57" t="s">
        <v>144</v>
      </c>
      <c r="C61" s="243">
        <f>C58+C59+C60</f>
        <v>5682142.9500000002</v>
      </c>
      <c r="D61" s="243">
        <f>D58+D59+D60</f>
        <v>0</v>
      </c>
      <c r="E61" s="231">
        <f t="shared" si="0"/>
        <v>5682142.9500000002</v>
      </c>
      <c r="F61" s="243">
        <f>F58+F59+F60</f>
        <v>11573265.219999999</v>
      </c>
      <c r="G61" s="243">
        <f>G58+G59+G60</f>
        <v>0</v>
      </c>
      <c r="H61" s="242">
        <f t="shared" si="1"/>
        <v>11573265.219999999</v>
      </c>
    </row>
    <row r="62" spans="1:9">
      <c r="A62" s="126"/>
      <c r="B62" s="58"/>
      <c r="C62" s="241"/>
      <c r="D62" s="241"/>
      <c r="E62" s="241"/>
      <c r="F62" s="241"/>
      <c r="G62" s="241"/>
      <c r="H62" s="248"/>
    </row>
    <row r="63" spans="1:9" ht="15.75">
      <c r="A63" s="126">
        <v>38</v>
      </c>
      <c r="B63" s="59" t="s">
        <v>272</v>
      </c>
      <c r="C63" s="243">
        <f>C56-C61</f>
        <v>10402178.939999964</v>
      </c>
      <c r="D63" s="243">
        <f>D56-D61</f>
        <v>-1540583.5899999999</v>
      </c>
      <c r="E63" s="231">
        <f t="shared" si="0"/>
        <v>8861595.3499999642</v>
      </c>
      <c r="F63" s="243">
        <f>F56-F61</f>
        <v>-6577214.2000000849</v>
      </c>
      <c r="G63" s="243">
        <f>G56-G61</f>
        <v>-297260.44999999966</v>
      </c>
      <c r="H63" s="242">
        <f t="shared" si="1"/>
        <v>-6874474.6500000842</v>
      </c>
    </row>
    <row r="64" spans="1:9" ht="15.75">
      <c r="A64" s="124">
        <v>39</v>
      </c>
      <c r="B64" s="54" t="s">
        <v>145</v>
      </c>
      <c r="C64" s="253">
        <v>1328970.7899999998</v>
      </c>
      <c r="D64" s="253"/>
      <c r="E64" s="231">
        <f t="shared" si="0"/>
        <v>1328970.7899999998</v>
      </c>
      <c r="F64" s="253">
        <v>-64003.34</v>
      </c>
      <c r="G64" s="253"/>
      <c r="H64" s="242">
        <f t="shared" si="1"/>
        <v>-64003.34</v>
      </c>
    </row>
    <row r="65" spans="1:8" ht="15.75">
      <c r="A65" s="126">
        <v>40</v>
      </c>
      <c r="B65" s="57" t="s">
        <v>146</v>
      </c>
      <c r="C65" s="243">
        <f>C63-C64</f>
        <v>9073208.149999965</v>
      </c>
      <c r="D65" s="243">
        <f>D63-D64</f>
        <v>-1540583.5899999999</v>
      </c>
      <c r="E65" s="231">
        <f t="shared" si="0"/>
        <v>7532624.5599999651</v>
      </c>
      <c r="F65" s="243">
        <f>F63-F64</f>
        <v>-6513210.8600000851</v>
      </c>
      <c r="G65" s="243">
        <f>G63-G64</f>
        <v>-297260.44999999966</v>
      </c>
      <c r="H65" s="242">
        <f t="shared" si="1"/>
        <v>-6810471.3100000843</v>
      </c>
    </row>
    <row r="66" spans="1:8" ht="15.75">
      <c r="A66" s="124">
        <v>41</v>
      </c>
      <c r="B66" s="54" t="s">
        <v>147</v>
      </c>
      <c r="C66" s="253">
        <v>-1790.12</v>
      </c>
      <c r="D66" s="253"/>
      <c r="E66" s="231">
        <f t="shared" si="0"/>
        <v>-1790.12</v>
      </c>
      <c r="F66" s="253">
        <v>-25200</v>
      </c>
      <c r="G66" s="253"/>
      <c r="H66" s="242">
        <f t="shared" si="1"/>
        <v>-25200</v>
      </c>
    </row>
    <row r="67" spans="1:8" ht="16.5" thickBot="1">
      <c r="A67" s="128">
        <v>42</v>
      </c>
      <c r="B67" s="129" t="s">
        <v>148</v>
      </c>
      <c r="C67" s="254">
        <f>C65+C66</f>
        <v>9071418.0299999658</v>
      </c>
      <c r="D67" s="254">
        <f>D65+D66</f>
        <v>-1540583.5899999999</v>
      </c>
      <c r="E67" s="239">
        <f t="shared" si="0"/>
        <v>7530834.439999966</v>
      </c>
      <c r="F67" s="254">
        <f>F65+F66</f>
        <v>-6538410.8600000851</v>
      </c>
      <c r="G67" s="254">
        <f>G65+G66</f>
        <v>-297260.44999999966</v>
      </c>
      <c r="H67" s="255">
        <f t="shared" si="1"/>
        <v>-6835671.3100000843</v>
      </c>
    </row>
  </sheetData>
  <mergeCells count="2">
    <mergeCell ref="C5:E5"/>
    <mergeCell ref="F5:H5"/>
  </mergeCells>
  <pageMargins left="0.7" right="0.7" top="0.75" bottom="0.75" header="0.3" footer="0.3"/>
  <pageSetup paperSize="9" orientation="portrait" r:id="rId1"/>
  <ignoredErrors>
    <ignoredError sqref="C9:D9 F9:G9" formulaRange="1"/>
    <ignoredError sqref="E9" formula="1" formulaRange="1"/>
    <ignoredError sqref="E53:E56 E61:E67 E45 E34 E30:E3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53"/>
  <sheetViews>
    <sheetView topLeftCell="A14" zoomScaleNormal="100" workbookViewId="0">
      <selection activeCell="F22" sqref="F22:G53"/>
    </sheetView>
  </sheetViews>
  <sheetFormatPr defaultRowHeight="15"/>
  <cols>
    <col min="1" max="1" width="9.5703125" bestFit="1" customWidth="1"/>
    <col min="2" max="2" width="72.28515625" customWidth="1"/>
    <col min="3" max="8" width="12.7109375" customWidth="1"/>
    <col min="9" max="9" width="13.28515625" bestFit="1" customWidth="1"/>
    <col min="10" max="11" width="10.5703125" bestFit="1" customWidth="1"/>
  </cols>
  <sheetData>
    <row r="1" spans="1:8">
      <c r="A1" s="2" t="s">
        <v>188</v>
      </c>
      <c r="B1" t="str">
        <f>Info!C2</f>
        <v>სს "კრედობანკი"</v>
      </c>
    </row>
    <row r="2" spans="1:8">
      <c r="A2" s="2" t="s">
        <v>189</v>
      </c>
      <c r="B2" s="474">
        <f>'1. key ratios'!B2</f>
        <v>44286</v>
      </c>
    </row>
    <row r="3" spans="1:8">
      <c r="A3" s="2"/>
    </row>
    <row r="4" spans="1:8" ht="16.5" thickBot="1">
      <c r="A4" s="2" t="s">
        <v>331</v>
      </c>
      <c r="B4" s="2"/>
      <c r="C4" s="213"/>
      <c r="D4" s="213"/>
      <c r="E4" s="213"/>
      <c r="F4" s="214"/>
      <c r="G4" s="214"/>
      <c r="H4" s="215" t="s">
        <v>93</v>
      </c>
    </row>
    <row r="5" spans="1:8" ht="15.75">
      <c r="A5" s="544" t="s">
        <v>26</v>
      </c>
      <c r="B5" s="546" t="s">
        <v>245</v>
      </c>
      <c r="C5" s="548" t="s">
        <v>194</v>
      </c>
      <c r="D5" s="548"/>
      <c r="E5" s="548"/>
      <c r="F5" s="548" t="s">
        <v>195</v>
      </c>
      <c r="G5" s="548"/>
      <c r="H5" s="549"/>
    </row>
    <row r="6" spans="1:8">
      <c r="A6" s="545"/>
      <c r="B6" s="547"/>
      <c r="C6" s="39" t="s">
        <v>27</v>
      </c>
      <c r="D6" s="39" t="s">
        <v>94</v>
      </c>
      <c r="E6" s="39" t="s">
        <v>68</v>
      </c>
      <c r="F6" s="39" t="s">
        <v>27</v>
      </c>
      <c r="G6" s="39" t="s">
        <v>94</v>
      </c>
      <c r="H6" s="40" t="s">
        <v>68</v>
      </c>
    </row>
    <row r="7" spans="1:8" s="3" customFormat="1" ht="15.75">
      <c r="A7" s="216">
        <v>1</v>
      </c>
      <c r="B7" s="217" t="s">
        <v>366</v>
      </c>
      <c r="C7" s="233"/>
      <c r="D7" s="233"/>
      <c r="E7" s="256">
        <f>C7+D7</f>
        <v>0</v>
      </c>
      <c r="F7" s="233"/>
      <c r="G7" s="233"/>
      <c r="H7" s="234">
        <f t="shared" ref="H7:H53" si="0">F7+G7</f>
        <v>0</v>
      </c>
    </row>
    <row r="8" spans="1:8" s="3" customFormat="1" ht="15.75">
      <c r="A8" s="216">
        <v>1.1000000000000001</v>
      </c>
      <c r="B8" s="218" t="s">
        <v>276</v>
      </c>
      <c r="C8" s="233">
        <v>35000</v>
      </c>
      <c r="D8" s="233"/>
      <c r="E8" s="256">
        <f t="shared" ref="E8:E53" si="1">C8+D8</f>
        <v>35000</v>
      </c>
      <c r="F8" s="233"/>
      <c r="G8" s="233"/>
      <c r="H8" s="234">
        <f t="shared" si="0"/>
        <v>0</v>
      </c>
    </row>
    <row r="9" spans="1:8" s="3" customFormat="1" ht="15.75">
      <c r="A9" s="216">
        <v>1.2</v>
      </c>
      <c r="B9" s="218" t="s">
        <v>277</v>
      </c>
      <c r="C9" s="233"/>
      <c r="D9" s="233"/>
      <c r="E9" s="256">
        <f t="shared" si="1"/>
        <v>0</v>
      </c>
      <c r="F9" s="233"/>
      <c r="G9" s="233"/>
      <c r="H9" s="234">
        <f t="shared" si="0"/>
        <v>0</v>
      </c>
    </row>
    <row r="10" spans="1:8" s="3" customFormat="1" ht="15.75">
      <c r="A10" s="216">
        <v>1.3</v>
      </c>
      <c r="B10" s="218" t="s">
        <v>278</v>
      </c>
      <c r="C10" s="233">
        <v>3828982.69</v>
      </c>
      <c r="D10" s="233">
        <v>2180065.2200000002</v>
      </c>
      <c r="E10" s="256">
        <f t="shared" si="1"/>
        <v>6009047.9100000001</v>
      </c>
      <c r="F10" s="233">
        <v>2118389.87</v>
      </c>
      <c r="G10" s="233">
        <v>2501903.5499999998</v>
      </c>
      <c r="H10" s="234">
        <f t="shared" si="0"/>
        <v>4620293.42</v>
      </c>
    </row>
    <row r="11" spans="1:8" s="3" customFormat="1" ht="15.75">
      <c r="A11" s="216">
        <v>1.4</v>
      </c>
      <c r="B11" s="218" t="s">
        <v>279</v>
      </c>
      <c r="C11" s="233">
        <v>25617569.460000001</v>
      </c>
      <c r="D11" s="233"/>
      <c r="E11" s="256">
        <f t="shared" si="1"/>
        <v>25617569.460000001</v>
      </c>
      <c r="F11" s="233">
        <v>43996727.939999998</v>
      </c>
      <c r="G11" s="233"/>
      <c r="H11" s="234">
        <f t="shared" si="0"/>
        <v>43996727.939999998</v>
      </c>
    </row>
    <row r="12" spans="1:8" s="3" customFormat="1" ht="29.25" customHeight="1">
      <c r="A12" s="216">
        <v>2</v>
      </c>
      <c r="B12" s="217" t="s">
        <v>280</v>
      </c>
      <c r="C12" s="233"/>
      <c r="D12" s="233"/>
      <c r="E12" s="256">
        <f t="shared" si="1"/>
        <v>0</v>
      </c>
      <c r="F12" s="233"/>
      <c r="G12" s="233"/>
      <c r="H12" s="234">
        <f t="shared" si="0"/>
        <v>0</v>
      </c>
    </row>
    <row r="13" spans="1:8" s="3" customFormat="1" ht="25.5">
      <c r="A13" s="216">
        <v>3</v>
      </c>
      <c r="B13" s="217" t="s">
        <v>281</v>
      </c>
      <c r="C13" s="233"/>
      <c r="D13" s="233"/>
      <c r="E13" s="256">
        <f t="shared" si="1"/>
        <v>0</v>
      </c>
      <c r="F13" s="233"/>
      <c r="G13" s="233"/>
      <c r="H13" s="234">
        <f t="shared" si="0"/>
        <v>0</v>
      </c>
    </row>
    <row r="14" spans="1:8" s="3" customFormat="1" ht="15.75">
      <c r="A14" s="216">
        <v>3.1</v>
      </c>
      <c r="B14" s="218" t="s">
        <v>282</v>
      </c>
      <c r="C14" s="233"/>
      <c r="D14" s="233"/>
      <c r="E14" s="256">
        <f t="shared" si="1"/>
        <v>0</v>
      </c>
      <c r="F14" s="233"/>
      <c r="G14" s="233"/>
      <c r="H14" s="234">
        <f t="shared" si="0"/>
        <v>0</v>
      </c>
    </row>
    <row r="15" spans="1:8" s="3" customFormat="1" ht="15.75">
      <c r="A15" s="216">
        <v>3.2</v>
      </c>
      <c r="B15" s="218" t="s">
        <v>283</v>
      </c>
      <c r="C15" s="233"/>
      <c r="D15" s="233"/>
      <c r="E15" s="256">
        <f t="shared" si="1"/>
        <v>0</v>
      </c>
      <c r="F15" s="233"/>
      <c r="G15" s="233"/>
      <c r="H15" s="234">
        <f t="shared" si="0"/>
        <v>0</v>
      </c>
    </row>
    <row r="16" spans="1:8" s="3" customFormat="1" ht="15.75">
      <c r="A16" s="216">
        <v>4</v>
      </c>
      <c r="B16" s="217" t="s">
        <v>284</v>
      </c>
      <c r="C16" s="233"/>
      <c r="D16" s="233"/>
      <c r="E16" s="256">
        <f t="shared" si="1"/>
        <v>0</v>
      </c>
      <c r="F16" s="233"/>
      <c r="G16" s="233"/>
      <c r="H16" s="234">
        <f t="shared" si="0"/>
        <v>0</v>
      </c>
    </row>
    <row r="17" spans="1:8" s="3" customFormat="1" ht="15.75">
      <c r="A17" s="216">
        <v>4.0999999999999996</v>
      </c>
      <c r="B17" s="218" t="s">
        <v>285</v>
      </c>
      <c r="C17" s="233">
        <v>4784539.71</v>
      </c>
      <c r="D17" s="233"/>
      <c r="E17" s="256">
        <f t="shared" si="1"/>
        <v>4784539.71</v>
      </c>
      <c r="F17" s="233">
        <v>7936723.0499999998</v>
      </c>
      <c r="G17" s="233"/>
      <c r="H17" s="234">
        <f t="shared" si="0"/>
        <v>7936723.0499999998</v>
      </c>
    </row>
    <row r="18" spans="1:8" s="3" customFormat="1" ht="15.75">
      <c r="A18" s="216">
        <v>4.2</v>
      </c>
      <c r="B18" s="218" t="s">
        <v>286</v>
      </c>
      <c r="C18" s="233">
        <v>266105</v>
      </c>
      <c r="D18" s="233"/>
      <c r="E18" s="256">
        <f t="shared" si="1"/>
        <v>266105</v>
      </c>
      <c r="F18" s="233"/>
      <c r="G18" s="233"/>
      <c r="H18" s="234">
        <f t="shared" si="0"/>
        <v>0</v>
      </c>
    </row>
    <row r="19" spans="1:8" s="3" customFormat="1" ht="25.5">
      <c r="A19" s="216">
        <v>5</v>
      </c>
      <c r="B19" s="217" t="s">
        <v>287</v>
      </c>
      <c r="C19" s="233"/>
      <c r="D19" s="233"/>
      <c r="E19" s="256">
        <f t="shared" si="1"/>
        <v>0</v>
      </c>
      <c r="F19" s="233"/>
      <c r="G19" s="233"/>
      <c r="H19" s="234">
        <f t="shared" si="0"/>
        <v>0</v>
      </c>
    </row>
    <row r="20" spans="1:8" s="3" customFormat="1" ht="15.75">
      <c r="A20" s="216">
        <v>5.0999999999999996</v>
      </c>
      <c r="B20" s="218" t="s">
        <v>288</v>
      </c>
      <c r="C20" s="233"/>
      <c r="D20" s="233"/>
      <c r="E20" s="256">
        <f t="shared" si="1"/>
        <v>0</v>
      </c>
      <c r="F20" s="233"/>
      <c r="G20" s="233"/>
      <c r="H20" s="234">
        <f t="shared" si="0"/>
        <v>0</v>
      </c>
    </row>
    <row r="21" spans="1:8" s="3" customFormat="1" ht="15.75">
      <c r="A21" s="216">
        <v>5.2</v>
      </c>
      <c r="B21" s="218" t="s">
        <v>289</v>
      </c>
      <c r="C21" s="233">
        <v>102956.27</v>
      </c>
      <c r="D21" s="233"/>
      <c r="E21" s="256">
        <f t="shared" si="1"/>
        <v>102956.27</v>
      </c>
      <c r="F21" s="233">
        <v>87385.77</v>
      </c>
      <c r="G21" s="233"/>
      <c r="H21" s="234">
        <f t="shared" si="0"/>
        <v>87385.77</v>
      </c>
    </row>
    <row r="22" spans="1:8" s="3" customFormat="1" ht="15.75">
      <c r="A22" s="216">
        <v>5.3</v>
      </c>
      <c r="B22" s="218" t="s">
        <v>290</v>
      </c>
      <c r="C22" s="493">
        <f>SUM(C23:C27)</f>
        <v>725152360.71000004</v>
      </c>
      <c r="D22" s="233"/>
      <c r="E22" s="256">
        <f t="shared" si="1"/>
        <v>725152360.71000004</v>
      </c>
      <c r="F22" s="493">
        <f>SUM(F23:F27)</f>
        <v>587580458.37</v>
      </c>
      <c r="G22" s="233"/>
      <c r="H22" s="234">
        <f t="shared" si="0"/>
        <v>587580458.37</v>
      </c>
    </row>
    <row r="23" spans="1:8" s="3" customFormat="1" ht="15.75">
      <c r="A23" s="216" t="s">
        <v>291</v>
      </c>
      <c r="B23" s="219" t="s">
        <v>292</v>
      </c>
      <c r="C23" s="233">
        <v>501413624.35000002</v>
      </c>
      <c r="D23" s="233"/>
      <c r="E23" s="256">
        <f t="shared" si="1"/>
        <v>501413624.35000002</v>
      </c>
      <c r="F23" s="233">
        <v>413475210.13999999</v>
      </c>
      <c r="G23" s="233"/>
      <c r="H23" s="234">
        <f t="shared" si="0"/>
        <v>413475210.13999999</v>
      </c>
    </row>
    <row r="24" spans="1:8" s="3" customFormat="1" ht="15.75">
      <c r="A24" s="216" t="s">
        <v>293</v>
      </c>
      <c r="B24" s="219" t="s">
        <v>294</v>
      </c>
      <c r="C24" s="233">
        <v>123091973.13</v>
      </c>
      <c r="D24" s="233"/>
      <c r="E24" s="256">
        <f t="shared" si="1"/>
        <v>123091973.13</v>
      </c>
      <c r="F24" s="233">
        <v>94198292.170000002</v>
      </c>
      <c r="G24" s="233"/>
      <c r="H24" s="234">
        <f t="shared" si="0"/>
        <v>94198292.170000002</v>
      </c>
    </row>
    <row r="25" spans="1:8" s="3" customFormat="1" ht="15.75">
      <c r="A25" s="216" t="s">
        <v>295</v>
      </c>
      <c r="B25" s="220" t="s">
        <v>296</v>
      </c>
      <c r="C25" s="233"/>
      <c r="D25" s="233"/>
      <c r="E25" s="256">
        <f t="shared" si="1"/>
        <v>0</v>
      </c>
      <c r="F25" s="233">
        <v>0</v>
      </c>
      <c r="G25" s="233"/>
      <c r="H25" s="234">
        <f t="shared" si="0"/>
        <v>0</v>
      </c>
    </row>
    <row r="26" spans="1:8" s="3" customFormat="1" ht="15.75">
      <c r="A26" s="216" t="s">
        <v>297</v>
      </c>
      <c r="B26" s="219" t="s">
        <v>298</v>
      </c>
      <c r="C26" s="233">
        <v>93050697.579999998</v>
      </c>
      <c r="D26" s="233"/>
      <c r="E26" s="256">
        <f t="shared" si="1"/>
        <v>93050697.579999998</v>
      </c>
      <c r="F26" s="233">
        <v>79036563.560000002</v>
      </c>
      <c r="G26" s="233"/>
      <c r="H26" s="234">
        <f t="shared" si="0"/>
        <v>79036563.560000002</v>
      </c>
    </row>
    <row r="27" spans="1:8" s="3" customFormat="1" ht="15.75">
      <c r="A27" s="216" t="s">
        <v>299</v>
      </c>
      <c r="B27" s="219" t="s">
        <v>300</v>
      </c>
      <c r="C27" s="233">
        <v>7596065.6500000004</v>
      </c>
      <c r="D27" s="233"/>
      <c r="E27" s="256">
        <f t="shared" si="1"/>
        <v>7596065.6500000004</v>
      </c>
      <c r="F27" s="233">
        <v>870392.5</v>
      </c>
      <c r="G27" s="233"/>
      <c r="H27" s="234">
        <f t="shared" si="0"/>
        <v>870392.5</v>
      </c>
    </row>
    <row r="28" spans="1:8" s="3" customFormat="1" ht="15.75">
      <c r="A28" s="216">
        <v>5.4</v>
      </c>
      <c r="B28" s="218" t="s">
        <v>301</v>
      </c>
      <c r="C28" s="233">
        <v>14414406.779999999</v>
      </c>
      <c r="D28" s="233"/>
      <c r="E28" s="256">
        <f t="shared" si="1"/>
        <v>14414406.779999999</v>
      </c>
      <c r="F28" s="233">
        <v>10165958.619999999</v>
      </c>
      <c r="G28" s="233"/>
      <c r="H28" s="234">
        <f t="shared" si="0"/>
        <v>10165958.619999999</v>
      </c>
    </row>
    <row r="29" spans="1:8" s="3" customFormat="1" ht="15.75">
      <c r="A29" s="216">
        <v>5.5</v>
      </c>
      <c r="B29" s="218" t="s">
        <v>302</v>
      </c>
      <c r="C29" s="233"/>
      <c r="D29" s="233"/>
      <c r="E29" s="256">
        <f t="shared" si="1"/>
        <v>0</v>
      </c>
      <c r="F29" s="233"/>
      <c r="G29" s="233"/>
      <c r="H29" s="234">
        <f t="shared" si="0"/>
        <v>0</v>
      </c>
    </row>
    <row r="30" spans="1:8" s="3" customFormat="1" ht="15.75">
      <c r="A30" s="216">
        <v>5.6</v>
      </c>
      <c r="B30" s="218" t="s">
        <v>303</v>
      </c>
      <c r="C30" s="233"/>
      <c r="D30" s="233"/>
      <c r="E30" s="256">
        <f t="shared" si="1"/>
        <v>0</v>
      </c>
      <c r="F30" s="233"/>
      <c r="G30" s="233"/>
      <c r="H30" s="234">
        <f t="shared" si="0"/>
        <v>0</v>
      </c>
    </row>
    <row r="31" spans="1:8" s="3" customFormat="1" ht="15.75">
      <c r="A31" s="216">
        <v>5.7</v>
      </c>
      <c r="B31" s="218" t="s">
        <v>304</v>
      </c>
      <c r="C31" s="233"/>
      <c r="D31" s="233"/>
      <c r="E31" s="256">
        <f t="shared" si="1"/>
        <v>0</v>
      </c>
      <c r="F31" s="233"/>
      <c r="G31" s="233"/>
      <c r="H31" s="234">
        <f t="shared" si="0"/>
        <v>0</v>
      </c>
    </row>
    <row r="32" spans="1:8" s="3" customFormat="1" ht="15.75">
      <c r="A32" s="216">
        <v>6</v>
      </c>
      <c r="B32" s="217" t="s">
        <v>305</v>
      </c>
      <c r="C32" s="233"/>
      <c r="D32" s="233"/>
      <c r="E32" s="256">
        <f t="shared" si="1"/>
        <v>0</v>
      </c>
      <c r="F32" s="233"/>
      <c r="G32" s="233"/>
      <c r="H32" s="234">
        <f t="shared" si="0"/>
        <v>0</v>
      </c>
    </row>
    <row r="33" spans="1:11" s="3" customFormat="1" ht="25.5">
      <c r="A33" s="216">
        <v>6.1</v>
      </c>
      <c r="B33" s="218" t="s">
        <v>367</v>
      </c>
      <c r="C33" s="233">
        <v>78382670</v>
      </c>
      <c r="D33" s="233">
        <v>1370171.12</v>
      </c>
      <c r="E33" s="256">
        <f t="shared" si="1"/>
        <v>79752841.120000005</v>
      </c>
      <c r="F33" s="233"/>
      <c r="G33" s="233">
        <v>24633750</v>
      </c>
      <c r="H33" s="234">
        <f t="shared" si="0"/>
        <v>24633750</v>
      </c>
    </row>
    <row r="34" spans="1:11" s="3" customFormat="1" ht="25.5">
      <c r="A34" s="216">
        <v>6.2</v>
      </c>
      <c r="B34" s="218" t="s">
        <v>306</v>
      </c>
      <c r="C34" s="233"/>
      <c r="D34" s="233"/>
      <c r="E34" s="256">
        <f t="shared" si="1"/>
        <v>0</v>
      </c>
      <c r="F34" s="233">
        <v>19590810</v>
      </c>
      <c r="G34" s="233">
        <v>1313085.2</v>
      </c>
      <c r="H34" s="234">
        <f t="shared" si="0"/>
        <v>20903895.199999999</v>
      </c>
    </row>
    <row r="35" spans="1:11" s="3" customFormat="1" ht="25.5">
      <c r="A35" s="216">
        <v>6.3</v>
      </c>
      <c r="B35" s="218" t="s">
        <v>307</v>
      </c>
      <c r="C35" s="233"/>
      <c r="D35" s="233"/>
      <c r="E35" s="256">
        <f t="shared" si="1"/>
        <v>0</v>
      </c>
      <c r="F35" s="233"/>
      <c r="G35" s="233"/>
      <c r="H35" s="234">
        <f t="shared" si="0"/>
        <v>0</v>
      </c>
    </row>
    <row r="36" spans="1:11" s="3" customFormat="1" ht="15.75">
      <c r="A36" s="216">
        <v>6.4</v>
      </c>
      <c r="B36" s="218" t="s">
        <v>308</v>
      </c>
      <c r="C36" s="233"/>
      <c r="D36" s="233"/>
      <c r="E36" s="256">
        <f t="shared" si="1"/>
        <v>0</v>
      </c>
      <c r="F36" s="233"/>
      <c r="G36" s="233"/>
      <c r="H36" s="234">
        <f t="shared" si="0"/>
        <v>0</v>
      </c>
    </row>
    <row r="37" spans="1:11" s="3" customFormat="1" ht="15.75">
      <c r="A37" s="216">
        <v>6.5</v>
      </c>
      <c r="B37" s="218" t="s">
        <v>309</v>
      </c>
      <c r="C37" s="233"/>
      <c r="D37" s="233"/>
      <c r="E37" s="256">
        <f t="shared" si="1"/>
        <v>0</v>
      </c>
      <c r="F37" s="233"/>
      <c r="G37" s="233"/>
      <c r="H37" s="234">
        <f t="shared" si="0"/>
        <v>0</v>
      </c>
    </row>
    <row r="38" spans="1:11" s="3" customFormat="1" ht="25.5">
      <c r="A38" s="216">
        <v>6.6</v>
      </c>
      <c r="B38" s="218" t="s">
        <v>310</v>
      </c>
      <c r="C38" s="233"/>
      <c r="D38" s="233"/>
      <c r="E38" s="256">
        <f t="shared" si="1"/>
        <v>0</v>
      </c>
      <c r="F38" s="233"/>
      <c r="G38" s="233"/>
      <c r="H38" s="234">
        <f t="shared" si="0"/>
        <v>0</v>
      </c>
    </row>
    <row r="39" spans="1:11" s="3" customFormat="1" ht="25.5">
      <c r="A39" s="216">
        <v>6.7</v>
      </c>
      <c r="B39" s="218" t="s">
        <v>311</v>
      </c>
      <c r="C39" s="233"/>
      <c r="D39" s="233"/>
      <c r="E39" s="256">
        <f t="shared" si="1"/>
        <v>0</v>
      </c>
      <c r="F39" s="233"/>
      <c r="G39" s="233"/>
      <c r="H39" s="234">
        <f t="shared" si="0"/>
        <v>0</v>
      </c>
    </row>
    <row r="40" spans="1:11" s="3" customFormat="1" ht="15.75">
      <c r="A40" s="216">
        <v>7</v>
      </c>
      <c r="B40" s="217" t="s">
        <v>312</v>
      </c>
      <c r="C40" s="233"/>
      <c r="D40" s="233"/>
      <c r="E40" s="256">
        <f t="shared" si="1"/>
        <v>0</v>
      </c>
      <c r="F40" s="233"/>
      <c r="G40" s="233"/>
      <c r="H40" s="234">
        <f t="shared" si="0"/>
        <v>0</v>
      </c>
    </row>
    <row r="41" spans="1:11" s="3" customFormat="1" ht="25.5">
      <c r="A41" s="216">
        <v>7.1</v>
      </c>
      <c r="B41" s="218" t="s">
        <v>313</v>
      </c>
      <c r="C41" s="233">
        <v>5195131.33</v>
      </c>
      <c r="D41" s="233">
        <v>137935.39000000001</v>
      </c>
      <c r="E41" s="256">
        <f t="shared" si="1"/>
        <v>5333066.72</v>
      </c>
      <c r="F41" s="233">
        <v>2458649.2799999993</v>
      </c>
      <c r="G41" s="233">
        <v>117144.38579</v>
      </c>
      <c r="H41" s="234">
        <f t="shared" si="0"/>
        <v>2575793.6657899995</v>
      </c>
    </row>
    <row r="42" spans="1:11" s="3" customFormat="1" ht="25.5">
      <c r="A42" s="216">
        <v>7.2</v>
      </c>
      <c r="B42" s="218" t="s">
        <v>314</v>
      </c>
      <c r="C42" s="233">
        <v>3570464</v>
      </c>
      <c r="D42" s="233">
        <v>23486.805</v>
      </c>
      <c r="E42" s="256">
        <f t="shared" si="1"/>
        <v>3593950.8050000002</v>
      </c>
      <c r="F42" s="233">
        <v>6828777.1100000003</v>
      </c>
      <c r="G42" s="233">
        <v>327160.76767400006</v>
      </c>
      <c r="H42" s="234">
        <f t="shared" si="0"/>
        <v>7155937.8776740003</v>
      </c>
    </row>
    <row r="43" spans="1:11" s="3" customFormat="1" ht="25.5">
      <c r="A43" s="216">
        <v>7.3</v>
      </c>
      <c r="B43" s="218" t="s">
        <v>315</v>
      </c>
      <c r="C43" s="233">
        <v>29299439.550000019</v>
      </c>
      <c r="D43" s="233">
        <v>16791920.476498</v>
      </c>
      <c r="E43" s="256">
        <f t="shared" si="1"/>
        <v>46091360.02649802</v>
      </c>
      <c r="F43" s="233">
        <v>23349062.390000001</v>
      </c>
      <c r="G43" s="233">
        <v>16685551.67</v>
      </c>
      <c r="H43" s="234">
        <f t="shared" si="0"/>
        <v>40034614.060000002</v>
      </c>
    </row>
    <row r="44" spans="1:11" s="3" customFormat="1" ht="25.5">
      <c r="A44" s="216">
        <v>7.4</v>
      </c>
      <c r="B44" s="218" t="s">
        <v>316</v>
      </c>
      <c r="C44" s="233">
        <v>19694660.090000004</v>
      </c>
      <c r="D44" s="233">
        <v>7966544.7188909994</v>
      </c>
      <c r="E44" s="256">
        <f t="shared" si="1"/>
        <v>27661204.808891002</v>
      </c>
      <c r="F44" s="233">
        <v>16845049.710000001</v>
      </c>
      <c r="G44" s="233">
        <v>8636501.2100000009</v>
      </c>
      <c r="H44" s="234">
        <f t="shared" si="0"/>
        <v>25481550.920000002</v>
      </c>
    </row>
    <row r="45" spans="1:11" s="3" customFormat="1" ht="15.75">
      <c r="A45" s="216">
        <v>8</v>
      </c>
      <c r="B45" s="217" t="s">
        <v>317</v>
      </c>
      <c r="C45" s="233"/>
      <c r="D45" s="233"/>
      <c r="E45" s="256">
        <f t="shared" si="1"/>
        <v>0</v>
      </c>
      <c r="F45" s="233"/>
      <c r="G45" s="233"/>
      <c r="H45" s="234">
        <f t="shared" si="0"/>
        <v>0</v>
      </c>
    </row>
    <row r="46" spans="1:11" s="3" customFormat="1" ht="15.75">
      <c r="A46" s="216">
        <v>8.1</v>
      </c>
      <c r="B46" s="218" t="s">
        <v>318</v>
      </c>
      <c r="C46" s="233"/>
      <c r="D46" s="233"/>
      <c r="E46" s="256">
        <f t="shared" si="1"/>
        <v>0</v>
      </c>
      <c r="F46" s="233"/>
      <c r="G46" s="233"/>
      <c r="H46" s="234">
        <f t="shared" si="0"/>
        <v>0</v>
      </c>
    </row>
    <row r="47" spans="1:11" s="3" customFormat="1" ht="15.75">
      <c r="A47" s="216">
        <v>8.1999999999999993</v>
      </c>
      <c r="B47" s="218" t="s">
        <v>319</v>
      </c>
      <c r="C47" s="233"/>
      <c r="D47" s="233"/>
      <c r="E47" s="256">
        <f t="shared" si="1"/>
        <v>0</v>
      </c>
      <c r="F47" s="233"/>
      <c r="G47" s="233"/>
      <c r="H47" s="234">
        <f t="shared" si="0"/>
        <v>0</v>
      </c>
    </row>
    <row r="48" spans="1:11" s="3" customFormat="1" ht="15.75">
      <c r="A48" s="216">
        <v>8.3000000000000007</v>
      </c>
      <c r="B48" s="218" t="s">
        <v>320</v>
      </c>
      <c r="C48" s="233"/>
      <c r="D48" s="233"/>
      <c r="E48" s="256">
        <f t="shared" si="1"/>
        <v>0</v>
      </c>
      <c r="F48" s="233"/>
      <c r="G48" s="233"/>
      <c r="H48" s="234">
        <f t="shared" si="0"/>
        <v>0</v>
      </c>
      <c r="I48" s="530"/>
      <c r="J48" s="530"/>
      <c r="K48" s="530"/>
    </row>
    <row r="49" spans="1:8" s="3" customFormat="1" ht="15.75">
      <c r="A49" s="216">
        <v>8.4</v>
      </c>
      <c r="B49" s="218" t="s">
        <v>321</v>
      </c>
      <c r="C49" s="233"/>
      <c r="D49" s="233"/>
      <c r="E49" s="256">
        <f t="shared" si="1"/>
        <v>0</v>
      </c>
      <c r="F49" s="233"/>
      <c r="G49" s="233"/>
      <c r="H49" s="234">
        <f t="shared" si="0"/>
        <v>0</v>
      </c>
    </row>
    <row r="50" spans="1:8" s="3" customFormat="1" ht="15.75">
      <c r="A50" s="216">
        <v>8.5</v>
      </c>
      <c r="B50" s="218" t="s">
        <v>322</v>
      </c>
      <c r="C50" s="233"/>
      <c r="D50" s="233"/>
      <c r="E50" s="256">
        <f t="shared" si="1"/>
        <v>0</v>
      </c>
      <c r="F50" s="233"/>
      <c r="G50" s="233"/>
      <c r="H50" s="234">
        <f t="shared" si="0"/>
        <v>0</v>
      </c>
    </row>
    <row r="51" spans="1:8" s="3" customFormat="1" ht="15.75">
      <c r="A51" s="216">
        <v>8.6</v>
      </c>
      <c r="B51" s="218" t="s">
        <v>323</v>
      </c>
      <c r="C51" s="233"/>
      <c r="D51" s="233"/>
      <c r="E51" s="256">
        <f t="shared" si="1"/>
        <v>0</v>
      </c>
      <c r="F51" s="233"/>
      <c r="G51" s="233"/>
      <c r="H51" s="234">
        <f t="shared" si="0"/>
        <v>0</v>
      </c>
    </row>
    <row r="52" spans="1:8" s="3" customFormat="1" ht="15.75">
      <c r="A52" s="216">
        <v>8.6999999999999993</v>
      </c>
      <c r="B52" s="218" t="s">
        <v>324</v>
      </c>
      <c r="C52" s="233"/>
      <c r="D52" s="233"/>
      <c r="E52" s="256">
        <f t="shared" si="1"/>
        <v>0</v>
      </c>
      <c r="F52" s="233"/>
      <c r="G52" s="233"/>
      <c r="H52" s="234">
        <f t="shared" si="0"/>
        <v>0</v>
      </c>
    </row>
    <row r="53" spans="1:8" s="3" customFormat="1" ht="26.25" thickBot="1">
      <c r="A53" s="221">
        <v>9</v>
      </c>
      <c r="B53" s="222" t="s">
        <v>325</v>
      </c>
      <c r="C53" s="257"/>
      <c r="D53" s="257"/>
      <c r="E53" s="258">
        <f t="shared" si="1"/>
        <v>0</v>
      </c>
      <c r="F53" s="257"/>
      <c r="G53" s="257"/>
      <c r="H53" s="240">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140625" defaultRowHeight="12.75"/>
  <cols>
    <col min="1" max="1" width="9.5703125" style="2" bestFit="1" customWidth="1"/>
    <col min="2" max="2" width="93.5703125" style="2" customWidth="1"/>
    <col min="3" max="4" width="12.7109375" style="2" customWidth="1"/>
    <col min="5" max="7" width="10.85546875" style="13" bestFit="1" customWidth="1"/>
    <col min="8" max="11" width="9.7109375" style="13" customWidth="1"/>
    <col min="12" max="16384" width="9.140625" style="13"/>
  </cols>
  <sheetData>
    <row r="1" spans="1:8" ht="15">
      <c r="A1" s="17" t="s">
        <v>188</v>
      </c>
      <c r="B1" s="16" t="str">
        <f>Info!C2</f>
        <v>სს "კრედობანკი"</v>
      </c>
      <c r="C1" s="16"/>
      <c r="D1" s="338"/>
    </row>
    <row r="2" spans="1:8" ht="15">
      <c r="A2" s="17" t="s">
        <v>189</v>
      </c>
      <c r="B2" s="456">
        <f>'1. key ratios'!B2</f>
        <v>44286</v>
      </c>
      <c r="C2" s="29"/>
      <c r="D2" s="18"/>
      <c r="E2" s="12"/>
      <c r="F2" s="12"/>
      <c r="G2" s="12"/>
      <c r="H2" s="12"/>
    </row>
    <row r="3" spans="1:8" ht="15">
      <c r="A3" s="17"/>
      <c r="B3" s="16"/>
      <c r="C3" s="29"/>
      <c r="D3" s="18"/>
      <c r="E3" s="12"/>
      <c r="F3" s="12"/>
      <c r="G3" s="12"/>
      <c r="H3" s="12"/>
    </row>
    <row r="4" spans="1:8" ht="15" customHeight="1" thickBot="1">
      <c r="A4" s="210" t="s">
        <v>332</v>
      </c>
      <c r="B4" s="211" t="s">
        <v>187</v>
      </c>
      <c r="C4" s="212" t="s">
        <v>93</v>
      </c>
    </row>
    <row r="5" spans="1:8" ht="15" customHeight="1">
      <c r="A5" s="208" t="s">
        <v>26</v>
      </c>
      <c r="B5" s="209"/>
      <c r="C5" s="457" t="str">
        <f>INT((MONTH($B$2))/3)&amp;"Q"&amp;"-"&amp;YEAR($B$2)</f>
        <v>1Q-2021</v>
      </c>
      <c r="D5" s="457" t="str">
        <f>IF(INT(MONTH($B$2))=3, "4"&amp;"Q"&amp;"-"&amp;YEAR($B$2)-1, IF(INT(MONTH($B$2))=6, "1"&amp;"Q"&amp;"-"&amp;YEAR($B$2), IF(INT(MONTH($B$2))=9, "2"&amp;"Q"&amp;"-"&amp;YEAR($B$2),IF(INT(MONTH($B$2))=12, "3"&amp;"Q"&amp;"-"&amp;YEAR($B$2), 0))))</f>
        <v>4Q-2020</v>
      </c>
      <c r="E5" s="457" t="str">
        <f>IF(INT(MONTH($B$2))=3, "3"&amp;"Q"&amp;"-"&amp;YEAR($B$2)-1, IF(INT(MONTH($B$2))=6, "4"&amp;"Q"&amp;"-"&amp;YEAR($B$2)-1, IF(INT(MONTH($B$2))=9, "1"&amp;"Q"&amp;"-"&amp;YEAR($B$2),IF(INT(MONTH($B$2))=12, "2"&amp;"Q"&amp;"-"&amp;YEAR($B$2), 0))))</f>
        <v>3Q-2020</v>
      </c>
      <c r="F5" s="457" t="str">
        <f>IF(INT(MONTH($B$2))=3, "2"&amp;"Q"&amp;"-"&amp;YEAR($B$2)-1, IF(INT(MONTH($B$2))=6, "3"&amp;"Q"&amp;"-"&amp;YEAR($B$2)-1, IF(INT(MONTH($B$2))=9, "4"&amp;"Q"&amp;"-"&amp;YEAR($B$2)-1,IF(INT(MONTH($B$2))=12, "1"&amp;"Q"&amp;"-"&amp;YEAR($B$2), 0))))</f>
        <v>2Q-2020</v>
      </c>
      <c r="G5" s="457" t="str">
        <f>IF(INT(MONTH($B$2))=3, "1"&amp;"Q"&amp;"-"&amp;YEAR($B$2)-1, IF(INT(MONTH($B$2))=6, "2"&amp;"Q"&amp;"-"&amp;YEAR($B$2)-1, IF(INT(MONTH($B$2))=9, "3"&amp;"Q"&amp;"-"&amp;YEAR($B$2)-1,IF(INT(MONTH($B$2))=12, "4"&amp;"Q"&amp;"-"&amp;YEAR($B$2)-1, 0))))</f>
        <v>1Q-2020</v>
      </c>
    </row>
    <row r="6" spans="1:8" ht="15" customHeight="1">
      <c r="A6" s="381">
        <v>1</v>
      </c>
      <c r="B6" s="441" t="s">
        <v>192</v>
      </c>
      <c r="C6" s="382">
        <f>C7+C9+C10</f>
        <v>1017900326.6960396</v>
      </c>
      <c r="D6" s="444">
        <f>D7+D9+D10</f>
        <v>996989379.07512736</v>
      </c>
      <c r="E6" s="383">
        <f t="shared" ref="E6:G6" si="0">E7+E9+E10</f>
        <v>945883319.80765402</v>
      </c>
      <c r="F6" s="382">
        <f t="shared" si="0"/>
        <v>854161415.48273814</v>
      </c>
      <c r="G6" s="445">
        <f t="shared" si="0"/>
        <v>783575312.94352448</v>
      </c>
    </row>
    <row r="7" spans="1:8" ht="15" customHeight="1">
      <c r="A7" s="381">
        <v>1.1000000000000001</v>
      </c>
      <c r="B7" s="384" t="s">
        <v>477</v>
      </c>
      <c r="C7" s="385">
        <v>1014780858.7297896</v>
      </c>
      <c r="D7" s="446">
        <v>994250073.82512736</v>
      </c>
      <c r="E7" s="385">
        <v>942918346.43265402</v>
      </c>
      <c r="F7" s="385">
        <v>851467447.2677381</v>
      </c>
      <c r="G7" s="447">
        <v>780528902.91102445</v>
      </c>
    </row>
    <row r="8" spans="1:8" ht="25.5">
      <c r="A8" s="381" t="s">
        <v>252</v>
      </c>
      <c r="B8" s="386" t="s">
        <v>326</v>
      </c>
      <c r="C8" s="385"/>
      <c r="D8" s="446"/>
      <c r="E8" s="385"/>
      <c r="F8" s="385"/>
      <c r="G8" s="447"/>
    </row>
    <row r="9" spans="1:8" ht="15" customHeight="1">
      <c r="A9" s="381">
        <v>1.2</v>
      </c>
      <c r="B9" s="384" t="s">
        <v>22</v>
      </c>
      <c r="C9" s="385">
        <v>2266517.9662500001</v>
      </c>
      <c r="D9" s="446">
        <v>1920155.25</v>
      </c>
      <c r="E9" s="385">
        <v>1649853.375</v>
      </c>
      <c r="F9" s="385">
        <v>1471888.2150000001</v>
      </c>
      <c r="G9" s="447">
        <v>1732610.0325</v>
      </c>
    </row>
    <row r="10" spans="1:8" ht="15" customHeight="1">
      <c r="A10" s="381">
        <v>1.3</v>
      </c>
      <c r="B10" s="442" t="s">
        <v>77</v>
      </c>
      <c r="C10" s="387">
        <v>852950</v>
      </c>
      <c r="D10" s="446">
        <v>819150</v>
      </c>
      <c r="E10" s="387">
        <v>1315120</v>
      </c>
      <c r="F10" s="385">
        <v>1222080</v>
      </c>
      <c r="G10" s="448">
        <v>1313800</v>
      </c>
    </row>
    <row r="11" spans="1:8" ht="15" customHeight="1">
      <c r="A11" s="381">
        <v>2</v>
      </c>
      <c r="B11" s="441" t="s">
        <v>193</v>
      </c>
      <c r="C11" s="385">
        <v>4121641.3017799947</v>
      </c>
      <c r="D11" s="446">
        <v>1286239.2924999779</v>
      </c>
      <c r="E11" s="385">
        <v>394950.29007600201</v>
      </c>
      <c r="F11" s="385">
        <v>3239721.4424999747</v>
      </c>
      <c r="G11" s="447">
        <v>5855938.6625000099</v>
      </c>
    </row>
    <row r="12" spans="1:8" ht="15" customHeight="1">
      <c r="A12" s="398">
        <v>3</v>
      </c>
      <c r="B12" s="443" t="s">
        <v>191</v>
      </c>
      <c r="C12" s="387">
        <v>250750724.04375002</v>
      </c>
      <c r="D12" s="446">
        <v>250750724.04375002</v>
      </c>
      <c r="E12" s="387">
        <v>225728197.60624999</v>
      </c>
      <c r="F12" s="385">
        <v>225728197.60624999</v>
      </c>
      <c r="G12" s="448">
        <v>225728197.60624999</v>
      </c>
    </row>
    <row r="13" spans="1:8" ht="15" customHeight="1" thickBot="1">
      <c r="A13" s="131">
        <v>4</v>
      </c>
      <c r="B13" s="451" t="s">
        <v>253</v>
      </c>
      <c r="C13" s="259">
        <f>C6+C11+C12</f>
        <v>1272772692.0415695</v>
      </c>
      <c r="D13" s="449">
        <f>D6+D11+D12</f>
        <v>1249026342.4113774</v>
      </c>
      <c r="E13" s="260">
        <f t="shared" ref="E13:G13" si="1">E6+E11+E12</f>
        <v>1172006467.70398</v>
      </c>
      <c r="F13" s="259">
        <f t="shared" si="1"/>
        <v>1083129334.5314882</v>
      </c>
      <c r="G13" s="450">
        <f t="shared" si="1"/>
        <v>1015159449.2122746</v>
      </c>
    </row>
    <row r="14" spans="1:8">
      <c r="B14" s="23"/>
    </row>
    <row r="15" spans="1:8" ht="25.5">
      <c r="B15" s="104" t="s">
        <v>478</v>
      </c>
    </row>
    <row r="16" spans="1:8">
      <c r="B16" s="104"/>
    </row>
    <row r="17" spans="2:2">
      <c r="B17" s="104"/>
    </row>
    <row r="18" spans="2:2">
      <c r="B18" s="10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zoomScaleNormal="100" workbookViewId="0">
      <pane xSplit="1" ySplit="4" topLeftCell="B12" activePane="bottomRight" state="frozen"/>
      <selection pane="topRight" activeCell="B1" sqref="B1"/>
      <selection pane="bottomLeft" activeCell="A4" sqref="A4"/>
      <selection pane="bottomRight" activeCell="C18" sqref="C18"/>
    </sheetView>
  </sheetViews>
  <sheetFormatPr defaultRowHeight="15"/>
  <cols>
    <col min="1" max="1" width="9.5703125" style="2" bestFit="1" customWidth="1"/>
    <col min="2" max="2" width="58.85546875" style="2" customWidth="1"/>
    <col min="3" max="3" width="41.140625" style="2" bestFit="1" customWidth="1"/>
  </cols>
  <sheetData>
    <row r="1" spans="1:3">
      <c r="A1" s="2" t="s">
        <v>188</v>
      </c>
      <c r="B1" s="338" t="str">
        <f>Info!C2</f>
        <v>სს "კრედობანკი"</v>
      </c>
    </row>
    <row r="2" spans="1:3">
      <c r="A2" s="2" t="s">
        <v>189</v>
      </c>
      <c r="B2" s="474">
        <f>'1. key ratios'!B2</f>
        <v>44286</v>
      </c>
    </row>
    <row r="4" spans="1:3" ht="16.5" customHeight="1" thickBot="1">
      <c r="A4" s="223" t="s">
        <v>333</v>
      </c>
      <c r="B4" s="61" t="s">
        <v>149</v>
      </c>
      <c r="C4" s="14"/>
    </row>
    <row r="5" spans="1:3" ht="15.75">
      <c r="A5" s="11"/>
      <c r="B5" s="436" t="s">
        <v>150</v>
      </c>
      <c r="C5" s="454" t="s">
        <v>492</v>
      </c>
    </row>
    <row r="6" spans="1:3">
      <c r="A6" s="15">
        <v>1</v>
      </c>
      <c r="B6" s="62" t="s">
        <v>505</v>
      </c>
      <c r="C6" s="452" t="s">
        <v>506</v>
      </c>
    </row>
    <row r="7" spans="1:3">
      <c r="A7" s="15">
        <v>2</v>
      </c>
      <c r="B7" s="62" t="s">
        <v>507</v>
      </c>
      <c r="C7" s="452" t="s">
        <v>508</v>
      </c>
    </row>
    <row r="8" spans="1:3">
      <c r="A8" s="15">
        <v>3</v>
      </c>
      <c r="B8" s="62" t="s">
        <v>509</v>
      </c>
      <c r="C8" s="452" t="s">
        <v>510</v>
      </c>
    </row>
    <row r="9" spans="1:3">
      <c r="A9" s="15">
        <v>4</v>
      </c>
      <c r="B9" s="62" t="s">
        <v>511</v>
      </c>
      <c r="C9" s="452" t="s">
        <v>506</v>
      </c>
    </row>
    <row r="10" spans="1:3">
      <c r="A10" s="15">
        <v>5</v>
      </c>
      <c r="B10" s="62" t="s">
        <v>512</v>
      </c>
      <c r="C10" s="452" t="s">
        <v>510</v>
      </c>
    </row>
    <row r="11" spans="1:3">
      <c r="A11" s="15"/>
      <c r="B11" s="62"/>
      <c r="C11" s="452"/>
    </row>
    <row r="12" spans="1:3" ht="45">
      <c r="A12" s="15"/>
      <c r="B12" s="437" t="s">
        <v>151</v>
      </c>
      <c r="C12" s="455" t="s">
        <v>493</v>
      </c>
    </row>
    <row r="13" spans="1:3" ht="15.75">
      <c r="A13" s="15">
        <v>1</v>
      </c>
      <c r="B13" s="27" t="s">
        <v>502</v>
      </c>
      <c r="C13" s="453" t="s">
        <v>513</v>
      </c>
    </row>
    <row r="14" spans="1:3" ht="15.75">
      <c r="A14" s="15">
        <v>2</v>
      </c>
      <c r="B14" s="27" t="s">
        <v>514</v>
      </c>
      <c r="C14" s="453" t="s">
        <v>517</v>
      </c>
    </row>
    <row r="15" spans="1:3" ht="15.75">
      <c r="A15" s="15">
        <v>3</v>
      </c>
      <c r="B15" s="27" t="s">
        <v>516</v>
      </c>
      <c r="C15" s="453" t="s">
        <v>515</v>
      </c>
    </row>
    <row r="16" spans="1:3" ht="15.75">
      <c r="A16" s="15">
        <v>4</v>
      </c>
      <c r="B16" s="27" t="s">
        <v>518</v>
      </c>
      <c r="C16" s="453" t="s">
        <v>519</v>
      </c>
    </row>
    <row r="17" spans="1:3" ht="15.75">
      <c r="A17" s="15">
        <v>5</v>
      </c>
      <c r="B17" s="27" t="s">
        <v>520</v>
      </c>
      <c r="C17" s="453" t="s">
        <v>521</v>
      </c>
    </row>
    <row r="18" spans="1:3" ht="15.75">
      <c r="A18" s="15"/>
      <c r="B18" s="27"/>
      <c r="C18" s="453"/>
    </row>
    <row r="19" spans="1:3" ht="15.75" customHeight="1">
      <c r="A19" s="15"/>
      <c r="B19" s="27"/>
      <c r="C19" s="28"/>
    </row>
    <row r="20" spans="1:3" ht="30" customHeight="1">
      <c r="A20" s="15"/>
      <c r="B20" s="550" t="s">
        <v>152</v>
      </c>
      <c r="C20" s="551"/>
    </row>
    <row r="21" spans="1:3">
      <c r="A21" s="15">
        <v>1</v>
      </c>
      <c r="B21" s="495" t="s">
        <v>522</v>
      </c>
      <c r="C21" s="496">
        <v>0.60199999999999998</v>
      </c>
    </row>
    <row r="22" spans="1:3">
      <c r="A22" s="494">
        <v>2</v>
      </c>
      <c r="B22" s="495" t="s">
        <v>523</v>
      </c>
      <c r="C22" s="497">
        <v>9.9000000000000005E-2</v>
      </c>
    </row>
    <row r="23" spans="1:3">
      <c r="A23" s="15">
        <v>3</v>
      </c>
      <c r="B23" s="495" t="s">
        <v>524</v>
      </c>
      <c r="C23" s="497">
        <v>9.9000000000000005E-2</v>
      </c>
    </row>
    <row r="24" spans="1:3">
      <c r="A24" s="494">
        <v>4</v>
      </c>
      <c r="B24" s="495" t="s">
        <v>525</v>
      </c>
      <c r="C24" s="497">
        <v>9.3399999999999997E-2</v>
      </c>
    </row>
    <row r="25" spans="1:3" ht="38.25">
      <c r="A25" s="15">
        <v>5</v>
      </c>
      <c r="B25" s="495" t="s">
        <v>526</v>
      </c>
      <c r="C25" s="497">
        <v>8.7900000000000006E-2</v>
      </c>
    </row>
    <row r="26" spans="1:3" ht="38.25">
      <c r="A26" s="494">
        <v>6</v>
      </c>
      <c r="B26" s="495" t="s">
        <v>527</v>
      </c>
      <c r="C26" s="497">
        <v>1.8700000000000001E-2</v>
      </c>
    </row>
    <row r="27" spans="1:3" ht="15.75" customHeight="1">
      <c r="A27" s="15"/>
      <c r="B27" s="62"/>
      <c r="C27" s="63"/>
    </row>
    <row r="28" spans="1:3" ht="29.25" customHeight="1">
      <c r="A28" s="15"/>
      <c r="B28" s="550" t="s">
        <v>273</v>
      </c>
      <c r="C28" s="551"/>
    </row>
    <row r="29" spans="1:3">
      <c r="A29" s="15">
        <v>1</v>
      </c>
      <c r="B29" s="501" t="s">
        <v>528</v>
      </c>
      <c r="C29" s="497">
        <v>7.1156399999999995E-2</v>
      </c>
    </row>
    <row r="30" spans="1:3">
      <c r="A30" s="498">
        <v>2</v>
      </c>
      <c r="B30" s="502" t="s">
        <v>529</v>
      </c>
      <c r="C30" s="499">
        <v>7.1156399999999995E-2</v>
      </c>
    </row>
    <row r="31" spans="1:3">
      <c r="A31" s="15">
        <v>3</v>
      </c>
      <c r="B31" s="502" t="s">
        <v>530</v>
      </c>
      <c r="C31" s="499">
        <v>8.9577600000000007E-2</v>
      </c>
    </row>
    <row r="32" spans="1:3">
      <c r="A32" s="498">
        <v>4</v>
      </c>
      <c r="B32" s="502" t="s">
        <v>531</v>
      </c>
      <c r="C32" s="499">
        <v>7.6514200000000004E-2</v>
      </c>
    </row>
    <row r="33" spans="1:3">
      <c r="A33" s="15">
        <v>5</v>
      </c>
      <c r="B33" s="502" t="s">
        <v>532</v>
      </c>
      <c r="C33" s="499">
        <v>0.14309539999999998</v>
      </c>
    </row>
    <row r="34" spans="1:3">
      <c r="A34" s="498">
        <v>6</v>
      </c>
      <c r="B34" s="502" t="s">
        <v>533</v>
      </c>
      <c r="C34" s="499">
        <v>8.5857239999999987E-2</v>
      </c>
    </row>
    <row r="35" spans="1:3" ht="15.75" thickBot="1">
      <c r="A35" s="15">
        <v>7</v>
      </c>
      <c r="B35" s="503" t="s">
        <v>534</v>
      </c>
      <c r="C35" s="500">
        <v>6.7484200000000008E-2</v>
      </c>
    </row>
  </sheetData>
  <mergeCells count="2">
    <mergeCell ref="B28:C28"/>
    <mergeCell ref="B20:C20"/>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3" activePane="bottomRight" state="frozen"/>
      <selection activeCell="H6" sqref="H6"/>
      <selection pane="topRight" activeCell="H6" sqref="H6"/>
      <selection pane="bottomLeft" activeCell="H6" sqref="H6"/>
      <selection pane="bottomRight" activeCell="E8" sqref="E8"/>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188</v>
      </c>
      <c r="B1" s="16" t="str">
        <f>Info!C2</f>
        <v>სს "კრედობანკი"</v>
      </c>
    </row>
    <row r="2" spans="1:7" s="21" customFormat="1" ht="15.75" customHeight="1">
      <c r="A2" s="21" t="s">
        <v>189</v>
      </c>
      <c r="B2" s="474">
        <f>'1. key ratios'!B2</f>
        <v>44286</v>
      </c>
    </row>
    <row r="3" spans="1:7" s="21" customFormat="1" ht="15.75" customHeight="1"/>
    <row r="4" spans="1:7" s="21" customFormat="1" ht="15.75" customHeight="1" thickBot="1">
      <c r="A4" s="224" t="s">
        <v>334</v>
      </c>
      <c r="B4" s="225" t="s">
        <v>263</v>
      </c>
      <c r="C4" s="187"/>
      <c r="D4" s="187"/>
      <c r="E4" s="188" t="s">
        <v>93</v>
      </c>
    </row>
    <row r="5" spans="1:7" s="119" customFormat="1" ht="17.45" customHeight="1">
      <c r="A5" s="350"/>
      <c r="B5" s="351"/>
      <c r="C5" s="186" t="s">
        <v>0</v>
      </c>
      <c r="D5" s="186" t="s">
        <v>1</v>
      </c>
      <c r="E5" s="352" t="s">
        <v>2</v>
      </c>
    </row>
    <row r="6" spans="1:7" s="153" customFormat="1" ht="14.45" customHeight="1">
      <c r="A6" s="353"/>
      <c r="B6" s="552" t="s">
        <v>231</v>
      </c>
      <c r="C6" s="552" t="s">
        <v>230</v>
      </c>
      <c r="D6" s="553" t="s">
        <v>229</v>
      </c>
      <c r="E6" s="554"/>
      <c r="G6"/>
    </row>
    <row r="7" spans="1:7" s="153" customFormat="1" ht="99.6" customHeight="1">
      <c r="A7" s="353"/>
      <c r="B7" s="552"/>
      <c r="C7" s="552"/>
      <c r="D7" s="347" t="s">
        <v>228</v>
      </c>
      <c r="E7" s="348" t="s">
        <v>395</v>
      </c>
      <c r="G7"/>
    </row>
    <row r="8" spans="1:7">
      <c r="A8" s="354">
        <v>1</v>
      </c>
      <c r="B8" s="355" t="s">
        <v>154</v>
      </c>
      <c r="C8" s="356">
        <v>45470919.649999999</v>
      </c>
      <c r="D8" s="356"/>
      <c r="E8" s="357">
        <f>C8-D8</f>
        <v>45470919.649999999</v>
      </c>
    </row>
    <row r="9" spans="1:7">
      <c r="A9" s="354">
        <v>2</v>
      </c>
      <c r="B9" s="355" t="s">
        <v>155</v>
      </c>
      <c r="C9" s="356">
        <v>100299722.06</v>
      </c>
      <c r="D9" s="356"/>
      <c r="E9" s="357">
        <f t="shared" ref="E9:E20" si="0">C9-D9</f>
        <v>100299722.06</v>
      </c>
    </row>
    <row r="10" spans="1:7">
      <c r="A10" s="354">
        <v>3</v>
      </c>
      <c r="B10" s="355" t="s">
        <v>227</v>
      </c>
      <c r="C10" s="356">
        <v>37327130.660000004</v>
      </c>
      <c r="D10" s="356"/>
      <c r="E10" s="357">
        <f t="shared" si="0"/>
        <v>37327130.660000004</v>
      </c>
    </row>
    <row r="11" spans="1:7" ht="25.5">
      <c r="A11" s="354">
        <v>4</v>
      </c>
      <c r="B11" s="355" t="s">
        <v>185</v>
      </c>
      <c r="C11" s="356">
        <v>0</v>
      </c>
      <c r="D11" s="356"/>
      <c r="E11" s="357">
        <f t="shared" si="0"/>
        <v>0</v>
      </c>
    </row>
    <row r="12" spans="1:7">
      <c r="A12" s="354">
        <v>5</v>
      </c>
      <c r="B12" s="355" t="s">
        <v>157</v>
      </c>
      <c r="C12" s="356">
        <v>42819663.519999996</v>
      </c>
      <c r="D12" s="356"/>
      <c r="E12" s="357">
        <f t="shared" si="0"/>
        <v>42819663.519999996</v>
      </c>
    </row>
    <row r="13" spans="1:7">
      <c r="A13" s="354">
        <v>6.1</v>
      </c>
      <c r="B13" s="355" t="s">
        <v>158</v>
      </c>
      <c r="C13" s="358">
        <v>1087764322.9575</v>
      </c>
      <c r="D13" s="356"/>
      <c r="E13" s="357">
        <f t="shared" si="0"/>
        <v>1087764322.9575</v>
      </c>
    </row>
    <row r="14" spans="1:7">
      <c r="A14" s="354">
        <v>6.2</v>
      </c>
      <c r="B14" s="359" t="s">
        <v>159</v>
      </c>
      <c r="C14" s="358">
        <v>-39363974.029459298</v>
      </c>
      <c r="D14" s="356"/>
      <c r="E14" s="357">
        <f t="shared" si="0"/>
        <v>-39363974.029459298</v>
      </c>
    </row>
    <row r="15" spans="1:7">
      <c r="A15" s="354">
        <v>6</v>
      </c>
      <c r="B15" s="355" t="s">
        <v>226</v>
      </c>
      <c r="C15" s="356">
        <v>1048400348.9280406</v>
      </c>
      <c r="D15" s="356"/>
      <c r="E15" s="357">
        <f t="shared" si="0"/>
        <v>1048400348.9280406</v>
      </c>
    </row>
    <row r="16" spans="1:7" ht="25.5">
      <c r="A16" s="354">
        <v>7</v>
      </c>
      <c r="B16" s="355" t="s">
        <v>161</v>
      </c>
      <c r="C16" s="356">
        <v>29340920.039999999</v>
      </c>
      <c r="D16" s="356"/>
      <c r="E16" s="357">
        <f t="shared" si="0"/>
        <v>29340920.039999999</v>
      </c>
    </row>
    <row r="17" spans="1:7">
      <c r="A17" s="354">
        <v>8</v>
      </c>
      <c r="B17" s="355" t="s">
        <v>162</v>
      </c>
      <c r="C17" s="356">
        <v>953826</v>
      </c>
      <c r="D17" s="356"/>
      <c r="E17" s="357">
        <f t="shared" si="0"/>
        <v>953826</v>
      </c>
      <c r="F17" s="6"/>
      <c r="G17" s="6"/>
    </row>
    <row r="18" spans="1:7">
      <c r="A18" s="354">
        <v>9</v>
      </c>
      <c r="B18" s="355" t="s">
        <v>163</v>
      </c>
      <c r="C18" s="356">
        <v>0</v>
      </c>
      <c r="D18" s="356"/>
      <c r="E18" s="357">
        <f t="shared" si="0"/>
        <v>0</v>
      </c>
      <c r="G18" s="6"/>
    </row>
    <row r="19" spans="1:7" ht="25.5">
      <c r="A19" s="354">
        <v>10</v>
      </c>
      <c r="B19" s="355" t="s">
        <v>164</v>
      </c>
      <c r="C19" s="356">
        <v>29710338.549999997</v>
      </c>
      <c r="D19" s="356">
        <v>8687694.1699999999</v>
      </c>
      <c r="E19" s="357">
        <f t="shared" si="0"/>
        <v>21022644.379999995</v>
      </c>
      <c r="G19" s="6"/>
    </row>
    <row r="20" spans="1:7">
      <c r="A20" s="354">
        <v>11</v>
      </c>
      <c r="B20" s="355" t="s">
        <v>165</v>
      </c>
      <c r="C20" s="356">
        <v>58386566.950000003</v>
      </c>
      <c r="D20" s="356"/>
      <c r="E20" s="357">
        <f t="shared" si="0"/>
        <v>58386566.950000003</v>
      </c>
    </row>
    <row r="21" spans="1:7" ht="51.75" thickBot="1">
      <c r="A21" s="360"/>
      <c r="B21" s="361" t="s">
        <v>368</v>
      </c>
      <c r="C21" s="314">
        <f>SUM(C8:C12, C15:C20)</f>
        <v>1392709436.3580406</v>
      </c>
      <c r="D21" s="314">
        <f>SUM(D8:D12, D15:D20)</f>
        <v>8687694.1699999999</v>
      </c>
      <c r="E21" s="362">
        <f>SUM(E8:E12, E15:E20)</f>
        <v>1384021742.1880405</v>
      </c>
    </row>
    <row r="22" spans="1:7">
      <c r="A22"/>
      <c r="B22"/>
      <c r="C22"/>
      <c r="D22"/>
      <c r="E22"/>
    </row>
    <row r="23" spans="1:7">
      <c r="A23"/>
      <c r="B23"/>
      <c r="C23"/>
      <c r="D23"/>
      <c r="E23"/>
    </row>
    <row r="25" spans="1:7" s="2" customFormat="1">
      <c r="B25" s="65"/>
      <c r="F25"/>
      <c r="G25"/>
    </row>
    <row r="26" spans="1:7" s="2" customFormat="1">
      <c r="B26" s="66"/>
      <c r="F26"/>
      <c r="G26"/>
    </row>
    <row r="27" spans="1:7" s="2" customFormat="1">
      <c r="B27" s="65"/>
      <c r="F27"/>
      <c r="G27"/>
    </row>
    <row r="28" spans="1:7" s="2" customFormat="1">
      <c r="B28" s="65"/>
      <c r="F28"/>
      <c r="G28"/>
    </row>
    <row r="29" spans="1:7" s="2" customFormat="1">
      <c r="B29" s="65"/>
      <c r="F29"/>
      <c r="G29"/>
    </row>
    <row r="30" spans="1:7" s="2" customFormat="1">
      <c r="B30" s="65"/>
      <c r="F30"/>
      <c r="G30"/>
    </row>
    <row r="31" spans="1:7" s="2" customFormat="1">
      <c r="B31" s="65"/>
      <c r="F31"/>
      <c r="G31"/>
    </row>
    <row r="32" spans="1:7" s="2" customFormat="1">
      <c r="B32" s="66"/>
      <c r="F32"/>
      <c r="G32"/>
    </row>
    <row r="33" spans="2:7" s="2" customFormat="1">
      <c r="B33" s="66"/>
      <c r="F33"/>
      <c r="G33"/>
    </row>
    <row r="34" spans="2:7" s="2" customFormat="1">
      <c r="B34" s="66"/>
      <c r="F34"/>
      <c r="G34"/>
    </row>
    <row r="35" spans="2:7" s="2" customFormat="1">
      <c r="B35" s="66"/>
      <c r="F35"/>
      <c r="G35"/>
    </row>
    <row r="36" spans="2:7" s="2" customFormat="1">
      <c r="B36" s="66"/>
      <c r="F36"/>
      <c r="G36"/>
    </row>
    <row r="37" spans="2:7" s="2" customFormat="1">
      <c r="B37" s="66"/>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188</v>
      </c>
      <c r="B1" s="16" t="str">
        <f>Info!C2</f>
        <v>სს "კრედობანკი"</v>
      </c>
    </row>
    <row r="2" spans="1:6" s="21" customFormat="1" ht="15.75" customHeight="1">
      <c r="A2" s="21" t="s">
        <v>189</v>
      </c>
      <c r="B2" s="474">
        <f>'1. key ratios'!B2</f>
        <v>44286</v>
      </c>
      <c r="C2"/>
      <c r="D2"/>
      <c r="E2"/>
      <c r="F2"/>
    </row>
    <row r="3" spans="1:6" s="21" customFormat="1" ht="15.75" customHeight="1">
      <c r="C3"/>
      <c r="D3"/>
      <c r="E3"/>
      <c r="F3"/>
    </row>
    <row r="4" spans="1:6" s="21" customFormat="1" ht="26.25" thickBot="1">
      <c r="A4" s="21" t="s">
        <v>335</v>
      </c>
      <c r="B4" s="194" t="s">
        <v>266</v>
      </c>
      <c r="C4" s="188" t="s">
        <v>93</v>
      </c>
      <c r="D4"/>
      <c r="E4"/>
      <c r="F4"/>
    </row>
    <row r="5" spans="1:6" ht="26.25">
      <c r="A5" s="189">
        <v>1</v>
      </c>
      <c r="B5" s="190" t="s">
        <v>342</v>
      </c>
      <c r="C5" s="261">
        <f>'7. LI1'!E21</f>
        <v>1384021742.1880405</v>
      </c>
    </row>
    <row r="6" spans="1:6" s="179" customFormat="1">
      <c r="A6" s="118">
        <v>2.1</v>
      </c>
      <c r="B6" s="196" t="s">
        <v>267</v>
      </c>
      <c r="C6" s="262">
        <v>31661617.370000001</v>
      </c>
    </row>
    <row r="7" spans="1:6" s="4" customFormat="1" ht="25.5" outlineLevel="1">
      <c r="A7" s="195">
        <v>2.2000000000000002</v>
      </c>
      <c r="B7" s="191" t="s">
        <v>268</v>
      </c>
      <c r="C7" s="263">
        <v>17059000</v>
      </c>
    </row>
    <row r="8" spans="1:6" s="4" customFormat="1" ht="26.25">
      <c r="A8" s="195">
        <v>3</v>
      </c>
      <c r="B8" s="192" t="s">
        <v>343</v>
      </c>
      <c r="C8" s="264">
        <f>SUM(C5:C7)</f>
        <v>1432742359.5580404</v>
      </c>
    </row>
    <row r="9" spans="1:6" s="179" customFormat="1">
      <c r="A9" s="118">
        <v>4</v>
      </c>
      <c r="B9" s="199" t="s">
        <v>264</v>
      </c>
      <c r="C9" s="262">
        <v>19141703.599199999</v>
      </c>
    </row>
    <row r="10" spans="1:6" s="4" customFormat="1" ht="25.5" outlineLevel="1">
      <c r="A10" s="195">
        <v>5.0999999999999996</v>
      </c>
      <c r="B10" s="191" t="s">
        <v>274</v>
      </c>
      <c r="C10" s="263">
        <v>-28639593.414999999</v>
      </c>
    </row>
    <row r="11" spans="1:6" s="4" customFormat="1" ht="25.5" outlineLevel="1">
      <c r="A11" s="195">
        <v>5.2</v>
      </c>
      <c r="B11" s="191" t="s">
        <v>275</v>
      </c>
      <c r="C11" s="263">
        <v>-16206050</v>
      </c>
    </row>
    <row r="12" spans="1:6" s="4" customFormat="1">
      <c r="A12" s="195">
        <v>6</v>
      </c>
      <c r="B12" s="197" t="s">
        <v>479</v>
      </c>
      <c r="C12" s="363"/>
    </row>
    <row r="13" spans="1:6" s="4" customFormat="1" ht="15.75" thickBot="1">
      <c r="A13" s="198">
        <v>7</v>
      </c>
      <c r="B13" s="193" t="s">
        <v>265</v>
      </c>
      <c r="C13" s="265">
        <f>SUM(C8:C12)</f>
        <v>1407038419.7422404</v>
      </c>
    </row>
    <row r="15" spans="1:6" ht="26.25">
      <c r="B15" s="23" t="s">
        <v>480</v>
      </c>
    </row>
    <row r="17" spans="2:9" s="2" customFormat="1">
      <c r="B17" s="67"/>
      <c r="C17"/>
      <c r="D17"/>
      <c r="E17"/>
      <c r="F17"/>
      <c r="G17"/>
      <c r="H17"/>
      <c r="I17"/>
    </row>
    <row r="18" spans="2:9" s="2" customFormat="1">
      <c r="B18" s="64"/>
      <c r="C18"/>
      <c r="D18"/>
      <c r="E18"/>
      <c r="F18"/>
      <c r="G18"/>
      <c r="H18"/>
      <c r="I18"/>
    </row>
    <row r="19" spans="2:9" s="2" customFormat="1">
      <c r="B19" s="64"/>
      <c r="C19"/>
      <c r="D19"/>
      <c r="E19"/>
      <c r="F19"/>
      <c r="G19"/>
      <c r="H19"/>
      <c r="I19"/>
    </row>
    <row r="20" spans="2:9" s="2" customFormat="1">
      <c r="B20" s="66"/>
      <c r="C20"/>
      <c r="D20"/>
      <c r="E20"/>
      <c r="F20"/>
      <c r="G20"/>
      <c r="H20"/>
      <c r="I20"/>
    </row>
    <row r="21" spans="2:9" s="2" customFormat="1">
      <c r="B21" s="65"/>
      <c r="C21"/>
      <c r="D21"/>
      <c r="E21"/>
      <c r="F21"/>
      <c r="G21"/>
      <c r="H21"/>
      <c r="I21"/>
    </row>
    <row r="22" spans="2:9" s="2" customFormat="1">
      <c r="B22" s="66"/>
      <c r="C22"/>
      <c r="D22"/>
      <c r="E22"/>
      <c r="F22"/>
      <c r="G22"/>
      <c r="H22"/>
      <c r="I22"/>
    </row>
    <row r="23" spans="2:9" s="2" customFormat="1">
      <c r="B23" s="65"/>
      <c r="C23"/>
      <c r="D23"/>
      <c r="E23"/>
      <c r="F23"/>
      <c r="G23"/>
      <c r="H23"/>
      <c r="I23"/>
    </row>
    <row r="24" spans="2:9" s="2" customFormat="1">
      <c r="B24" s="65"/>
      <c r="C24"/>
      <c r="D24"/>
      <c r="E24"/>
      <c r="F24"/>
      <c r="G24"/>
      <c r="H24"/>
      <c r="I24"/>
    </row>
    <row r="25" spans="2:9" s="2" customFormat="1">
      <c r="B25" s="65"/>
      <c r="C25"/>
      <c r="D25"/>
      <c r="E25"/>
      <c r="F25"/>
      <c r="G25"/>
      <c r="H25"/>
      <c r="I25"/>
    </row>
    <row r="26" spans="2:9" s="2" customFormat="1">
      <c r="B26" s="65"/>
      <c r="C26"/>
      <c r="D26"/>
      <c r="E26"/>
      <c r="F26"/>
      <c r="G26"/>
      <c r="H26"/>
      <c r="I26"/>
    </row>
    <row r="27" spans="2:9" s="2" customFormat="1">
      <c r="B27" s="65"/>
      <c r="C27"/>
      <c r="D27"/>
      <c r="E27"/>
      <c r="F27"/>
      <c r="G27"/>
      <c r="H27"/>
      <c r="I27"/>
    </row>
    <row r="28" spans="2:9" s="2" customFormat="1">
      <c r="B28" s="66"/>
      <c r="C28"/>
      <c r="D28"/>
      <c r="E28"/>
      <c r="F28"/>
      <c r="G28"/>
      <c r="H28"/>
      <c r="I28"/>
    </row>
    <row r="29" spans="2:9" s="2" customFormat="1">
      <c r="B29" s="66"/>
      <c r="C29"/>
      <c r="D29"/>
      <c r="E29"/>
      <c r="F29"/>
      <c r="G29"/>
      <c r="H29"/>
      <c r="I29"/>
    </row>
    <row r="30" spans="2:9" s="2" customFormat="1">
      <c r="B30" s="66"/>
      <c r="C30"/>
      <c r="D30"/>
      <c r="E30"/>
      <c r="F30"/>
      <c r="G30"/>
      <c r="H30"/>
      <c r="I30"/>
    </row>
    <row r="31" spans="2:9" s="2" customFormat="1">
      <c r="B31" s="66"/>
      <c r="C31"/>
      <c r="D31"/>
      <c r="E31"/>
      <c r="F31"/>
      <c r="G31"/>
      <c r="H31"/>
      <c r="I31"/>
    </row>
    <row r="32" spans="2:9" s="2" customFormat="1">
      <c r="B32" s="66"/>
      <c r="C32"/>
      <c r="D32"/>
      <c r="E32"/>
      <c r="F32"/>
      <c r="G32"/>
      <c r="H32"/>
      <c r="I32"/>
    </row>
    <row r="33" spans="2:9" s="2" customFormat="1">
      <c r="B33" s="66"/>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uY3gPuiwyZ1M4r/vsEHdEKEQ5Y4cz6EdVCYXFO6IjfI=</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FGg3GH+hBTTc+aJZK7S/4HPkFZ4TRhHYf5qdlfoJy9s=</DigestValue>
    </Reference>
  </SignedInfo>
  <SignatureValue>pScevtwfVP89rMgvv3Pv69lotNdwGe1onlq08DWLBo3dh5bQszUGKuLR/P9AB8cBnwETj8b63lAa
lWJ+EtkNvvkBE4zMF2cbYFfSeC5gsNQg7mRXzQi2TB/rX9gByf1IHGiEYuWn1+kBNyUU0u5Mwgkz
djm1naXSYR+CGjOmmJIq55wBfRb9ZtZFhnx9GmYNEa3KJs42ie1ii3AO0/L1RdIfyC5MhZz867rx
XmZbr98a8cdHnmw4tPior5KOup2TQLdFm3or0HIfFq9OnUw019ua5z5mc+WMmzoHaY4AzHCR9DOy
q++xrGwW58nlbzP8vOsddlswFBbV+5J8mvUtrg==</SignatureValue>
  <KeyInfo>
    <X509Data>
      <X509Certificate>MIIGRDCCBSygAwIBAgIKOcYKDgADAAHYODANBgkqhkiG9w0BAQsFADBKMRIwEAYKCZImiZPyLGQBGRYCZ2UxEzARBgoJkiaJk/IsZAEZFgNuYmcxHzAdBgNVBAMTFk5CRyBDbGFzcyAyIElOVCBTdWIgQ0EwHhcNMjEwNDI2MDgwOTA0WhcNMjMwNDI2MDgwOTA0WjBCMRcwFQYDVQQKEw5KU0MgQ3JlZG8gQmFuazEnMCUGA1UEAxMeQkNEIC0gS29uc3RhbnRpbmUgR2hhbWJhc2hpZHplMIIBIjANBgkqhkiG9w0BAQEFAAOCAQ8AMIIBCgKCAQEA33P4sE1BXXF7aq5c9tojMpUFxqRyzhjm1+PjS5Lxiv4QL7UKfPA7SPppcboC7ZOrlBrTp9z0BVub3LtKRW6W+CJHVBGNM1+fnqi8G9kXDvkdSiQJfFKpjy8ScQKY/izJxV5dIhUlLvWIoFJVpF3idDROXaWIwJh0Er0Uqf3RKyJD6g0JvfcgGGwsLh10SdLjTFxvz3VEXz4sJjpCKvkTOFecj/oUx0UUqKM1QHiyaDKPdrMxSssk9+LmvszC3GHFuE/+9J7AiZe5Bh/RxCrJt4uTo5SqG+pEQyK36czwSgnEPfzSqmtQRQulK0cAfEr8dz/2IVOGzrlBnX+mSAeLVQIDAQABo4IDMjCCAy4wPAYJKwYBBAGCNxUHBC8wLQYlKwYBBAGCNxUI5rJgg431RIaBmQmDuKFKg76EcQSDxJEzhIOIXQIBZAIBIzAdBgNVHSUEFjAUBggrBgEFBQcDAgYIKwYBBQUHAwQwCwYDVR0PBAQDAgeAMCcGCSsGAQQBgjcVCgQaMBgwCgYIKwYBBQUHAwIwCgYIKwYBBQUHAwQwHQYDVR0OBBYEFFUlrgQqlarGcL9Hjpemc/49Fpu4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HX6fPg5umZJxTEXiaWxASjFU8Yxz3jfMi7iZfpIZ848I0in/2Swj0ZjXdtrtIaI05EyT4RyDfln51NSwBA9CsByzbuDhTce0ky99DR9HKsohQ2QR98RVJFP5RC+qUx07nkgqa4uCmUMiBbXWB8zXKRkMI6q+WQgHuA8l6pBajskoufJMbCw64sqDpxf6eRLs//KG2KRGtlKce4g7lhRqfINx6zwUR2GHC0RJ3FeT5eoK/a/u1RKH2IVikFOiPEKo5Y2T0Ds0mzneoXTwI+xwXKxGHALetwVNN6u5ybLEJ+rBrE9JFZf/tTwACBuh0FOF2wyPcsGQqsgDsgHjyar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GDo+vgGT6cWN2K4v4ijg2hQ8nE2YHNYKR3CtooD6dI8=</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Cu2vDuPSW1mXny4I1weog/uR73cw9lXDMrijOWg8HSA=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kevoElJhXHk0j9CCsIExc2ZUFt74lFyyLPnsnOJYavA=</DigestValue>
      </Reference>
      <Reference URI="/xl/styles.xml?ContentType=application/vnd.openxmlformats-officedocument.spreadsheetml.styles+xml">
        <DigestMethod Algorithm="http://www.w3.org/2001/04/xmlenc#sha256"/>
        <DigestValue>UUKI0bIVotsc+6P+KTqKYC4DalOf/1n32njdT7h8g1Q=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iFYGCm99Mgoxri1ssdcngfo2S1EMSeApn1PWxbe5HfQ=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ANFOeNNAplEr2E1BWH8Z+faBsmTGCsUzrtDtQEJV/Ug=</DigestValue>
      </Reference>
      <Reference URI="/xl/worksheets/sheet10.xml?ContentType=application/vnd.openxmlformats-officedocument.spreadsheetml.worksheet+xml">
        <DigestMethod Algorithm="http://www.w3.org/2001/04/xmlenc#sha256"/>
        <DigestValue>aAOvwzYW6pLrH/0RCihlnSH1p/ms4oPe0ummscj68l8=</DigestValue>
      </Reference>
      <Reference URI="/xl/worksheets/sheet11.xml?ContentType=application/vnd.openxmlformats-officedocument.spreadsheetml.worksheet+xml">
        <DigestMethod Algorithm="http://www.w3.org/2001/04/xmlenc#sha256"/>
        <DigestValue>8oC/1GAiAgv+DA4p8CZf6942t1UXSRKMI98UBBGioPk=</DigestValue>
      </Reference>
      <Reference URI="/xl/worksheets/sheet12.xml?ContentType=application/vnd.openxmlformats-officedocument.spreadsheetml.worksheet+xml">
        <DigestMethod Algorithm="http://www.w3.org/2001/04/xmlenc#sha256"/>
        <DigestValue>iP95SDUvEBVv6uDZZ7jI23MH+36q+Ki/V9lrn/IdEvE=</DigestValue>
      </Reference>
      <Reference URI="/xl/worksheets/sheet13.xml?ContentType=application/vnd.openxmlformats-officedocument.spreadsheetml.worksheet+xml">
        <DigestMethod Algorithm="http://www.w3.org/2001/04/xmlenc#sha256"/>
        <DigestValue>1dHFGsIU5Ww3i5QxFbNZNoNXJKpElbIvsdcgd1I3fU8=</DigestValue>
      </Reference>
      <Reference URI="/xl/worksheets/sheet14.xml?ContentType=application/vnd.openxmlformats-officedocument.spreadsheetml.worksheet+xml">
        <DigestMethod Algorithm="http://www.w3.org/2001/04/xmlenc#sha256"/>
        <DigestValue>kTQY3iiOXAHXpA3zEzcGw80E4NkRTzCrzeaED7UjezE=</DigestValue>
      </Reference>
      <Reference URI="/xl/worksheets/sheet15.xml?ContentType=application/vnd.openxmlformats-officedocument.spreadsheetml.worksheet+xml">
        <DigestMethod Algorithm="http://www.w3.org/2001/04/xmlenc#sha256"/>
        <DigestValue>5/NdficGZAuIAc7/ACPVF67TD6HLO7WT7Jd7ZajGMpI=</DigestValue>
      </Reference>
      <Reference URI="/xl/worksheets/sheet16.xml?ContentType=application/vnd.openxmlformats-officedocument.spreadsheetml.worksheet+xml">
        <DigestMethod Algorithm="http://www.w3.org/2001/04/xmlenc#sha256"/>
        <DigestValue>Kqs6HWo1upCjwj2C/9bj/1KlfV5wVvKqqzgS9oSRBfo=</DigestValue>
      </Reference>
      <Reference URI="/xl/worksheets/sheet17.xml?ContentType=application/vnd.openxmlformats-officedocument.spreadsheetml.worksheet+xml">
        <DigestMethod Algorithm="http://www.w3.org/2001/04/xmlenc#sha256"/>
        <DigestValue>Wbd6ZBfgLasI9zByp80u9XpGoNs9IqXMy325RKD+C70=</DigestValue>
      </Reference>
      <Reference URI="/xl/worksheets/sheet18.xml?ContentType=application/vnd.openxmlformats-officedocument.spreadsheetml.worksheet+xml">
        <DigestMethod Algorithm="http://www.w3.org/2001/04/xmlenc#sha256"/>
        <DigestValue>3ZA/2bu3PkL5KlR0Eh2UDdP2XiVchnmNeE2LB1vOt80=</DigestValue>
      </Reference>
      <Reference URI="/xl/worksheets/sheet2.xml?ContentType=application/vnd.openxmlformats-officedocument.spreadsheetml.worksheet+xml">
        <DigestMethod Algorithm="http://www.w3.org/2001/04/xmlenc#sha256"/>
        <DigestValue>MPu7TPOfNQXsGNkWmPjqG/gH26DcCdoHZhAtDm3bhBk=</DigestValue>
      </Reference>
      <Reference URI="/xl/worksheets/sheet3.xml?ContentType=application/vnd.openxmlformats-officedocument.spreadsheetml.worksheet+xml">
        <DigestMethod Algorithm="http://www.w3.org/2001/04/xmlenc#sha256"/>
        <DigestValue>UqgiMKpg6/vfzu9gkmVzzvojxKh/qNnaUdIjS0fJsDQ=</DigestValue>
      </Reference>
      <Reference URI="/xl/worksheets/sheet4.xml?ContentType=application/vnd.openxmlformats-officedocument.spreadsheetml.worksheet+xml">
        <DigestMethod Algorithm="http://www.w3.org/2001/04/xmlenc#sha256"/>
        <DigestValue>7YK38rZRF8Q6HA1EI6083x211+9kooCJv2wYvLcVqis=</DigestValue>
      </Reference>
      <Reference URI="/xl/worksheets/sheet5.xml?ContentType=application/vnd.openxmlformats-officedocument.spreadsheetml.worksheet+xml">
        <DigestMethod Algorithm="http://www.w3.org/2001/04/xmlenc#sha256"/>
        <DigestValue>d+8Bx7F5uoUH2rXFfy3eSsFQca41oFGeZCZOEKwLszA=</DigestValue>
      </Reference>
      <Reference URI="/xl/worksheets/sheet6.xml?ContentType=application/vnd.openxmlformats-officedocument.spreadsheetml.worksheet+xml">
        <DigestMethod Algorithm="http://www.w3.org/2001/04/xmlenc#sha256"/>
        <DigestValue>WwP4TFBQsf56gwIedbZ7wboahbvCt8UruPn/hn0FfZ8=</DigestValue>
      </Reference>
      <Reference URI="/xl/worksheets/sheet7.xml?ContentType=application/vnd.openxmlformats-officedocument.spreadsheetml.worksheet+xml">
        <DigestMethod Algorithm="http://www.w3.org/2001/04/xmlenc#sha256"/>
        <DigestValue>YpNNqF4zRV7LMpabJv1z34KSFpXfahMy0LA3CVZayoU=</DigestValue>
      </Reference>
      <Reference URI="/xl/worksheets/sheet8.xml?ContentType=application/vnd.openxmlformats-officedocument.spreadsheetml.worksheet+xml">
        <DigestMethod Algorithm="http://www.w3.org/2001/04/xmlenc#sha256"/>
        <DigestValue>Ce23HABbckQQIL+CxzBGBT7BxsSGpxg41UM0oBKPAy0=</DigestValue>
      </Reference>
      <Reference URI="/xl/worksheets/sheet9.xml?ContentType=application/vnd.openxmlformats-officedocument.spreadsheetml.worksheet+xml">
        <DigestMethod Algorithm="http://www.w3.org/2001/04/xmlenc#sha256"/>
        <DigestValue>WgTq9j7kBqtvAXM4w3Q/m9W0SGFrw6gZ15hj6jGiEso=</DigestValue>
      </Reference>
    </Manifest>
    <SignatureProperties>
      <SignatureProperty Id="idSignatureTime" Target="#idPackageSignature">
        <mdssi:SignatureTime xmlns:mdssi="http://schemas.openxmlformats.org/package/2006/digital-signature">
          <mdssi:Format>YYYY-MM-DDThh:mm:ssTZD</mdssi:Format>
          <mdssi:Value>2021-05-06T09:11:25Z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2021-05-06T09:11:25Z</xd:SigningTime>
          <xd:SigningCertificate>
            <xd:Cert>
              <xd:CertDigest>
                <DigestMethod Algorithm="http://www.w3.org/2001/04/xmlenc#sha256"/>
                <DigestValue>ib9G0rt/eke9U4WdfZ7mbQCLdnJAxAit3BwA2Oeq/Y0=</DigestValue>
              </xd:CertDigest>
              <xd:IssuerSerial>
                <X509IssuerName>CN=NBG Class 2 INT Sub CA, DC=nbg, DC=ge</X509IssuerName>
                <X509SerialNumber>272828069366767206651960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yk+iWBzjp7Lhqtww8nDL0rELAVnG441rPrUIxCzWjbw=</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q034+0H+JOls186ozKSCenW405JmJ75l4S0BKyMMZHQ=</DigestValue>
    </Reference>
  </SignedInfo>
  <SignatureValue>W21u868ILj6yIiMnUoB7DTuKfwMDByQ5wTRT2beDhjYPP/aSClZI6WxcDBaDDiJ8kOTFOheMVsqF
Z1h2ISV3IQsjjhvnax6auZq/Hz0E8GYo3BSa2lXKwgLWqew/XL8tRyYb7EqP17O2pXaYwVNQoOMn
4VukVFOFtgO/DW2S2jnl35+S8oC+28QdvEAYYXXrjSyo1ZBMv98qkoCh/VlRNW1A6RrsgaetZQdx
ARcMmu/kbgHjkVq77+PSb3Pvcm00XF0pz37L52WuACzv3TKWqkX1KFo5eYF57sDlqA1M0ZxWFqQV
o5c93IRf4KnJmeIbTV6tv5pfsiZkxQBHI98JRA==</SignatureValue>
  <KeyInfo>
    <X509Data>
      <X509Certificate>MIIGPjCCBSagAwIBAgIKOc6cjQADAAHYOTANBgkqhkiG9w0BAQsFADBKMRIwEAYKCZImiZPyLGQBGRYCZ2UxEzARBgoJkiaJk/IsZAEZFgNuYmcxHzAdBgNVBAMTFk5CRyBDbGFzcyAyIElOVCBTdWIgQ0EwHhcNMjEwNDI2MDgxODI2WhcNMjMwNDI2MDgxODI2WjA8MRcwFQYDVQQKEw5KU0MgQ3JlZG8gQmFuazEhMB8GA1UEAxMYQkNEIC0gRXJla2xlIFphdGlhc2h2aWxpMIIBIjANBgkqhkiG9w0BAQEFAAOCAQ8AMIIBCgKCAQEAzyljrneDVHgFYq1cQch3uhVO+evVaq30fOO9Rc9I+YbnFA+0gCbllXGeDl6S/lhiw+mpzgJn+tNU3qdK2Zgw3fJEeMFqxhPxvYd1+nnWERos/3bOvb6wV8NjfKzf7yLOSHHzZiGHCm1Bwfd5wWavHG0wqxQZ1y//CwtHXUIFX7QU4IsFQ6kHFtITh82298N5SFyTPKB4gyig2zOgIwsRn1WcdwFeswP5Bh4njITda2VHJpkB0IopNgRqsT+jpXdemEL3NzF9N8nuo+Aoacfv9GpSFRzUrI2WIq+0nx691dJqcAlh9vl4ZjjbeC8dOXCW9+d8WVd6AONiASrA2Rp+vwIDAQABo4IDMjCCAy4wPAYJKwYBBAGCNxUHBC8wLQYlKwYBBAGCNxUI5rJgg431RIaBmQmDuKFKg76EcQSDxJEzhIOIXQIBZAIBIzAdBgNVHSUEFjAUBggrBgEFBQcDAgYIKwYBBQUHAwQwCwYDVR0PBAQDAgeAMCcGCSsGAQQBgjcVCgQaMBgwCgYIKwYBBQUHAwIwCgYIKwYBBQUHAwQwHQYDVR0OBBYEFNRpsWaazNnQpDqKi2VzNVkjG4L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aqlgZXcQ0+lFclu7X9aYYvaIb2xYfgtQpvJMChlgqraRjZr02io9wXbUz2pdGHkJwN7xW96xqzea7Wu5Ug3E/zUCpvJGxDNH8UqlNKomIO6hutGECWz0c2TiByhJu9AaXQ34+guWCrhQn2O+NxuQeCMboFw8sAYKb9y3mx+lbH9rpoqTvBhjR5suF2pFZjFudr797fxxYoS34u+MM9NRiaG0HhzawANoVVAPnPdt3l98C+zKt+t+VTXC1LklkRj6A1zqMQvnTwkg0Y8svgtmDbHvr6jE5NTtar/ZHrQdMOHAYOa/a2FOzm5I2l7e1c/hcAwEwsZzaTB/DgKGElHsx</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GDo+vgGT6cWN2K4v4ijg2hQ8nE2YHNYKR3CtooD6dI8=</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Cu2vDuPSW1mXny4I1weog/uR73cw9lXDMrijOWg8HSA=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kevoElJhXHk0j9CCsIExc2ZUFt74lFyyLPnsnOJYavA=</DigestValue>
      </Reference>
      <Reference URI="/xl/styles.xml?ContentType=application/vnd.openxmlformats-officedocument.spreadsheetml.styles+xml">
        <DigestMethod Algorithm="http://www.w3.org/2001/04/xmlenc#sha256"/>
        <DigestValue>UUKI0bIVotsc+6P+KTqKYC4DalOf/1n32njdT7h8g1Q=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iFYGCm99Mgoxri1ssdcngfo2S1EMSeApn1PWxbe5HfQ=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ANFOeNNAplEr2E1BWH8Z+faBsmTGCsUzrtDtQEJV/Ug=</DigestValue>
      </Reference>
      <Reference URI="/xl/worksheets/sheet10.xml?ContentType=application/vnd.openxmlformats-officedocument.spreadsheetml.worksheet+xml">
        <DigestMethod Algorithm="http://www.w3.org/2001/04/xmlenc#sha256"/>
        <DigestValue>aAOvwzYW6pLrH/0RCihlnSH1p/ms4oPe0ummscj68l8=</DigestValue>
      </Reference>
      <Reference URI="/xl/worksheets/sheet11.xml?ContentType=application/vnd.openxmlformats-officedocument.spreadsheetml.worksheet+xml">
        <DigestMethod Algorithm="http://www.w3.org/2001/04/xmlenc#sha256"/>
        <DigestValue>8oC/1GAiAgv+DA4p8CZf6942t1UXSRKMI98UBBGioPk=</DigestValue>
      </Reference>
      <Reference URI="/xl/worksheets/sheet12.xml?ContentType=application/vnd.openxmlformats-officedocument.spreadsheetml.worksheet+xml">
        <DigestMethod Algorithm="http://www.w3.org/2001/04/xmlenc#sha256"/>
        <DigestValue>iP95SDUvEBVv6uDZZ7jI23MH+36q+Ki/V9lrn/IdEvE=</DigestValue>
      </Reference>
      <Reference URI="/xl/worksheets/sheet13.xml?ContentType=application/vnd.openxmlformats-officedocument.spreadsheetml.worksheet+xml">
        <DigestMethod Algorithm="http://www.w3.org/2001/04/xmlenc#sha256"/>
        <DigestValue>1dHFGsIU5Ww3i5QxFbNZNoNXJKpElbIvsdcgd1I3fU8=</DigestValue>
      </Reference>
      <Reference URI="/xl/worksheets/sheet14.xml?ContentType=application/vnd.openxmlformats-officedocument.spreadsheetml.worksheet+xml">
        <DigestMethod Algorithm="http://www.w3.org/2001/04/xmlenc#sha256"/>
        <DigestValue>kTQY3iiOXAHXpA3zEzcGw80E4NkRTzCrzeaED7UjezE=</DigestValue>
      </Reference>
      <Reference URI="/xl/worksheets/sheet15.xml?ContentType=application/vnd.openxmlformats-officedocument.spreadsheetml.worksheet+xml">
        <DigestMethod Algorithm="http://www.w3.org/2001/04/xmlenc#sha256"/>
        <DigestValue>5/NdficGZAuIAc7/ACPVF67TD6HLO7WT7Jd7ZajGMpI=</DigestValue>
      </Reference>
      <Reference URI="/xl/worksheets/sheet16.xml?ContentType=application/vnd.openxmlformats-officedocument.spreadsheetml.worksheet+xml">
        <DigestMethod Algorithm="http://www.w3.org/2001/04/xmlenc#sha256"/>
        <DigestValue>Kqs6HWo1upCjwj2C/9bj/1KlfV5wVvKqqzgS9oSRBfo=</DigestValue>
      </Reference>
      <Reference URI="/xl/worksheets/sheet17.xml?ContentType=application/vnd.openxmlformats-officedocument.spreadsheetml.worksheet+xml">
        <DigestMethod Algorithm="http://www.w3.org/2001/04/xmlenc#sha256"/>
        <DigestValue>Wbd6ZBfgLasI9zByp80u9XpGoNs9IqXMy325RKD+C70=</DigestValue>
      </Reference>
      <Reference URI="/xl/worksheets/sheet18.xml?ContentType=application/vnd.openxmlformats-officedocument.spreadsheetml.worksheet+xml">
        <DigestMethod Algorithm="http://www.w3.org/2001/04/xmlenc#sha256"/>
        <DigestValue>3ZA/2bu3PkL5KlR0Eh2UDdP2XiVchnmNeE2LB1vOt80=</DigestValue>
      </Reference>
      <Reference URI="/xl/worksheets/sheet2.xml?ContentType=application/vnd.openxmlformats-officedocument.spreadsheetml.worksheet+xml">
        <DigestMethod Algorithm="http://www.w3.org/2001/04/xmlenc#sha256"/>
        <DigestValue>MPu7TPOfNQXsGNkWmPjqG/gH26DcCdoHZhAtDm3bhBk=</DigestValue>
      </Reference>
      <Reference URI="/xl/worksheets/sheet3.xml?ContentType=application/vnd.openxmlformats-officedocument.spreadsheetml.worksheet+xml">
        <DigestMethod Algorithm="http://www.w3.org/2001/04/xmlenc#sha256"/>
        <DigestValue>UqgiMKpg6/vfzu9gkmVzzvojxKh/qNnaUdIjS0fJsDQ=</DigestValue>
      </Reference>
      <Reference URI="/xl/worksheets/sheet4.xml?ContentType=application/vnd.openxmlformats-officedocument.spreadsheetml.worksheet+xml">
        <DigestMethod Algorithm="http://www.w3.org/2001/04/xmlenc#sha256"/>
        <DigestValue>7YK38rZRF8Q6HA1EI6083x211+9kooCJv2wYvLcVqis=</DigestValue>
      </Reference>
      <Reference URI="/xl/worksheets/sheet5.xml?ContentType=application/vnd.openxmlformats-officedocument.spreadsheetml.worksheet+xml">
        <DigestMethod Algorithm="http://www.w3.org/2001/04/xmlenc#sha256"/>
        <DigestValue>d+8Bx7F5uoUH2rXFfy3eSsFQca41oFGeZCZOEKwLszA=</DigestValue>
      </Reference>
      <Reference URI="/xl/worksheets/sheet6.xml?ContentType=application/vnd.openxmlformats-officedocument.spreadsheetml.worksheet+xml">
        <DigestMethod Algorithm="http://www.w3.org/2001/04/xmlenc#sha256"/>
        <DigestValue>WwP4TFBQsf56gwIedbZ7wboahbvCt8UruPn/hn0FfZ8=</DigestValue>
      </Reference>
      <Reference URI="/xl/worksheets/sheet7.xml?ContentType=application/vnd.openxmlformats-officedocument.spreadsheetml.worksheet+xml">
        <DigestMethod Algorithm="http://www.w3.org/2001/04/xmlenc#sha256"/>
        <DigestValue>YpNNqF4zRV7LMpabJv1z34KSFpXfahMy0LA3CVZayoU=</DigestValue>
      </Reference>
      <Reference URI="/xl/worksheets/sheet8.xml?ContentType=application/vnd.openxmlformats-officedocument.spreadsheetml.worksheet+xml">
        <DigestMethod Algorithm="http://www.w3.org/2001/04/xmlenc#sha256"/>
        <DigestValue>Ce23HABbckQQIL+CxzBGBT7BxsSGpxg41UM0oBKPAy0=</DigestValue>
      </Reference>
      <Reference URI="/xl/worksheets/sheet9.xml?ContentType=application/vnd.openxmlformats-officedocument.spreadsheetml.worksheet+xml">
        <DigestMethod Algorithm="http://www.w3.org/2001/04/xmlenc#sha256"/>
        <DigestValue>WgTq9j7kBqtvAXM4w3Q/m9W0SGFrw6gZ15hj6jGiEso=</DigestValue>
      </Reference>
    </Manifest>
    <SignatureProperties>
      <SignatureProperty Id="idSignatureTime" Target="#idPackageSignature">
        <mdssi:SignatureTime xmlns:mdssi="http://schemas.openxmlformats.org/package/2006/digital-signature">
          <mdssi:Format>YYYY-MM-DDThh:mm:ssTZD</mdssi:Format>
          <mdssi:Value>2021-05-06T09:20:24Z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2021-05-06T09:20:24Z</xd:SigningTime>
          <xd:SigningCertificate>
            <xd:Cert>
              <xd:CertDigest>
                <DigestMethod Algorithm="http://www.w3.org/2001/04/xmlenc#sha256"/>
                <DigestValue>ubZ+j4TYy4Ebz+hPDSzgc/X9AGOc46GS+taq7lnur1s=</DigestValue>
              </xd:CertDigest>
              <xd:IssuerSerial>
                <X509IssuerName>CN=NBG Class 2 INT Sub CA, DC=nbg, DC=ge</X509IssuerName>
                <X509SerialNumber>272986199475408462796857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2021-05-06T09:10:19Z</dcterms:modified>
</cp:coreProperties>
</file>