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5" tabRatio="86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104" l="1"/>
  <c r="B1" i="104"/>
  <c r="B2" i="103"/>
  <c r="B1" i="103"/>
  <c r="L33" i="102"/>
  <c r="K33" i="102"/>
  <c r="J33" i="102"/>
  <c r="I33" i="102"/>
  <c r="H33" i="102"/>
  <c r="G33" i="102"/>
  <c r="F33" i="102"/>
  <c r="E33" i="102"/>
  <c r="D33" i="102"/>
  <c r="C33" i="102"/>
  <c r="B2" i="102"/>
  <c r="B1" i="102"/>
  <c r="B2" i="101"/>
  <c r="B1" i="101"/>
  <c r="B2" i="100"/>
  <c r="B1" i="100"/>
  <c r="C10" i="99"/>
  <c r="C18" i="99" s="1"/>
  <c r="B2" i="99"/>
  <c r="B1" i="99"/>
  <c r="D10" i="98"/>
  <c r="C10" i="98"/>
  <c r="D7" i="98"/>
  <c r="D15" i="98" s="1"/>
  <c r="C7" i="98"/>
  <c r="C15" i="98" s="1"/>
  <c r="B2" i="98"/>
  <c r="B1" i="98"/>
  <c r="H34" i="97"/>
  <c r="G34" i="97"/>
  <c r="F34" i="97"/>
  <c r="E34" i="97"/>
  <c r="D34" i="97"/>
  <c r="C34" i="97"/>
  <c r="H33" i="97"/>
  <c r="H32" i="97"/>
  <c r="H31" i="97"/>
  <c r="H30" i="97"/>
  <c r="H29" i="97"/>
  <c r="H28" i="97"/>
  <c r="H27" i="97"/>
  <c r="H26" i="97"/>
  <c r="H25" i="97"/>
  <c r="H24" i="97"/>
  <c r="H23" i="97"/>
  <c r="H22" i="97"/>
  <c r="H21" i="97"/>
  <c r="H20" i="97"/>
  <c r="H19" i="97"/>
  <c r="H18" i="97"/>
  <c r="H17" i="97"/>
  <c r="H16" i="97"/>
  <c r="H15" i="97"/>
  <c r="H14" i="97"/>
  <c r="H13" i="97"/>
  <c r="H12" i="97"/>
  <c r="H11" i="97"/>
  <c r="H10" i="97"/>
  <c r="H9" i="97"/>
  <c r="H8" i="97"/>
  <c r="H7" i="97"/>
  <c r="B2" i="97"/>
  <c r="B1" i="97"/>
  <c r="B2" i="96"/>
  <c r="B1" i="96"/>
  <c r="B2" i="95"/>
  <c r="B1" i="95"/>
  <c r="B2" i="80"/>
  <c r="B1" i="80"/>
  <c r="B2" i="79"/>
  <c r="B1" i="79"/>
  <c r="B2" i="37"/>
  <c r="B1" i="37"/>
  <c r="J24" i="36"/>
  <c r="J25" i="36" s="1"/>
  <c r="I24" i="36"/>
  <c r="G24" i="36"/>
  <c r="G25" i="36" s="1"/>
  <c r="F24" i="36"/>
  <c r="H24" i="36" s="1"/>
  <c r="J23" i="36"/>
  <c r="I23" i="36"/>
  <c r="I25" i="36" s="1"/>
  <c r="H23" i="36"/>
  <c r="H25" i="36" s="1"/>
  <c r="G23" i="36"/>
  <c r="F23" i="36"/>
  <c r="F25" i="36" s="1"/>
  <c r="K21" i="36"/>
  <c r="J21" i="36"/>
  <c r="I21" i="36"/>
  <c r="G21" i="36"/>
  <c r="F21" i="36"/>
  <c r="H21" i="36" s="1"/>
  <c r="D21" i="36"/>
  <c r="C21" i="36"/>
  <c r="E21" i="36" s="1"/>
  <c r="K20" i="36"/>
  <c r="H20" i="36"/>
  <c r="E20" i="36"/>
  <c r="K19" i="36"/>
  <c r="H19" i="36"/>
  <c r="E19" i="36"/>
  <c r="K18" i="36"/>
  <c r="H18" i="36"/>
  <c r="E18" i="36"/>
  <c r="J16" i="36"/>
  <c r="I16" i="36"/>
  <c r="K16" i="36" s="1"/>
  <c r="G16" i="36"/>
  <c r="F16" i="36"/>
  <c r="H16" i="36" s="1"/>
  <c r="E16" i="36"/>
  <c r="D16" i="36"/>
  <c r="C16" i="36"/>
  <c r="K15" i="36"/>
  <c r="H15" i="36"/>
  <c r="E15" i="36"/>
  <c r="K14" i="36"/>
  <c r="H14" i="36"/>
  <c r="E14" i="36"/>
  <c r="K13" i="36"/>
  <c r="H13" i="36"/>
  <c r="E13" i="36"/>
  <c r="K12" i="36"/>
  <c r="H12" i="36"/>
  <c r="E12" i="36"/>
  <c r="K11" i="36"/>
  <c r="H11" i="36"/>
  <c r="E11" i="36"/>
  <c r="K10" i="36"/>
  <c r="H10" i="36"/>
  <c r="E10" i="36"/>
  <c r="K8" i="36"/>
  <c r="H8" i="36"/>
  <c r="B2" i="36"/>
  <c r="B1" i="36"/>
  <c r="G9" i="74"/>
  <c r="G10" i="74"/>
  <c r="G11" i="74"/>
  <c r="H11" i="74" s="1"/>
  <c r="G12" i="74"/>
  <c r="G13" i="74"/>
  <c r="G14" i="74"/>
  <c r="G15" i="74"/>
  <c r="G16" i="74"/>
  <c r="G17" i="74"/>
  <c r="G18" i="74"/>
  <c r="G19" i="74"/>
  <c r="G20" i="74"/>
  <c r="G21" i="74"/>
  <c r="G8" i="74"/>
  <c r="F9" i="74"/>
  <c r="F10" i="74"/>
  <c r="F11" i="74"/>
  <c r="F12" i="74"/>
  <c r="F13" i="74"/>
  <c r="F14" i="74"/>
  <c r="F15" i="74"/>
  <c r="F16" i="74"/>
  <c r="F17" i="74"/>
  <c r="F18" i="74"/>
  <c r="F19" i="74"/>
  <c r="F20" i="74"/>
  <c r="F21" i="74"/>
  <c r="H21" i="74" s="1"/>
  <c r="F8" i="74"/>
  <c r="E9" i="74"/>
  <c r="E10" i="74"/>
  <c r="E11" i="74"/>
  <c r="E12" i="74"/>
  <c r="E13" i="74"/>
  <c r="E14" i="74"/>
  <c r="E15" i="74"/>
  <c r="E16" i="74"/>
  <c r="E17" i="74"/>
  <c r="E18" i="74"/>
  <c r="E19" i="74"/>
  <c r="E20" i="74"/>
  <c r="E21" i="74"/>
  <c r="E8" i="74"/>
  <c r="C22" i="74"/>
  <c r="C9" i="74"/>
  <c r="D9" i="74"/>
  <c r="C10" i="74"/>
  <c r="D10" i="74"/>
  <c r="C11" i="74"/>
  <c r="D11" i="74"/>
  <c r="C12" i="74"/>
  <c r="D12" i="74"/>
  <c r="C13" i="74"/>
  <c r="D13" i="74"/>
  <c r="C14" i="74"/>
  <c r="D14" i="74"/>
  <c r="C15" i="74"/>
  <c r="D15" i="74"/>
  <c r="C16" i="74"/>
  <c r="D16" i="74"/>
  <c r="C17" i="74"/>
  <c r="D17" i="74"/>
  <c r="C18" i="74"/>
  <c r="D18" i="74"/>
  <c r="C19" i="74"/>
  <c r="D19" i="74"/>
  <c r="C20" i="74"/>
  <c r="D20" i="74"/>
  <c r="C21" i="74"/>
  <c r="D21" i="74"/>
  <c r="D8" i="74"/>
  <c r="C8" i="74"/>
  <c r="H19" i="74"/>
  <c r="H17" i="74"/>
  <c r="H9" i="74"/>
  <c r="H8" i="74"/>
  <c r="B2" i="74"/>
  <c r="B1" i="74"/>
  <c r="U13" i="64"/>
  <c r="D13" i="64"/>
  <c r="B2" i="64"/>
  <c r="B1" i="64"/>
  <c r="B2" i="35"/>
  <c r="B1" i="35"/>
  <c r="C66" i="69"/>
  <c r="C65" i="69"/>
  <c r="C64" i="69"/>
  <c r="C63" i="69"/>
  <c r="C61" i="69"/>
  <c r="C60" i="69"/>
  <c r="C59" i="69"/>
  <c r="C57" i="69"/>
  <c r="C56" i="69"/>
  <c r="C55" i="69"/>
  <c r="C54" i="69"/>
  <c r="C51" i="69"/>
  <c r="C50" i="69"/>
  <c r="C49" i="69"/>
  <c r="C48" i="69"/>
  <c r="C47" i="69"/>
  <c r="C45" i="69"/>
  <c r="C39" i="69"/>
  <c r="C44" i="69"/>
  <c r="C43" i="69"/>
  <c r="C42" i="69"/>
  <c r="C41" i="69"/>
  <c r="C38" i="69"/>
  <c r="C37" i="69" s="1"/>
  <c r="C34" i="69"/>
  <c r="C32" i="69"/>
  <c r="C33" i="69"/>
  <c r="C31" i="69"/>
  <c r="C30" i="69"/>
  <c r="C28" i="69"/>
  <c r="C27" i="69"/>
  <c r="C26" i="69" s="1"/>
  <c r="C25" i="69"/>
  <c r="C23" i="69" s="1"/>
  <c r="C24" i="69"/>
  <c r="C22" i="69"/>
  <c r="C21" i="69"/>
  <c r="C20" i="69"/>
  <c r="C19" i="69"/>
  <c r="C17" i="69"/>
  <c r="C16" i="69"/>
  <c r="C15" i="69"/>
  <c r="C13" i="69"/>
  <c r="C12" i="69"/>
  <c r="C10" i="69"/>
  <c r="C11" i="69"/>
  <c r="C9" i="69"/>
  <c r="C6" i="69" s="1"/>
  <c r="C8" i="69"/>
  <c r="C7" i="69"/>
  <c r="C62" i="69"/>
  <c r="C58" i="69"/>
  <c r="C67" i="69" s="1"/>
  <c r="C46" i="69"/>
  <c r="C40" i="69"/>
  <c r="C29" i="69"/>
  <c r="C18" i="69"/>
  <c r="C14" i="69"/>
  <c r="B2" i="69"/>
  <c r="B1" i="69"/>
  <c r="B2" i="77"/>
  <c r="B1" i="77"/>
  <c r="C15" i="28"/>
  <c r="C11" i="28"/>
  <c r="C7" i="28"/>
  <c r="B2" i="28"/>
  <c r="B1" i="28"/>
  <c r="C6" i="73"/>
  <c r="B2" i="73"/>
  <c r="B1" i="73"/>
  <c r="C36" i="72"/>
  <c r="C35" i="72"/>
  <c r="C34" i="72"/>
  <c r="E34" i="72" s="1"/>
  <c r="C33" i="72"/>
  <c r="C32" i="72"/>
  <c r="E32" i="72" s="1"/>
  <c r="E31" i="72" s="1"/>
  <c r="C30" i="72"/>
  <c r="C29" i="72"/>
  <c r="C28" i="72" s="1"/>
  <c r="C27" i="72"/>
  <c r="C26" i="72"/>
  <c r="C24" i="72"/>
  <c r="C23" i="72"/>
  <c r="C22" i="72"/>
  <c r="C21" i="72"/>
  <c r="C19" i="72"/>
  <c r="C18" i="72"/>
  <c r="E18" i="72" s="1"/>
  <c r="C17" i="72"/>
  <c r="C16" i="72" s="1"/>
  <c r="C15" i="72"/>
  <c r="C14" i="72"/>
  <c r="C13" i="72"/>
  <c r="C12" i="72"/>
  <c r="C11" i="72"/>
  <c r="C10" i="72"/>
  <c r="E10" i="72" s="1"/>
  <c r="C9" i="72"/>
  <c r="E9" i="72" s="1"/>
  <c r="E8" i="72" s="1"/>
  <c r="E36" i="72"/>
  <c r="E35" i="72"/>
  <c r="E33" i="72"/>
  <c r="D31" i="72"/>
  <c r="E27" i="72"/>
  <c r="E26" i="72"/>
  <c r="E25" i="72" s="1"/>
  <c r="D25" i="72"/>
  <c r="E24" i="72"/>
  <c r="E23" i="72"/>
  <c r="E22" i="72"/>
  <c r="E21" i="72"/>
  <c r="E20" i="72" s="1"/>
  <c r="D20" i="72"/>
  <c r="C20" i="72"/>
  <c r="E19" i="72"/>
  <c r="D16" i="72"/>
  <c r="E15" i="72"/>
  <c r="E14" i="72"/>
  <c r="E13" i="72"/>
  <c r="E12" i="72"/>
  <c r="E11" i="72"/>
  <c r="D8" i="72"/>
  <c r="B2" i="72"/>
  <c r="B1" i="72"/>
  <c r="B2" i="52"/>
  <c r="B1" i="52"/>
  <c r="B2" i="71"/>
  <c r="B1" i="71"/>
  <c r="B2" i="94"/>
  <c r="B1" i="94"/>
  <c r="B2" i="93"/>
  <c r="B1" i="93"/>
  <c r="D15" i="92"/>
  <c r="C15" i="92"/>
  <c r="B2" i="92"/>
  <c r="B1" i="92"/>
  <c r="K24" i="36" l="1"/>
  <c r="K23" i="36"/>
  <c r="K25" i="36" s="1"/>
  <c r="H15" i="74"/>
  <c r="H13" i="74"/>
  <c r="H16" i="74"/>
  <c r="H10" i="74"/>
  <c r="H20" i="74"/>
  <c r="H18" i="74"/>
  <c r="H12" i="74"/>
  <c r="H14" i="74"/>
  <c r="C35" i="69"/>
  <c r="C52" i="69"/>
  <c r="C68" i="69" s="1"/>
  <c r="C8" i="72"/>
  <c r="E17" i="72"/>
  <c r="E16" i="72" s="1"/>
  <c r="C25" i="72"/>
  <c r="C37" i="72" s="1"/>
  <c r="C31" i="72"/>
  <c r="D29" i="72"/>
  <c r="D30" i="72"/>
  <c r="E30" i="72" s="1"/>
  <c r="D28" i="72" l="1"/>
  <c r="D37" i="72" s="1"/>
  <c r="E29" i="72"/>
  <c r="E28" i="72" s="1"/>
  <c r="E37" i="72" s="1"/>
  <c r="C22" i="95" l="1"/>
  <c r="H21" i="95"/>
  <c r="H7" i="96" l="1"/>
  <c r="H8" i="96"/>
  <c r="H9" i="96"/>
  <c r="H10" i="96"/>
  <c r="H11" i="96"/>
  <c r="H12" i="96"/>
  <c r="H21" i="96" s="1"/>
  <c r="H13" i="96"/>
  <c r="H14" i="96"/>
  <c r="H15" i="96"/>
  <c r="H16" i="96"/>
  <c r="H17" i="96"/>
  <c r="H18" i="96"/>
  <c r="H19" i="96"/>
  <c r="H20" i="96"/>
  <c r="C21" i="96"/>
  <c r="D21" i="96"/>
  <c r="E21" i="96"/>
  <c r="F21" i="96"/>
  <c r="G21" i="96"/>
  <c r="H22" i="96"/>
  <c r="H23" i="96"/>
  <c r="H8" i="95"/>
  <c r="H9" i="95"/>
  <c r="H10" i="95"/>
  <c r="H11" i="95"/>
  <c r="H12" i="95"/>
  <c r="H13" i="95"/>
  <c r="H14" i="95"/>
  <c r="H15" i="95"/>
  <c r="H16" i="95"/>
  <c r="H17" i="95"/>
  <c r="H18" i="95"/>
  <c r="H22" i="95" s="1"/>
  <c r="H19" i="95"/>
  <c r="H20" i="95"/>
  <c r="D22" i="95"/>
  <c r="E22" i="95"/>
  <c r="F22" i="95"/>
  <c r="G22" i="95"/>
  <c r="G45" i="93" l="1"/>
  <c r="F45" i="93"/>
  <c r="H43" i="94" l="1"/>
  <c r="E43" i="94"/>
  <c r="H42" i="94"/>
  <c r="E42" i="94"/>
  <c r="H41" i="94"/>
  <c r="E41" i="94"/>
  <c r="H40" i="94"/>
  <c r="E40" i="94"/>
  <c r="H39" i="94"/>
  <c r="E39" i="94"/>
  <c r="G38" i="94"/>
  <c r="F38" i="94"/>
  <c r="D38" i="94"/>
  <c r="C38" i="94"/>
  <c r="E38" i="94" s="1"/>
  <c r="H37" i="94"/>
  <c r="E37" i="94"/>
  <c r="H36" i="94"/>
  <c r="E36" i="94"/>
  <c r="H35" i="94"/>
  <c r="E35" i="94"/>
  <c r="H34" i="94"/>
  <c r="E34" i="94"/>
  <c r="H33" i="94"/>
  <c r="E33" i="94"/>
  <c r="H32" i="94"/>
  <c r="E32" i="94"/>
  <c r="H31" i="94"/>
  <c r="E31" i="94"/>
  <c r="G30" i="94"/>
  <c r="F30" i="94"/>
  <c r="H30" i="94" s="1"/>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D14" i="94" s="1"/>
  <c r="C17" i="94"/>
  <c r="C14" i="94" s="1"/>
  <c r="H16" i="94"/>
  <c r="E16" i="94"/>
  <c r="H15" i="94"/>
  <c r="E15" i="94"/>
  <c r="G14" i="94"/>
  <c r="F14" i="94"/>
  <c r="H13" i="94"/>
  <c r="E13" i="94"/>
  <c r="H12" i="94"/>
  <c r="E12" i="94"/>
  <c r="G11" i="94"/>
  <c r="F11" i="94"/>
  <c r="D11" i="94"/>
  <c r="C11" i="94"/>
  <c r="H10" i="94"/>
  <c r="E10" i="94"/>
  <c r="H9" i="94"/>
  <c r="E9" i="94"/>
  <c r="G8" i="94"/>
  <c r="F8" i="94"/>
  <c r="D8" i="94"/>
  <c r="C8" i="94"/>
  <c r="H7" i="94"/>
  <c r="E7" i="94"/>
  <c r="H6" i="94"/>
  <c r="E6" i="94"/>
  <c r="H44" i="93"/>
  <c r="E44" i="93"/>
  <c r="H42" i="93"/>
  <c r="E42" i="93"/>
  <c r="H41" i="93"/>
  <c r="E41" i="93"/>
  <c r="H40" i="93"/>
  <c r="E40" i="93"/>
  <c r="H39" i="93"/>
  <c r="E39" i="93"/>
  <c r="H38" i="93"/>
  <c r="E38" i="93"/>
  <c r="G37" i="93"/>
  <c r="F37" i="93"/>
  <c r="H37" i="93" s="1"/>
  <c r="D37" i="93"/>
  <c r="C37" i="93"/>
  <c r="E37" i="93" s="1"/>
  <c r="H36" i="93"/>
  <c r="E36" i="93"/>
  <c r="H35" i="93"/>
  <c r="E35" i="93"/>
  <c r="G34" i="93"/>
  <c r="F34" i="93"/>
  <c r="H34" i="93" s="1"/>
  <c r="D34" i="93"/>
  <c r="C34" i="93"/>
  <c r="E34" i="93" s="1"/>
  <c r="H33" i="93"/>
  <c r="E33" i="93"/>
  <c r="H32" i="93"/>
  <c r="E32" i="93"/>
  <c r="H31" i="93"/>
  <c r="E31" i="93"/>
  <c r="H30" i="93"/>
  <c r="E30" i="93"/>
  <c r="G29" i="93"/>
  <c r="F29" i="93"/>
  <c r="H29" i="93" s="1"/>
  <c r="D29" i="93"/>
  <c r="C29" i="93"/>
  <c r="E29" i="93" s="1"/>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H13" i="93"/>
  <c r="G13" i="93"/>
  <c r="F13" i="93"/>
  <c r="D13" i="93"/>
  <c r="C13" i="93"/>
  <c r="E13" i="93" s="1"/>
  <c r="H12" i="93"/>
  <c r="E12" i="93"/>
  <c r="H11" i="93"/>
  <c r="E11" i="93"/>
  <c r="H10" i="93"/>
  <c r="E10" i="93"/>
  <c r="H9" i="93"/>
  <c r="E9" i="93"/>
  <c r="H8" i="93"/>
  <c r="E8" i="93"/>
  <c r="H7" i="93"/>
  <c r="E7" i="93"/>
  <c r="G6" i="93"/>
  <c r="G43" i="93" s="1"/>
  <c r="F6" i="93"/>
  <c r="F43" i="93" s="1"/>
  <c r="D6" i="93"/>
  <c r="C6" i="93"/>
  <c r="C43" i="93" s="1"/>
  <c r="C45" i="93" s="1"/>
  <c r="G68" i="92"/>
  <c r="G69" i="92" s="1"/>
  <c r="F68" i="92"/>
  <c r="F69" i="92" s="1"/>
  <c r="H67" i="92"/>
  <c r="E67" i="92"/>
  <c r="H66" i="92"/>
  <c r="E66" i="92"/>
  <c r="H65" i="92"/>
  <c r="E65" i="92"/>
  <c r="H64" i="92"/>
  <c r="E64" i="92"/>
  <c r="H63" i="92"/>
  <c r="D63" i="92"/>
  <c r="C63" i="92"/>
  <c r="E63" i="92" s="1"/>
  <c r="H62" i="92"/>
  <c r="E62" i="92"/>
  <c r="H61" i="92"/>
  <c r="E61" i="92"/>
  <c r="H60" i="92"/>
  <c r="E60" i="92"/>
  <c r="H59" i="92"/>
  <c r="E59" i="92"/>
  <c r="D59" i="92"/>
  <c r="D68" i="92" s="1"/>
  <c r="C59" i="92"/>
  <c r="C68" i="92" s="1"/>
  <c r="E68" i="92" s="1"/>
  <c r="H58" i="92"/>
  <c r="E58" i="92"/>
  <c r="H57" i="92"/>
  <c r="E57" i="92"/>
  <c r="H56" i="92"/>
  <c r="E56" i="92"/>
  <c r="H55" i="92"/>
  <c r="E55" i="92"/>
  <c r="H52" i="92"/>
  <c r="E52" i="92"/>
  <c r="H51" i="92"/>
  <c r="E51" i="92"/>
  <c r="H50" i="92"/>
  <c r="E50" i="92"/>
  <c r="H49" i="92"/>
  <c r="E49" i="92"/>
  <c r="H48" i="92"/>
  <c r="E48" i="92"/>
  <c r="G47" i="92"/>
  <c r="F47" i="92"/>
  <c r="H47" i="92" s="1"/>
  <c r="D47" i="92"/>
  <c r="C47" i="92"/>
  <c r="E47" i="92" s="1"/>
  <c r="H46" i="92"/>
  <c r="E46" i="92"/>
  <c r="H45" i="92"/>
  <c r="E45" i="92"/>
  <c r="H44" i="92"/>
  <c r="E44" i="92"/>
  <c r="H43" i="92"/>
  <c r="E43" i="92"/>
  <c r="H42" i="92"/>
  <c r="E42" i="92"/>
  <c r="G41" i="92"/>
  <c r="G53" i="92" s="1"/>
  <c r="F41" i="92"/>
  <c r="H41" i="92" s="1"/>
  <c r="D41" i="92"/>
  <c r="D53" i="92" s="1"/>
  <c r="C41" i="92"/>
  <c r="H40" i="92"/>
  <c r="E40" i="92"/>
  <c r="H39" i="92"/>
  <c r="E39" i="92"/>
  <c r="H38" i="92"/>
  <c r="E38" i="92"/>
  <c r="H35" i="92"/>
  <c r="E35" i="92"/>
  <c r="H34" i="92"/>
  <c r="E34" i="92"/>
  <c r="H33" i="92"/>
  <c r="E33" i="92"/>
  <c r="H32" i="92"/>
  <c r="E32" i="92"/>
  <c r="H31" i="92"/>
  <c r="E31" i="92"/>
  <c r="G30" i="92"/>
  <c r="G36" i="92" s="1"/>
  <c r="F30" i="92"/>
  <c r="H30" i="92" s="1"/>
  <c r="D30" i="92"/>
  <c r="C30" i="92"/>
  <c r="E30" i="92" s="1"/>
  <c r="H29" i="92"/>
  <c r="E29" i="92"/>
  <c r="H28" i="92"/>
  <c r="E28" i="92"/>
  <c r="H27" i="92"/>
  <c r="G27" i="92"/>
  <c r="F27" i="92"/>
  <c r="D27" i="92"/>
  <c r="C27" i="92"/>
  <c r="E27" i="92" s="1"/>
  <c r="H26" i="92"/>
  <c r="E26" i="92"/>
  <c r="H25" i="92"/>
  <c r="E25" i="92"/>
  <c r="G24" i="92"/>
  <c r="F24" i="92"/>
  <c r="F36" i="92" s="1"/>
  <c r="H36" i="92" s="1"/>
  <c r="D24" i="92"/>
  <c r="C24" i="92"/>
  <c r="E24" i="92" s="1"/>
  <c r="H23" i="92"/>
  <c r="E23" i="92"/>
  <c r="H22" i="92"/>
  <c r="E22" i="92"/>
  <c r="H21" i="92"/>
  <c r="E21" i="92"/>
  <c r="H20" i="92"/>
  <c r="E20" i="92"/>
  <c r="H19" i="92"/>
  <c r="G19" i="92"/>
  <c r="F19" i="92"/>
  <c r="D19" i="92"/>
  <c r="C19" i="92"/>
  <c r="E19" i="92" s="1"/>
  <c r="H18" i="92"/>
  <c r="E18" i="92"/>
  <c r="H17" i="92"/>
  <c r="E17" i="92"/>
  <c r="H16" i="92"/>
  <c r="E16" i="92"/>
  <c r="H15" i="92"/>
  <c r="G15" i="92"/>
  <c r="F15" i="92"/>
  <c r="E15" i="92"/>
  <c r="H14" i="92"/>
  <c r="E14" i="92"/>
  <c r="H13" i="92"/>
  <c r="E13" i="92"/>
  <c r="H12" i="92"/>
  <c r="E12" i="92"/>
  <c r="H11" i="92"/>
  <c r="E11" i="92"/>
  <c r="H10" i="92"/>
  <c r="E10" i="92"/>
  <c r="H9" i="92"/>
  <c r="E9" i="92"/>
  <c r="H8" i="92"/>
  <c r="E8" i="92"/>
  <c r="H7" i="92"/>
  <c r="G7" i="92"/>
  <c r="F7" i="92"/>
  <c r="D7" i="92"/>
  <c r="D36" i="92" s="1"/>
  <c r="C7" i="92"/>
  <c r="C36" i="92" s="1"/>
  <c r="E6" i="93" l="1"/>
  <c r="E41" i="92"/>
  <c r="E36" i="92"/>
  <c r="H8" i="94"/>
  <c r="E8" i="94"/>
  <c r="E14" i="94"/>
  <c r="H38" i="94"/>
  <c r="E30" i="94"/>
  <c r="E11" i="94"/>
  <c r="E17" i="94"/>
  <c r="H11" i="94"/>
  <c r="H14" i="94"/>
  <c r="H43" i="93"/>
  <c r="H45" i="93"/>
  <c r="H6" i="93"/>
  <c r="D43" i="93"/>
  <c r="D45" i="93" s="1"/>
  <c r="D69" i="92"/>
  <c r="H69" i="92"/>
  <c r="C53" i="92"/>
  <c r="H68" i="92"/>
  <c r="F53" i="92"/>
  <c r="H53" i="92" s="1"/>
  <c r="E7" i="92"/>
  <c r="H24" i="92"/>
  <c r="E45" i="93" l="1"/>
  <c r="E43" i="93"/>
  <c r="C69" i="92"/>
  <c r="E69" i="92" s="1"/>
  <c r="E53" i="92"/>
  <c r="G33" i="80" l="1"/>
  <c r="F33" i="80"/>
  <c r="E33" i="80"/>
  <c r="D33" i="80"/>
  <c r="C33" i="80"/>
  <c r="G24" i="80"/>
  <c r="G37" i="80" s="1"/>
  <c r="F24" i="80"/>
  <c r="E24" i="80"/>
  <c r="D24" i="80"/>
  <c r="C24" i="80"/>
  <c r="G18" i="80"/>
  <c r="F18" i="80"/>
  <c r="E18" i="80"/>
  <c r="D18" i="80"/>
  <c r="C18" i="80"/>
  <c r="G14" i="80"/>
  <c r="F14" i="80"/>
  <c r="E14" i="80"/>
  <c r="D14" i="80"/>
  <c r="C14" i="80"/>
  <c r="G11" i="80"/>
  <c r="F11" i="80"/>
  <c r="E11" i="80"/>
  <c r="D11" i="80"/>
  <c r="C11" i="80"/>
  <c r="G8" i="80"/>
  <c r="G21" i="80" s="1"/>
  <c r="F8" i="80"/>
  <c r="E8" i="80"/>
  <c r="D8" i="80"/>
  <c r="C8" i="80"/>
  <c r="G39" i="80" l="1"/>
  <c r="F13" i="71"/>
  <c r="E13" i="71"/>
  <c r="G6" i="71"/>
  <c r="G13" i="71" s="1"/>
  <c r="F6" i="71"/>
  <c r="E6" i="71"/>
  <c r="D6" i="71"/>
  <c r="D13" i="71" s="1"/>
  <c r="C6" i="71"/>
  <c r="C13" i="71" s="1"/>
  <c r="C12" i="79" l="1"/>
  <c r="C35" i="79"/>
  <c r="C21" i="77" l="1"/>
  <c r="D16" i="77"/>
  <c r="D17" i="77"/>
  <c r="D15" i="77"/>
  <c r="D12" i="77"/>
  <c r="D13" i="77"/>
  <c r="D11" i="77"/>
  <c r="D8" i="77"/>
  <c r="D9" i="77"/>
  <c r="D7" i="77"/>
  <c r="C20" i="77"/>
  <c r="C19" i="77"/>
  <c r="D21" i="77" l="1"/>
  <c r="D19" i="77"/>
  <c r="D20" i="77"/>
  <c r="C30" i="79"/>
  <c r="C26" i="79"/>
  <c r="C18" i="79"/>
  <c r="C8" i="79"/>
  <c r="C36" i="79" l="1"/>
  <c r="C38" i="79" s="1"/>
  <c r="E8" i="37"/>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C5" i="73" l="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V7" i="64" l="1"/>
  <c r="T21" i="64" l="1"/>
  <c r="U21" i="64"/>
  <c r="V9" i="64"/>
  <c r="D22" i="74" l="1"/>
  <c r="E22" i="74"/>
  <c r="H22" i="74" s="1"/>
  <c r="C8" i="73" l="1"/>
  <c r="C13" i="73" s="1"/>
  <c r="C44" i="28"/>
  <c r="C32" i="28" l="1"/>
  <c r="C31"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8" i="28" l="1"/>
  <c r="C53" i="28" s="1"/>
  <c r="C36" i="28"/>
  <c r="C42" i="28" s="1"/>
  <c r="C12" i="28"/>
  <c r="C6" i="28" l="1"/>
  <c r="C29" i="28" s="1"/>
  <c r="C5" i="6" l="1"/>
  <c r="F5" i="6"/>
  <c r="K5" i="6" s="1"/>
  <c r="G5" i="71"/>
  <c r="E5" i="6"/>
  <c r="J5" i="6" s="1"/>
  <c r="D5" i="6"/>
  <c r="I5" i="6" s="1"/>
  <c r="G5" i="6"/>
  <c r="L5" i="6" s="1"/>
  <c r="C5" i="71" l="1"/>
  <c r="E5" i="71"/>
  <c r="F5" i="71"/>
  <c r="D5" i="71"/>
</calcChain>
</file>

<file path=xl/sharedStrings.xml><?xml version="1.0" encoding="utf-8"?>
<sst xmlns="http://schemas.openxmlformats.org/spreadsheetml/2006/main" count="1584" uniqueCount="984">
  <si>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</si>
  <si>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</si>
  <si>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</si>
  <si>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</si>
  <si>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</si>
  <si>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</si>
  <si>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</si>
  <si>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</si>
  <si>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</si>
  <si>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</si>
  <si>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</si>
  <si>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</si>
  <si>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</si>
  <si>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</si>
  <si>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</si>
  <si>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</si>
  <si>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</si>
  <si>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</si>
  <si>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</si>
  <si>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</si>
  <si>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</si>
  <si>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</si>
  <si>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</si>
  <si>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</si>
  <si>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</si>
  <si>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</si>
  <si>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</si>
  <si>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</si>
  <si>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</si>
  <si>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</si>
  <si>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</si>
  <si>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</si>
  <si>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</si>
  <si>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</si>
  <si>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</si>
  <si>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</si>
  <si>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</si>
  <si>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</si>
  <si>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</si>
  <si>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</si>
  <si>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</si>
  <si>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</si>
  <si>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</si>
  <si>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</si>
  <si>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</si>
  <si>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</si>
  <si>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</si>
  <si>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</si>
  <si>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</si>
  <si>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</si>
  <si>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</si>
  <si>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</si>
  <si>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</si>
  <si>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</si>
  <si>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</si>
  <si>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</si>
  <si>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</si>
  <si>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</si>
  <si>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</si>
  <si>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</si>
  <si>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</si>
  <si>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</si>
  <si>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</si>
  <si>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</si>
  <si>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</si>
  <si>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</si>
  <si>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</si>
  <si>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</si>
  <si>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</si>
  <si>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</si>
  <si>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</si>
  <si>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</si>
  <si>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</si>
  <si>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</si>
  <si>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</si>
  <si>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</si>
  <si>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</si>
  <si>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</si>
  <si>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</si>
  <si>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</si>
  <si>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</si>
  <si>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</si>
  <si>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</si>
  <si>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</si>
  <si>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</si>
  <si>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</si>
  <si>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</si>
  <si>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</si>
  <si>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</si>
  <si>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</si>
  <si>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</si>
  <si>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</si>
  <si>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</si>
  <si>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</si>
  <si>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</si>
  <si>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</si>
  <si>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</si>
  <si>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</si>
  <si>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</si>
  <si>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</si>
  <si>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</si>
  <si>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</si>
  <si>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</si>
  <si>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</si>
  <si>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</si>
  <si>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</si>
  <si>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</si>
  <si>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</si>
  <si>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</si>
  <si>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</si>
  <si>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</si>
  <si>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</si>
  <si>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</si>
  <si>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</si>
  <si>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</si>
  <si>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</si>
  <si>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</si>
  <si>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</si>
  <si>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</si>
  <si>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</si>
  <si>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</si>
  <si>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</si>
  <si>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</si>
  <si>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</si>
  <si>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</si>
  <si>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</si>
  <si>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</si>
  <si>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</si>
  <si>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</si>
  <si>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</si>
  <si>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</si>
  <si>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</si>
  <si>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</si>
  <si>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</si>
  <si>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</si>
  <si>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</si>
  <si>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</si>
  <si>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</si>
  <si>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</si>
  <si>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</si>
  <si>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</si>
  <si>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</si>
  <si>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</si>
  <si>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</si>
  <si>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</si>
  <si>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</si>
  <si>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</si>
  <si>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</si>
  <si>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</si>
  <si>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</si>
  <si>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</si>
  <si>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</si>
  <si>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</si>
  <si>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</si>
  <si>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</si>
  <si>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</si>
  <si>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</si>
  <si>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</si>
  <si>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</si>
  <si>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</si>
  <si>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</si>
  <si>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</si>
  <si>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</si>
  <si>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</si>
  <si>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</si>
  <si>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</si>
  <si>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</si>
  <si>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</si>
  <si>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</si>
  <si>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</si>
  <si>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</si>
  <si>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</si>
  <si>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</si>
  <si>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</si>
  <si>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</si>
  <si>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</si>
  <si>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</si>
  <si>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</si>
  <si>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</si>
  <si>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</si>
  <si>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</si>
  <si>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</si>
  <si>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</si>
  <si>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</si>
  <si>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</si>
  <si>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</si>
  <si>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</si>
  <si>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</si>
  <si>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</si>
  <si>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</si>
  <si>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</si>
  <si>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</si>
  <si>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</si>
  <si>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</si>
  <si>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</si>
  <si>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</si>
  <si>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</si>
  <si>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</si>
  <si>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</si>
  <si>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</si>
  <si>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</si>
  <si>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</si>
  <si>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</si>
  <si>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</si>
  <si>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</si>
  <si>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</si>
  <si>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</si>
  <si>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</si>
  <si>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</si>
  <si>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</si>
  <si>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</si>
  <si>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</si>
  <si>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</si>
  <si>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</si>
  <si>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</si>
  <si>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</si>
  <si>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</si>
  <si>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</si>
  <si>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</si>
  <si>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</si>
  <si>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</si>
  <si>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</si>
  <si>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</si>
  <si>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</si>
  <si>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</si>
  <si>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</si>
  <si>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</si>
  <si>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</si>
  <si>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</si>
  <si>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</si>
  <si>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</si>
  <si>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</si>
  <si>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</si>
  <si>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</si>
  <si>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</si>
  <si>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</si>
  <si>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</si>
  <si>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</si>
  <si>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</si>
  <si>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</si>
  <si>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</si>
  <si>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</si>
  <si>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</si>
  <si>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</si>
  <si>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</si>
  <si>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</si>
  <si>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</si>
  <si>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</si>
  <si>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</si>
  <si>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</si>
  <si>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</si>
  <si>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</si>
  <si>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</si>
  <si>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</si>
  <si>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</si>
  <si>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</si>
  <si>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</si>
  <si>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</si>
  <si>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</si>
  <si>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</si>
  <si>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</si>
  <si>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</si>
  <si>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</si>
  <si>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</si>
  <si>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</si>
  <si>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</si>
  <si>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</si>
  <si>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</si>
  <si>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</si>
  <si>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</si>
  <si>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</si>
  <si>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</si>
  <si>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</si>
  <si>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</si>
  <si>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</si>
  <si>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</si>
  <si>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</si>
  <si>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</si>
  <si>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</si>
  <si>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</si>
  <si>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</si>
  <si>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</si>
  <si>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</si>
  <si>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</si>
  <si>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</si>
  <si>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</si>
  <si>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</si>
  <si>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</si>
  <si>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</si>
  <si>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</si>
  <si>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</si>
  <si>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</si>
  <si>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</si>
  <si>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</si>
  <si>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</si>
  <si>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</si>
  <si>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</si>
  <si>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</si>
  <si>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</si>
  <si>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</si>
  <si>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</si>
  <si>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</si>
  <si>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</si>
  <si>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</si>
  <si>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</si>
  <si>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</si>
  <si>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</si>
  <si>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</si>
  <si>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</si>
  <si>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</si>
  <si>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</si>
  <si>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</si>
  <si>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</si>
  <si>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</si>
  <si>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</si>
  <si>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</si>
  <si>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</si>
  <si>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</si>
  <si>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</si>
  <si>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</si>
  <si>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</si>
  <si>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</si>
  <si>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</si>
  <si>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</si>
  <si>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</si>
  <si>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</si>
  <si>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</si>
  <si>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</si>
  <si>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</si>
  <si>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</si>
  <si>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</si>
  <si>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</si>
  <si>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</si>
  <si>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</si>
  <si>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</si>
  <si>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</si>
  <si>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</si>
  <si>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</si>
  <si>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</si>
  <si>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</si>
  <si>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</si>
  <si>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</si>
  <si>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</si>
  <si>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</si>
  <si>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</si>
  <si>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</si>
  <si>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</si>
  <si>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</si>
  <si>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</si>
  <si>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</si>
  <si>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</si>
  <si>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</si>
  <si>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</si>
  <si>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</si>
  <si>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</si>
  <si>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</si>
  <si>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</si>
  <si>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</si>
  <si>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</si>
  <si>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</si>
  <si>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</si>
  <si>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</si>
  <si>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</si>
  <si>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</si>
  <si>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</si>
  <si>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</si>
  <si>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</si>
  <si>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</si>
  <si>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</si>
  <si>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</si>
  <si>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</si>
  <si>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</si>
  <si>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</si>
  <si>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</si>
  <si>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</si>
  <si>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</si>
  <si>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</si>
  <si>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</si>
  <si>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</si>
  <si>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</si>
  <si>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</si>
  <si>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</si>
  <si>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</si>
  <si>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</si>
  <si>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</si>
  <si>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</si>
  <si>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</si>
  <si>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</si>
  <si>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</si>
  <si>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</si>
  <si>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</si>
  <si>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</si>
  <si>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</si>
  <si>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</si>
  <si>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</si>
  <si>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</si>
  <si>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</si>
  <si>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</si>
  <si>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</si>
  <si>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</si>
  <si>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</si>
  <si>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</si>
  <si>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</si>
  <si>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</si>
  <si>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</si>
  <si>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</si>
  <si>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</si>
  <si>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</si>
  <si>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</si>
  <si>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</si>
  <si>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</si>
  <si>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</si>
  <si>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</si>
  <si>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</si>
  <si>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</si>
  <si>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</si>
  <si>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</si>
  <si>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</si>
  <si>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</si>
  <si>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</si>
  <si>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</si>
  <si>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</si>
  <si>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</si>
  <si>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</si>
  <si>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</si>
  <si>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</si>
  <si>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</si>
  <si>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</si>
  <si>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</si>
  <si>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</si>
  <si>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</si>
  <si>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</si>
  <si>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</si>
  <si>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</si>
  <si>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</si>
  <si>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</si>
  <si>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</si>
  <si>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</si>
  <si>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</si>
  <si>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</si>
  <si>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</si>
  <si>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</si>
  <si>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</si>
  <si>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</si>
  <si>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</si>
  <si>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</si>
  <si>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</si>
  <si>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</si>
  <si>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</si>
  <si>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</si>
  <si>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</si>
  <si>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</si>
  <si>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</si>
  <si>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</si>
  <si>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</si>
  <si>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</si>
  <si>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</si>
  <si>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</si>
  <si>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</si>
  <si>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</si>
  <si>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</si>
  <si>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</si>
  <si>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</si>
  <si>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</si>
  <si>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</si>
  <si>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</si>
  <si>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</si>
  <si>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</si>
  <si>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</si>
  <si>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</si>
  <si>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</si>
  <si>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</si>
  <si>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</si>
  <si>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</si>
  <si>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</si>
  <si>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</si>
  <si>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</si>
  <si>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</si>
  <si>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</si>
  <si>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</si>
  <si>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</si>
  <si>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</si>
  <si>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</si>
  <si>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</si>
  <si>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</si>
  <si>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</si>
  <si>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</si>
  <si>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</si>
  <si>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</si>
  <si>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</si>
  <si>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</si>
  <si>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</si>
  <si>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</si>
  <si>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</si>
  <si>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</si>
  <si>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</si>
  <si>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</si>
  <si>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</si>
  <si>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</si>
  <si>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</si>
  <si>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</si>
  <si>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</si>
  <si>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</si>
  <si>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</si>
  <si>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</si>
  <si>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</si>
  <si>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</si>
  <si>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</si>
  <si>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</si>
  <si>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</si>
  <si>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</si>
  <si>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</si>
  <si>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</si>
  <si>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</si>
  <si>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</si>
  <si>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</si>
  <si>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</si>
  <si>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</si>
  <si>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</si>
  <si>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</si>
  <si>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</si>
  <si>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</si>
  <si>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</si>
  <si>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</si>
  <si>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</si>
  <si>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</si>
  <si>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</si>
  <si>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</si>
  <si>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</si>
  <si>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</si>
  <si>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</si>
  <si>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</si>
  <si>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</si>
  <si>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</si>
  <si>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</si>
  <si>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</si>
  <si>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</si>
  <si>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</si>
  <si>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</si>
  <si>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</si>
  <si>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</si>
  <si>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</si>
  <si>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</si>
  <si>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</si>
  <si>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</si>
  <si>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</si>
  <si>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</si>
  <si>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</si>
  <si>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</si>
  <si>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</si>
  <si>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</si>
  <si>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</si>
  <si>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</si>
  <si>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</si>
  <si>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</si>
  <si>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</si>
  <si>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</si>
  <si>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</si>
  <si>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</si>
  <si>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</si>
  <si>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</si>
  <si>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</si>
  <si>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</si>
  <si>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</si>
  <si>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</si>
  <si>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</si>
  <si>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</si>
  <si>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</si>
  <si>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</si>
  <si>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</si>
  <si>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</si>
  <si>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</si>
  <si>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</si>
  <si>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</si>
  <si>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</si>
  <si>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</si>
  <si>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</si>
  <si>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</si>
  <si>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</si>
  <si>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</si>
  <si>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</si>
  <si>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</si>
  <si>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</si>
  <si>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</si>
  <si>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</si>
  <si>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</si>
  <si>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</si>
  <si>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</si>
  <si>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</si>
  <si>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</si>
  <si>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</si>
  <si>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</si>
  <si>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</si>
  <si>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</si>
  <si>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</si>
  <si>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</si>
  <si>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</si>
  <si>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</si>
  <si>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</si>
  <si>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</si>
  <si>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</si>
  <si>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</si>
  <si>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</si>
  <si>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</si>
  <si>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</si>
  <si>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</si>
  <si>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</si>
  <si>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</si>
  <si>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</si>
  <si>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</si>
  <si>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</si>
  <si>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</si>
  <si>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</si>
  <si>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</si>
  <si>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</si>
  <si>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</si>
  <si>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</si>
  <si>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</si>
  <si>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</si>
  <si>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</si>
  <si>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</si>
  <si>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</si>
  <si>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</si>
  <si>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</si>
  <si>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</si>
  <si>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</si>
  <si>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</si>
  <si>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</si>
  <si>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</si>
  <si>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</si>
  <si>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</si>
  <si>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</si>
  <si>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</si>
  <si>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</si>
  <si>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</si>
  <si>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</si>
  <si>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</si>
  <si>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</si>
  <si>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</si>
  <si>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</si>
  <si>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</si>
  <si>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</si>
  <si>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</si>
  <si>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</si>
  <si>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</si>
  <si>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</si>
  <si>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</si>
  <si>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</si>
  <si>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</si>
  <si>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</si>
  <si>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</si>
  <si>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</si>
  <si>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</si>
  <si>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</si>
  <si>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</si>
  <si>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</si>
  <si>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</si>
  <si>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</si>
  <si>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</si>
  <si>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</si>
  <si>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</si>
  <si>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</si>
  <si>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</si>
  <si>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</si>
  <si>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</si>
  <si>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</si>
  <si>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</si>
  <si>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</si>
  <si>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</si>
  <si>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</si>
  <si>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</si>
  <si>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</si>
  <si>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</si>
  <si>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</si>
  <si>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</si>
  <si>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</si>
  <si>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</si>
  <si>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</si>
  <si>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</si>
  <si>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</si>
  <si>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</si>
  <si>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</si>
  <si>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</si>
  <si>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</si>
  <si>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</si>
  <si>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</si>
  <si>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</si>
  <si>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</si>
  <si>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</si>
  <si>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</si>
  <si>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</si>
  <si>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</si>
  <si>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</si>
  <si>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</si>
  <si>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</si>
  <si>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</si>
  <si>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</si>
  <si>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</si>
  <si>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</si>
  <si>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</si>
  <si>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</si>
  <si>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</si>
  <si>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</si>
  <si>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</si>
  <si>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</si>
  <si>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</si>
  <si>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</si>
  <si>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</si>
  <si>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</si>
  <si>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</si>
  <si>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</si>
  <si>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</si>
  <si>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</si>
  <si>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</si>
  <si>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</si>
  <si>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</si>
  <si>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</si>
  <si>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</si>
  <si>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</si>
  <si>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</si>
  <si>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</si>
  <si>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</si>
  <si>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</si>
  <si>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</si>
  <si>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</si>
  <si>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</si>
  <si>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</si>
  <si>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</si>
  <si>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</si>
  <si>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</si>
  <si>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</si>
  <si>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</si>
  <si>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</si>
  <si>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</si>
  <si>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</si>
  <si>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</si>
  <si>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</si>
  <si>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</si>
  <si>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</si>
  <si>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</si>
  <si>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</si>
  <si>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</si>
  <si>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</si>
  <si>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</si>
  <si>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</si>
  <si>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</si>
  <si>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</si>
  <si>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</si>
  <si>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</si>
  <si>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</si>
  <si>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</si>
  <si>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</si>
  <si>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</si>
  <si>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</si>
  <si>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</si>
  <si>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</si>
  <si>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</si>
  <si>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</si>
  <si>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</si>
  <si>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</si>
  <si>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</si>
  <si>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</si>
  <si>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</si>
  <si>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</si>
  <si>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</si>
  <si>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</si>
  <si>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</si>
  <si>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</si>
  <si>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</si>
  <si>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</si>
  <si>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</si>
  <si>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</si>
  <si>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</si>
  <si>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</si>
  <si>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</si>
  <si>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</si>
  <si>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</si>
  <si>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</si>
  <si>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</si>
  <si>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</si>
  <si>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</si>
  <si>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</si>
  <si>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</si>
  <si>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</si>
  <si>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</si>
  <si>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</si>
  <si>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</si>
  <si>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</si>
  <si>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</si>
  <si>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</si>
  <si>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</si>
  <si>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</si>
  <si>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</si>
  <si>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</si>
  <si>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</si>
  <si>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</si>
  <si>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</si>
  <si>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</si>
  <si>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</si>
  <si>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</si>
  <si>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</si>
  <si>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</si>
  <si>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</si>
  <si>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</si>
  <si>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</si>
  <si>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</si>
  <si>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</si>
  <si>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</si>
  <si>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</si>
  <si>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</si>
  <si>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</si>
  <si>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</si>
  <si>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</si>
  <si>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</si>
  <si>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</si>
  <si>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</si>
  <si>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</si>
  <si>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</si>
  <si>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</si>
  <si>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</si>
  <si>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</si>
  <si>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</si>
  <si>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</si>
  <si>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</si>
  <si>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</si>
  <si>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</si>
  <si>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</si>
  <si>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</si>
  <si>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</si>
  <si>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</si>
  <si>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</si>
  <si>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</si>
  <si>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</si>
  <si>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</si>
  <si>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</si>
  <si>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</si>
  <si>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</si>
  <si>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</si>
  <si>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</si>
  <si>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</si>
  <si>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</si>
  <si>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</si>
  <si>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</si>
  <si>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</si>
  <si>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</si>
  <si>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</si>
  <si>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</si>
  <si>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</si>
  <si>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</si>
  <si>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</si>
  <si>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</si>
  <si>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</si>
  <si>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</si>
  <si>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</si>
  <si>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</si>
  <si>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</si>
  <si>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</si>
  <si>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</si>
  <si>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</si>
  <si>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</si>
  <si>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</si>
  <si>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</si>
  <si>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</si>
  <si>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</si>
  <si>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</si>
  <si>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</si>
  <si>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</si>
  <si>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</si>
  <si>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</si>
  <si>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</si>
  <si>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</si>
  <si>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</si>
  <si>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</si>
  <si>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</si>
  <si>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</si>
  <si>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</si>
  <si>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</si>
  <si>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</si>
  <si>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</si>
  <si>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</si>
  <si>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</si>
  <si>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</si>
  <si>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</si>
  <si>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</si>
  <si>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</si>
  <si>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</si>
  <si>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</si>
  <si>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</si>
  <si>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</si>
  <si>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</si>
  <si>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</si>
  <si>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</si>
  <si>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</si>
  <si>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</si>
  <si>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</si>
  <si>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</si>
  <si>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</si>
  <si>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</si>
  <si>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</si>
  <si>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</si>
  <si>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</si>
  <si>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</si>
  <si>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</si>
  <si>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</si>
  <si>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</si>
  <si>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</si>
  <si>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</si>
  <si>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</si>
  <si>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</si>
  <si>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</si>
  <si>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</si>
  <si>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</si>
  <si>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</si>
  <si>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</si>
  <si>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</si>
  <si>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</si>
  <si>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</si>
  <si>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</si>
  <si>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</si>
  <si>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</si>
  <si>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</si>
  <si>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</si>
  <si>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</si>
  <si>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</si>
  <si>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</si>
  <si>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</si>
  <si>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</si>
  <si>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</si>
  <si>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</si>
  <si>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</si>
  <si>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</si>
  <si>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</si>
  <si>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</si>
  <si>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</si>
  <si>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</si>
  <si>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</si>
  <si>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</si>
  <si>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</si>
  <si>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</si>
  <si>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</si>
  <si>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</si>
  <si>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</si>
  <si>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</si>
  <si>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</si>
  <si>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</si>
  <si>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</si>
  <si>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</si>
  <si>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</si>
  <si>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</si>
  <si>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</si>
  <si>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</si>
  <si>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</si>
  <si>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</si>
  <si>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</si>
  <si>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</si>
  <si>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</si>
  <si>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</si>
  <si>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</si>
  <si>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</si>
  <si>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სს იშბანკი საქართველო</t>
  </si>
  <si>
    <t>ოლგუნ თუფან ქურბანოღლუ</t>
  </si>
  <si>
    <t>ჰუსეინ ემრე ილმაზ</t>
  </si>
  <si>
    <t>www.isbank.ge</t>
  </si>
  <si>
    <t>არადამოუკიდებელი თავმჯდომარე</t>
  </si>
  <si>
    <t>ოზან უიარ</t>
  </si>
  <si>
    <t>არადამოუკიდებელ წევრი</t>
  </si>
  <si>
    <t>ჰუსეინ სერდარ იუჯელ</t>
  </si>
  <si>
    <t>სერმინ ნაზიმე სარაჩ სოსანოღლუ</t>
  </si>
  <si>
    <t>თამარ სანიკიძე</t>
  </si>
  <si>
    <t>დამოუკიდებელი წევრი</t>
  </si>
  <si>
    <t>ნათია ჯანელიძე</t>
  </si>
  <si>
    <t>გენერალური დირექტორი</t>
  </si>
  <si>
    <t>ჰაკან ქურალ</t>
  </si>
  <si>
    <t>გენერალური დირექტორის მოადგილე</t>
  </si>
  <si>
    <t>უჩა სარალიძე</t>
  </si>
  <si>
    <t>ფინანსური დირექტორი</t>
  </si>
  <si>
    <t>ვასილ აფხაზავა</t>
  </si>
  <si>
    <t>რისკების დირექტორი</t>
  </si>
  <si>
    <t>სს თურქეთის იშ ბანკი</t>
  </si>
  <si>
    <t>თურქეთის იშ ბანკის საპენსიო ფონდი</t>
  </si>
  <si>
    <t>თურქეთის რესპუბლიკური სახალხო პარტია</t>
  </si>
  <si>
    <t xml:space="preserve">Table 9 (Capital), N10 </t>
  </si>
  <si>
    <t>Table 9 (Capital), N2</t>
  </si>
  <si>
    <t>Table 9 (Capital), N6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</si>
</sst>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6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
      <b/>
      <sz val="11"/>
      <color theme="1"/>
      <name val="Sylfaen"/>
      <family val="1"/>
    </font>
    <font>
      <b/>
      <u/>
      <sz val="10"/>
      <color indexed="12"/>
      <name val="Arial"/>
      <family val="2"/>
    </font>
    <font>
      <b/>
      <sz val="10"/>
      <color theme="1"/>
      <name val="Lucida Bright"/>
      <family val="1"/>
    </font>
    <font>
      <sz val="10"/>
      <color theme="1"/>
      <name val="Arial"/>
      <family val="2"/>
    </font>
    <font>
      <sz val="10"/>
      <color rgb="FF333333"/>
      <name val="Arial"/>
      <family val="2"/>
    </font>
    <font>
      <b/>
      <sz val="10"/>
      <color theme="1"/>
      <name val="Times New Roman"/>
      <family val="1"/>
      <charset val="162"/>
    </font>
    <font>
      <b/>
      <sz val="10"/>
      <color theme="1"/>
      <name val="Arial"/>
      <family val="2"/>
      <charset val="162"/>
    </font>
    <font>
      <b/>
      <sz val="10"/>
      <color theme="1"/>
      <name val="Arial"/>
      <family val="2"/>
    </font>
    <font>
      <b/>
      <sz val="11"/>
      <color theme="1"/>
      <name val="Calibri"/>
      <family val="2"/>
      <charset val="162"/>
      <scheme val="minor"/>
    </font>
    <font>
      <i/>
      <sz val="10"/>
      <color theme="1"/>
      <name val="Arial"/>
      <family val="2"/>
    </font>
    <font>
      <b/>
      <i/>
      <sz val="10"/>
      <color theme="1"/>
      <name val="Arial"/>
      <family val="2"/>
      <charset val="162"/>
    </font>
    <font>
      <b/>
      <i/>
      <sz val="10"/>
      <color theme="1"/>
      <name val="Sylfaen"/>
      <family val="1"/>
      <charset val="162"/>
    </font>
    <font>
      <sz val="10"/>
      <color theme="1"/>
      <name val="Arial"/>
      <family val="2"/>
      <charset val="162"/>
    </font>
    <font>
      <b/>
      <sz val="10"/>
      <color theme="1"/>
      <name val="Calibri"/>
      <family val="2"/>
      <charset val="162"/>
      <scheme val="minor"/>
    </font>
    <font>
      <sz val="10"/>
      <color theme="1"/>
      <name val="Calibri"/>
      <family val="2"/>
      <charset val="162"/>
      <scheme val="minor"/>
    </font>
    <font>
      <sz val="9"/>
      <color theme="1"/>
      <name val="Sylfaen"/>
      <family val="1"/>
      <charset val="162"/>
    </font>
    <font>
      <b/>
      <sz val="9"/>
      <color theme="1"/>
      <name val="Sylfaen"/>
      <family val="1"/>
      <charset val="162"/>
    </font>
    <font>
      <b/>
      <sz val="9"/>
      <name val="Sylfaen"/>
      <family val="1"/>
      <charset val="162"/>
    </font>
    <font>
      <sz val="9"/>
      <name val="Sylfaen"/>
      <family val="1"/>
      <charset val="162"/>
    </font>
    <font>
      <b/>
      <sz val="9"/>
      <name val="Calibri"/>
      <family val="2"/>
      <charset val="162"/>
      <scheme val="minor"/>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6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thin">
        <color theme="6" tint="-0.499984740745262"/>
      </right>
      <top style="thin">
        <color theme="6" tint="-0.499984740745262"/>
      </top>
      <bottom style="medium">
        <color indexed="64"/>
      </bottom>
      <diagonal/>
    </border>
    <border>
      <left style="medium">
        <color indexed="64"/>
      </left>
      <right/>
      <top style="thin">
        <color indexed="64"/>
      </top>
      <bottom style="medium">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4" fillId="0" borderId="0"/>
    <xf numFmtId="168" fontId="25" fillId="37" borderId="0"/>
    <xf numFmtId="169" fontId="25" fillId="37" borderId="0"/>
    <xf numFmtId="168" fontId="25" fillId="37" borderId="0"/>
    <xf numFmtId="0" fontId="26" fillId="38"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0" fontId="26"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0" fontId="31" fillId="39" borderId="0" applyNumberFormat="0" applyBorder="0" applyAlignment="0" applyProtection="0"/>
    <xf numFmtId="170" fontId="34"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1" fontId="36" fillId="0" borderId="0" applyFill="0" applyBorder="0" applyAlignment="0"/>
    <xf numFmtId="171" fontId="36"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2" fontId="36" fillId="0" borderId="0" applyFill="0" applyBorder="0" applyAlignment="0"/>
    <xf numFmtId="173" fontId="36" fillId="0" borderId="0" applyFill="0" applyBorder="0" applyAlignment="0"/>
    <xf numFmtId="174" fontId="36" fillId="0" borderId="0" applyFill="0" applyBorder="0" applyAlignment="0"/>
    <xf numFmtId="175"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68" fontId="39"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68" fontId="39"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69" fontId="39"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68" fontId="39" fillId="64" borderId="37" applyNumberFormat="0" applyAlignment="0" applyProtection="0"/>
    <xf numFmtId="169" fontId="39" fillId="64" borderId="37" applyNumberFormat="0" applyAlignment="0" applyProtection="0"/>
    <xf numFmtId="168" fontId="39" fillId="64" borderId="37" applyNumberFormat="0" applyAlignment="0" applyProtection="0"/>
    <xf numFmtId="168" fontId="39" fillId="64" borderId="37" applyNumberFormat="0" applyAlignment="0" applyProtection="0"/>
    <xf numFmtId="169" fontId="39" fillId="64" borderId="37" applyNumberFormat="0" applyAlignment="0" applyProtection="0"/>
    <xf numFmtId="168" fontId="39" fillId="64" borderId="37" applyNumberFormat="0" applyAlignment="0" applyProtection="0"/>
    <xf numFmtId="168" fontId="39" fillId="64" borderId="37" applyNumberFormat="0" applyAlignment="0" applyProtection="0"/>
    <xf numFmtId="169" fontId="39" fillId="64" borderId="37" applyNumberFormat="0" applyAlignment="0" applyProtection="0"/>
    <xf numFmtId="168" fontId="39" fillId="64" borderId="37" applyNumberFormat="0" applyAlignment="0" applyProtection="0"/>
    <xf numFmtId="168" fontId="39" fillId="64" borderId="37" applyNumberFormat="0" applyAlignment="0" applyProtection="0"/>
    <xf numFmtId="169" fontId="39" fillId="64" borderId="37" applyNumberFormat="0" applyAlignment="0" applyProtection="0"/>
    <xf numFmtId="168" fontId="39" fillId="64" borderId="37" applyNumberFormat="0" applyAlignment="0" applyProtection="0"/>
    <xf numFmtId="0" fontId="37" fillId="64" borderId="37" applyNumberFormat="0" applyAlignment="0" applyProtection="0"/>
    <xf numFmtId="0" fontId="40" fillId="65" borderId="38" applyNumberFormat="0" applyAlignment="0" applyProtection="0"/>
    <xf numFmtId="0" fontId="41" fillId="10" borderId="33" applyNumberFormat="0" applyAlignment="0" applyProtection="0"/>
    <xf numFmtId="168"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0" fontId="40"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0" fontId="41" fillId="10" borderId="33"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0" fontId="40" fillId="65" borderId="38"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6"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xf numFmtId="14" fontId="45" fillId="0" borderId="0" applyFill="0" applyBorder="0" applyAlignment="0"/>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0" applyFont="0" applyFill="0" applyBorder="0" applyAlignment="0" applyProtection="0"/>
    <xf numFmtId="180"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7" fillId="0" borderId="0" applyNumberFormat="0" applyFill="0" applyBorder="0" applyAlignment="0" applyProtection="0"/>
    <xf numFmtId="168" fontId="2" fillId="0" borderId="0"/>
    <xf numFmtId="0" fontId="2" fillId="0" borderId="0"/>
    <xf numFmtId="168"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29" applyNumberFormat="0" applyAlignment="0" applyProtection="0">
      <alignment horizontal="left" vertical="center"/>
    </xf>
    <xf numFmtId="0" fontId="53" fillId="0" borderId="29" applyNumberFormat="0" applyAlignment="0" applyProtection="0">
      <alignment horizontal="left" vertical="center"/>
    </xf>
    <xf numFmtId="168" fontId="53" fillId="0" borderId="29" applyNumberFormat="0" applyAlignment="0" applyProtection="0">
      <alignment horizontal="left" vertical="center"/>
    </xf>
    <xf numFmtId="0" fontId="53" fillId="0" borderId="9">
      <alignment horizontal="left" vertical="center"/>
    </xf>
    <xf numFmtId="0" fontId="53" fillId="0" borderId="9">
      <alignment horizontal="left" vertical="center"/>
    </xf>
    <xf numFmtId="168" fontId="53" fillId="0" borderId="9">
      <alignment horizontal="left" vertical="center"/>
    </xf>
    <xf numFmtId="0" fontId="54" fillId="0" borderId="40" applyNumberFormat="0" applyFill="0" applyAlignment="0" applyProtection="0"/>
    <xf numFmtId="169" fontId="54" fillId="0" borderId="40" applyNumberFormat="0" applyFill="0" applyAlignment="0" applyProtection="0"/>
    <xf numFmtId="0" fontId="54" fillId="0" borderId="40" applyNumberFormat="0" applyFill="0" applyAlignment="0" applyProtection="0"/>
    <xf numFmtId="168" fontId="54" fillId="0" borderId="40" applyNumberFormat="0" applyFill="0" applyAlignment="0" applyProtection="0"/>
    <xf numFmtId="168" fontId="54" fillId="0" borderId="40" applyNumberFormat="0" applyFill="0" applyAlignment="0" applyProtection="0"/>
    <xf numFmtId="168" fontId="54" fillId="0" borderId="40" applyNumberFormat="0" applyFill="0" applyAlignment="0" applyProtection="0"/>
    <xf numFmtId="169" fontId="54" fillId="0" borderId="40" applyNumberFormat="0" applyFill="0" applyAlignment="0" applyProtection="0"/>
    <xf numFmtId="168" fontId="54" fillId="0" borderId="40" applyNumberFormat="0" applyFill="0" applyAlignment="0" applyProtection="0"/>
    <xf numFmtId="168" fontId="54" fillId="0" borderId="40" applyNumberFormat="0" applyFill="0" applyAlignment="0" applyProtection="0"/>
    <xf numFmtId="169" fontId="54" fillId="0" borderId="40" applyNumberFormat="0" applyFill="0" applyAlignment="0" applyProtection="0"/>
    <xf numFmtId="168" fontId="54" fillId="0" borderId="40" applyNumberFormat="0" applyFill="0" applyAlignment="0" applyProtection="0"/>
    <xf numFmtId="168" fontId="54" fillId="0" borderId="40" applyNumberFormat="0" applyFill="0" applyAlignment="0" applyProtection="0"/>
    <xf numFmtId="169" fontId="54" fillId="0" borderId="40" applyNumberFormat="0" applyFill="0" applyAlignment="0" applyProtection="0"/>
    <xf numFmtId="168" fontId="54" fillId="0" borderId="40" applyNumberFormat="0" applyFill="0" applyAlignment="0" applyProtection="0"/>
    <xf numFmtId="168" fontId="54" fillId="0" borderId="40" applyNumberFormat="0" applyFill="0" applyAlignment="0" applyProtection="0"/>
    <xf numFmtId="169" fontId="54" fillId="0" borderId="40" applyNumberFormat="0" applyFill="0" applyAlignment="0" applyProtection="0"/>
    <xf numFmtId="168" fontId="54" fillId="0" borderId="40" applyNumberFormat="0" applyFill="0" applyAlignment="0" applyProtection="0"/>
    <xf numFmtId="0" fontId="54" fillId="0" borderId="40" applyNumberFormat="0" applyFill="0" applyAlignment="0" applyProtection="0"/>
    <xf numFmtId="0" fontId="55" fillId="0" borderId="41" applyNumberFormat="0" applyFill="0" applyAlignment="0" applyProtection="0"/>
    <xf numFmtId="169" fontId="55" fillId="0" borderId="41" applyNumberFormat="0" applyFill="0" applyAlignment="0" applyProtection="0"/>
    <xf numFmtId="0"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0" fontId="55" fillId="0" borderId="41" applyNumberFormat="0" applyFill="0" applyAlignment="0" applyProtection="0"/>
    <xf numFmtId="0" fontId="56" fillId="0" borderId="42" applyNumberFormat="0" applyFill="0" applyAlignment="0" applyProtection="0"/>
    <xf numFmtId="169" fontId="56" fillId="0" borderId="42" applyNumberFormat="0" applyFill="0" applyAlignment="0" applyProtection="0"/>
    <xf numFmtId="0" fontId="56" fillId="0" borderId="42" applyNumberFormat="0" applyFill="0" applyAlignment="0" applyProtection="0"/>
    <xf numFmtId="168" fontId="56" fillId="0" borderId="42" applyNumberFormat="0" applyFill="0" applyAlignment="0" applyProtection="0"/>
    <xf numFmtId="0" fontId="56" fillId="0" borderId="42" applyNumberFormat="0" applyFill="0" applyAlignment="0" applyProtection="0"/>
    <xf numFmtId="168" fontId="56" fillId="0" borderId="42" applyNumberFormat="0" applyFill="0" applyAlignment="0" applyProtection="0"/>
    <xf numFmtId="0" fontId="56" fillId="0" borderId="42" applyNumberFormat="0" applyFill="0" applyAlignment="0" applyProtection="0"/>
    <xf numFmtId="0"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0" fontId="56" fillId="0" borderId="42" applyNumberFormat="0" applyFill="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6" fillId="0" borderId="0" applyNumberFormat="0" applyFill="0" applyBorder="0" applyAlignment="0" applyProtection="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3" fillId="0" borderId="0" applyNumberFormat="0" applyFill="0" applyBorder="0" applyAlignment="0" applyProtection="0">
      <alignment vertical="top"/>
      <protection locked="0"/>
    </xf>
    <xf numFmtId="169" fontId="63" fillId="0" borderId="0" applyNumberFormat="0" applyFill="0" applyBorder="0" applyAlignment="0" applyProtection="0">
      <alignment vertical="top"/>
      <protection locked="0"/>
    </xf>
    <xf numFmtId="168" fontId="63" fillId="0" borderId="0" applyNumberFormat="0" applyFill="0" applyBorder="0" applyAlignment="0" applyProtection="0">
      <alignment vertical="top"/>
      <protection locked="0"/>
    </xf>
    <xf numFmtId="168" fontId="64" fillId="0" borderId="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68" fontId="67"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68" fontId="67"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69" fontId="67"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68" fontId="67" fillId="43" borderId="37" applyNumberFormat="0" applyAlignment="0" applyProtection="0"/>
    <xf numFmtId="169" fontId="67" fillId="43" borderId="37" applyNumberFormat="0" applyAlignment="0" applyProtection="0"/>
    <xf numFmtId="168" fontId="67" fillId="43" borderId="37" applyNumberFormat="0" applyAlignment="0" applyProtection="0"/>
    <xf numFmtId="168" fontId="67" fillId="43" borderId="37" applyNumberFormat="0" applyAlignment="0" applyProtection="0"/>
    <xf numFmtId="169" fontId="67" fillId="43" borderId="37" applyNumberFormat="0" applyAlignment="0" applyProtection="0"/>
    <xf numFmtId="168" fontId="67" fillId="43" borderId="37" applyNumberFormat="0" applyAlignment="0" applyProtection="0"/>
    <xf numFmtId="168" fontId="67" fillId="43" borderId="37" applyNumberFormat="0" applyAlignment="0" applyProtection="0"/>
    <xf numFmtId="169" fontId="67" fillId="43" borderId="37" applyNumberFormat="0" applyAlignment="0" applyProtection="0"/>
    <xf numFmtId="168" fontId="67" fillId="43" borderId="37" applyNumberFormat="0" applyAlignment="0" applyProtection="0"/>
    <xf numFmtId="168" fontId="67" fillId="43" borderId="37" applyNumberFormat="0" applyAlignment="0" applyProtection="0"/>
    <xf numFmtId="169" fontId="67" fillId="43" borderId="37" applyNumberFormat="0" applyAlignment="0" applyProtection="0"/>
    <xf numFmtId="168" fontId="67" fillId="43" borderId="37" applyNumberFormat="0" applyAlignment="0" applyProtection="0"/>
    <xf numFmtId="0" fontId="65" fillId="43" borderId="37" applyNumberFormat="0" applyAlignment="0" applyProtection="0"/>
    <xf numFmtId="3" fontId="2" fillId="72" borderId="3" applyFont="0">
      <alignment horizontal="right" vertical="center"/>
      <protection locked="0"/>
    </xf>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68" fillId="0" borderId="43" applyNumberFormat="0" applyFill="0" applyAlignment="0" applyProtection="0"/>
    <xf numFmtId="0" fontId="69" fillId="0" borderId="32" applyNumberFormat="0" applyFill="0" applyAlignment="0" applyProtection="0"/>
    <xf numFmtId="168" fontId="70" fillId="0" borderId="43" applyNumberFormat="0" applyFill="0" applyAlignment="0" applyProtection="0"/>
    <xf numFmtId="168" fontId="70" fillId="0" borderId="43" applyNumberFormat="0" applyFill="0" applyAlignment="0" applyProtection="0"/>
    <xf numFmtId="169" fontId="70" fillId="0" borderId="43" applyNumberFormat="0" applyFill="0" applyAlignment="0" applyProtection="0"/>
    <xf numFmtId="0" fontId="68" fillId="0" borderId="43"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168" fontId="70" fillId="0" borderId="43" applyNumberFormat="0" applyFill="0" applyAlignment="0" applyProtection="0"/>
    <xf numFmtId="169" fontId="70" fillId="0" borderId="43" applyNumberFormat="0" applyFill="0" applyAlignment="0" applyProtection="0"/>
    <xf numFmtId="168" fontId="70" fillId="0" borderId="43" applyNumberFormat="0" applyFill="0" applyAlignment="0" applyProtection="0"/>
    <xf numFmtId="168" fontId="70" fillId="0" borderId="43" applyNumberFormat="0" applyFill="0" applyAlignment="0" applyProtection="0"/>
    <xf numFmtId="169" fontId="70" fillId="0" borderId="43" applyNumberFormat="0" applyFill="0" applyAlignment="0" applyProtection="0"/>
    <xf numFmtId="168" fontId="70" fillId="0" borderId="43" applyNumberFormat="0" applyFill="0" applyAlignment="0" applyProtection="0"/>
    <xf numFmtId="168" fontId="70" fillId="0" borderId="43" applyNumberFormat="0" applyFill="0" applyAlignment="0" applyProtection="0"/>
    <xf numFmtId="169" fontId="70" fillId="0" borderId="43" applyNumberFormat="0" applyFill="0" applyAlignment="0" applyProtection="0"/>
    <xf numFmtId="168" fontId="70" fillId="0" borderId="43" applyNumberFormat="0" applyFill="0" applyAlignment="0" applyProtection="0"/>
    <xf numFmtId="168" fontId="70" fillId="0" borderId="43" applyNumberFormat="0" applyFill="0" applyAlignment="0" applyProtection="0"/>
    <xf numFmtId="169" fontId="70" fillId="0" borderId="43" applyNumberFormat="0" applyFill="0" applyAlignment="0" applyProtection="0"/>
    <xf numFmtId="168" fontId="70" fillId="0" borderId="43" applyNumberFormat="0" applyFill="0" applyAlignment="0" applyProtection="0"/>
    <xf numFmtId="0" fontId="68" fillId="0" borderId="4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0" fontId="71" fillId="73" borderId="0" applyNumberFormat="0" applyBorder="0" applyAlignment="0" applyProtection="0"/>
    <xf numFmtId="1" fontId="74" fillId="0" borderId="0" applyProtection="0"/>
    <xf numFmtId="168" fontId="25" fillId="0" borderId="44"/>
    <xf numFmtId="169" fontId="25" fillId="0" borderId="44"/>
    <xf numFmtId="168" fontId="25" fillId="0" borderId="4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5" fillId="0" borderId="0"/>
    <xf numFmtId="0" fontId="8"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8"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8"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8" fillId="0" borderId="0"/>
    <xf numFmtId="0" fontId="75" fillId="0" borderId="0"/>
    <xf numFmtId="168" fontId="8" fillId="0" borderId="0"/>
    <xf numFmtId="0" fontId="75" fillId="0" borderId="0"/>
    <xf numFmtId="168" fontId="8"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8"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5"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9" fillId="0" borderId="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168" fontId="2" fillId="0" borderId="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6" fillId="74" borderId="45" applyNumberFormat="0" applyFont="0" applyAlignment="0" applyProtection="0"/>
    <xf numFmtId="168" fontId="2" fillId="0" borderId="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169" fontId="2" fillId="0" borderId="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 fillId="0" borderId="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168" fontId="2" fillId="0" borderId="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0"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1" fillId="0" borderId="0"/>
    <xf numFmtId="0" fontId="81" fillId="0" borderId="0"/>
    <xf numFmtId="168" fontId="81" fillId="0" borderId="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68" fontId="84"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68" fontId="84"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69" fontId="84"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68" fontId="84" fillId="64" borderId="46" applyNumberFormat="0" applyAlignment="0" applyProtection="0"/>
    <xf numFmtId="169" fontId="84" fillId="64" borderId="46" applyNumberFormat="0" applyAlignment="0" applyProtection="0"/>
    <xf numFmtId="168" fontId="84" fillId="64" borderId="46" applyNumberFormat="0" applyAlignment="0" applyProtection="0"/>
    <xf numFmtId="168" fontId="84" fillId="64" borderId="46" applyNumberFormat="0" applyAlignment="0" applyProtection="0"/>
    <xf numFmtId="169" fontId="84" fillId="64" borderId="46" applyNumberFormat="0" applyAlignment="0" applyProtection="0"/>
    <xf numFmtId="168" fontId="84" fillId="64" borderId="46" applyNumberFormat="0" applyAlignment="0" applyProtection="0"/>
    <xf numFmtId="168" fontId="84" fillId="64" borderId="46" applyNumberFormat="0" applyAlignment="0" applyProtection="0"/>
    <xf numFmtId="169" fontId="84" fillId="64" borderId="46" applyNumberFormat="0" applyAlignment="0" applyProtection="0"/>
    <xf numFmtId="168" fontId="84" fillId="64" borderId="46" applyNumberFormat="0" applyAlignment="0" applyProtection="0"/>
    <xf numFmtId="168" fontId="84" fillId="64" borderId="46" applyNumberFormat="0" applyAlignment="0" applyProtection="0"/>
    <xf numFmtId="169" fontId="84" fillId="64" borderId="46" applyNumberFormat="0" applyAlignment="0" applyProtection="0"/>
    <xf numFmtId="168" fontId="84" fillId="64" borderId="46" applyNumberFormat="0" applyAlignment="0" applyProtection="0"/>
    <xf numFmtId="0" fontId="82" fillId="64" borderId="46" applyNumberFormat="0" applyAlignment="0" applyProtection="0"/>
    <xf numFmtId="0" fontId="24" fillId="0" borderId="0"/>
    <xf numFmtId="175" fontId="36" fillId="0" borderId="0" applyFont="0" applyFill="0" applyBorder="0" applyAlignment="0" applyProtection="0"/>
    <xf numFmtId="186"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xf numFmtId="0" fontId="2" fillId="0" borderId="0"/>
    <xf numFmtId="168" fontId="2" fillId="0" borderId="0"/>
    <xf numFmtId="187"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89" fontId="36" fillId="0" borderId="0" applyFill="0" applyBorder="0" applyAlignment="0"/>
    <xf numFmtId="190" fontId="36" fillId="0" borderId="0" applyFill="0" applyBorder="0" applyAlignment="0"/>
    <xf numFmtId="0" fontId="91" fillId="0" borderId="0">
      <alignment horizontal="center" vertical="top"/>
    </xf>
    <xf numFmtId="0" fontId="92" fillId="0" borderId="0" applyNumberFormat="0" applyFill="0" applyBorder="0" applyAlignment="0" applyProtection="0"/>
    <xf numFmtId="169" fontId="92" fillId="0" borderId="0" applyNumberFormat="0" applyFill="0" applyBorder="0" applyAlignment="0" applyProtection="0"/>
    <xf numFmtId="0"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2" fillId="0" borderId="0" applyNumberFormat="0" applyFill="0" applyBorder="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68" fontId="93"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68" fontId="93"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69" fontId="93"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68" fontId="93" fillId="0" borderId="47" applyNumberFormat="0" applyFill="0" applyAlignment="0" applyProtection="0"/>
    <xf numFmtId="169" fontId="93" fillId="0" borderId="47" applyNumberFormat="0" applyFill="0" applyAlignment="0" applyProtection="0"/>
    <xf numFmtId="168" fontId="93" fillId="0" borderId="47" applyNumberFormat="0" applyFill="0" applyAlignment="0" applyProtection="0"/>
    <xf numFmtId="168" fontId="93" fillId="0" borderId="47" applyNumberFormat="0" applyFill="0" applyAlignment="0" applyProtection="0"/>
    <xf numFmtId="169" fontId="93" fillId="0" borderId="47" applyNumberFormat="0" applyFill="0" applyAlignment="0" applyProtection="0"/>
    <xf numFmtId="168" fontId="93" fillId="0" borderId="47" applyNumberFormat="0" applyFill="0" applyAlignment="0" applyProtection="0"/>
    <xf numFmtId="168" fontId="93" fillId="0" borderId="47" applyNumberFormat="0" applyFill="0" applyAlignment="0" applyProtection="0"/>
    <xf numFmtId="169" fontId="93" fillId="0" borderId="47" applyNumberFormat="0" applyFill="0" applyAlignment="0" applyProtection="0"/>
    <xf numFmtId="168" fontId="93" fillId="0" borderId="47" applyNumberFormat="0" applyFill="0" applyAlignment="0" applyProtection="0"/>
    <xf numFmtId="168" fontId="93" fillId="0" borderId="47" applyNumberFormat="0" applyFill="0" applyAlignment="0" applyProtection="0"/>
    <xf numFmtId="169" fontId="93" fillId="0" borderId="47" applyNumberFormat="0" applyFill="0" applyAlignment="0" applyProtection="0"/>
    <xf numFmtId="168" fontId="93" fillId="0" borderId="47" applyNumberFormat="0" applyFill="0" applyAlignment="0" applyProtection="0"/>
    <xf numFmtId="0" fontId="46" fillId="0" borderId="47" applyNumberFormat="0" applyFill="0" applyAlignment="0" applyProtection="0"/>
    <xf numFmtId="0" fontId="24" fillId="0" borderId="48"/>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42" fontId="97" fillId="0" borderId="0" applyFont="0" applyFill="0" applyBorder="0" applyAlignment="0" applyProtection="0"/>
    <xf numFmtId="44"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102" applyNumberFormat="0" applyFill="0" applyAlignment="0" applyProtection="0"/>
    <xf numFmtId="168" fontId="93" fillId="0" borderId="102" applyNumberFormat="0" applyFill="0" applyAlignment="0" applyProtection="0"/>
    <xf numFmtId="169" fontId="93" fillId="0" borderId="102" applyNumberFormat="0" applyFill="0" applyAlignment="0" applyProtection="0"/>
    <xf numFmtId="168" fontId="93" fillId="0" borderId="102" applyNumberFormat="0" applyFill="0" applyAlignment="0" applyProtection="0"/>
    <xf numFmtId="168" fontId="93" fillId="0" borderId="102" applyNumberFormat="0" applyFill="0" applyAlignment="0" applyProtection="0"/>
    <xf numFmtId="169" fontId="93" fillId="0" borderId="102" applyNumberFormat="0" applyFill="0" applyAlignment="0" applyProtection="0"/>
    <xf numFmtId="168" fontId="93" fillId="0" borderId="102" applyNumberFormat="0" applyFill="0" applyAlignment="0" applyProtection="0"/>
    <xf numFmtId="168" fontId="93" fillId="0" borderId="102" applyNumberFormat="0" applyFill="0" applyAlignment="0" applyProtection="0"/>
    <xf numFmtId="169" fontId="93" fillId="0" borderId="102" applyNumberFormat="0" applyFill="0" applyAlignment="0" applyProtection="0"/>
    <xf numFmtId="168" fontId="93" fillId="0" borderId="102" applyNumberFormat="0" applyFill="0" applyAlignment="0" applyProtection="0"/>
    <xf numFmtId="168" fontId="93" fillId="0" borderId="102" applyNumberFormat="0" applyFill="0" applyAlignment="0" applyProtection="0"/>
    <xf numFmtId="169" fontId="93" fillId="0" borderId="102" applyNumberFormat="0" applyFill="0" applyAlignment="0" applyProtection="0"/>
    <xf numFmtId="168"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69"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68"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68"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88" fontId="2" fillId="70" borderId="96" applyFont="0">
      <alignment horizontal="right" vertical="center"/>
    </xf>
    <xf numFmtId="3" fontId="2" fillId="70" borderId="96" applyFont="0">
      <alignment horizontal="right" vertical="center"/>
    </xf>
    <xf numFmtId="0" fontId="82" fillId="64" borderId="101" applyNumberFormat="0" applyAlignment="0" applyProtection="0"/>
    <xf numFmtId="168" fontId="84" fillId="64" borderId="101" applyNumberFormat="0" applyAlignment="0" applyProtection="0"/>
    <xf numFmtId="169" fontId="84" fillId="64" borderId="101" applyNumberFormat="0" applyAlignment="0" applyProtection="0"/>
    <xf numFmtId="168" fontId="84" fillId="64" borderId="101" applyNumberFormat="0" applyAlignment="0" applyProtection="0"/>
    <xf numFmtId="168" fontId="84" fillId="64" borderId="101" applyNumberFormat="0" applyAlignment="0" applyProtection="0"/>
    <xf numFmtId="169" fontId="84" fillId="64" borderId="101" applyNumberFormat="0" applyAlignment="0" applyProtection="0"/>
    <xf numFmtId="168" fontId="84" fillId="64" borderId="101" applyNumberFormat="0" applyAlignment="0" applyProtection="0"/>
    <xf numFmtId="168" fontId="84" fillId="64" borderId="101" applyNumberFormat="0" applyAlignment="0" applyProtection="0"/>
    <xf numFmtId="169" fontId="84" fillId="64" borderId="101" applyNumberFormat="0" applyAlignment="0" applyProtection="0"/>
    <xf numFmtId="168" fontId="84" fillId="64" borderId="101" applyNumberFormat="0" applyAlignment="0" applyProtection="0"/>
    <xf numFmtId="168" fontId="84" fillId="64" borderId="101" applyNumberFormat="0" applyAlignment="0" applyProtection="0"/>
    <xf numFmtId="169" fontId="84" fillId="64" borderId="101" applyNumberFormat="0" applyAlignment="0" applyProtection="0"/>
    <xf numFmtId="168"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169"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168"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168"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3" fontId="2" fillId="75" borderId="96" applyFont="0">
      <alignment horizontal="right" vertical="center"/>
      <protection locked="0"/>
    </xf>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3" fontId="2" fillId="72" borderId="96" applyFont="0">
      <alignment horizontal="right" vertical="center"/>
      <protection locked="0"/>
    </xf>
    <xf numFmtId="0" fontId="65" fillId="43" borderId="99" applyNumberFormat="0" applyAlignment="0" applyProtection="0"/>
    <xf numFmtId="168" fontId="67" fillId="43" borderId="99" applyNumberFormat="0" applyAlignment="0" applyProtection="0"/>
    <xf numFmtId="169" fontId="67" fillId="43" borderId="99" applyNumberFormat="0" applyAlignment="0" applyProtection="0"/>
    <xf numFmtId="168" fontId="67" fillId="43" borderId="99" applyNumberFormat="0" applyAlignment="0" applyProtection="0"/>
    <xf numFmtId="168" fontId="67" fillId="43" borderId="99" applyNumberFormat="0" applyAlignment="0" applyProtection="0"/>
    <xf numFmtId="169" fontId="67" fillId="43" borderId="99" applyNumberFormat="0" applyAlignment="0" applyProtection="0"/>
    <xf numFmtId="168" fontId="67" fillId="43" borderId="99" applyNumberFormat="0" applyAlignment="0" applyProtection="0"/>
    <xf numFmtId="168" fontId="67" fillId="43" borderId="99" applyNumberFormat="0" applyAlignment="0" applyProtection="0"/>
    <xf numFmtId="169" fontId="67" fillId="43" borderId="99" applyNumberFormat="0" applyAlignment="0" applyProtection="0"/>
    <xf numFmtId="168" fontId="67" fillId="43" borderId="99" applyNumberFormat="0" applyAlignment="0" applyProtection="0"/>
    <xf numFmtId="168" fontId="67" fillId="43" borderId="99" applyNumberFormat="0" applyAlignment="0" applyProtection="0"/>
    <xf numFmtId="169" fontId="67" fillId="43" borderId="99" applyNumberFormat="0" applyAlignment="0" applyProtection="0"/>
    <xf numFmtId="168"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169"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168"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168"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2" fillId="71" borderId="97" applyNumberFormat="0" applyFont="0" applyBorder="0" applyProtection="0">
      <alignment horizontal="left" vertical="center"/>
    </xf>
    <xf numFmtId="9" fontId="2" fillId="71" borderId="96" applyFont="0" applyProtection="0">
      <alignment horizontal="right" vertical="center"/>
    </xf>
    <xf numFmtId="3" fontId="2" fillId="71" borderId="96" applyFont="0" applyProtection="0">
      <alignment horizontal="right" vertical="center"/>
    </xf>
    <xf numFmtId="0" fontId="61" fillId="70" borderId="97" applyFont="0" applyBorder="0">
      <alignment horizontal="center" wrapText="1"/>
    </xf>
    <xf numFmtId="168" fontId="53" fillId="0" borderId="94">
      <alignment horizontal="left" vertical="center"/>
    </xf>
    <xf numFmtId="0" fontId="53" fillId="0" borderId="94">
      <alignment horizontal="left" vertical="center"/>
    </xf>
    <xf numFmtId="0" fontId="53" fillId="0" borderId="94">
      <alignment horizontal="left" vertical="center"/>
    </xf>
    <xf numFmtId="0" fontId="2" fillId="69" borderId="96" applyNumberFormat="0" applyFont="0" applyBorder="0" applyProtection="0">
      <alignment horizontal="center" vertical="center"/>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7" fillId="64" borderId="99" applyNumberFormat="0" applyAlignment="0" applyProtection="0"/>
    <xf numFmtId="168" fontId="39" fillId="64" borderId="99" applyNumberFormat="0" applyAlignment="0" applyProtection="0"/>
    <xf numFmtId="169" fontId="39" fillId="64" borderId="99" applyNumberFormat="0" applyAlignment="0" applyProtection="0"/>
    <xf numFmtId="168" fontId="39" fillId="64" borderId="99" applyNumberFormat="0" applyAlignment="0" applyProtection="0"/>
    <xf numFmtId="168" fontId="39" fillId="64" borderId="99" applyNumberFormat="0" applyAlignment="0" applyProtection="0"/>
    <xf numFmtId="169" fontId="39" fillId="64" borderId="99" applyNumberFormat="0" applyAlignment="0" applyProtection="0"/>
    <xf numFmtId="168" fontId="39" fillId="64" borderId="99" applyNumberFormat="0" applyAlignment="0" applyProtection="0"/>
    <xf numFmtId="168" fontId="39" fillId="64" borderId="99" applyNumberFormat="0" applyAlignment="0" applyProtection="0"/>
    <xf numFmtId="169" fontId="39" fillId="64" borderId="99" applyNumberFormat="0" applyAlignment="0" applyProtection="0"/>
    <xf numFmtId="168" fontId="39" fillId="64" borderId="99" applyNumberFormat="0" applyAlignment="0" applyProtection="0"/>
    <xf numFmtId="168" fontId="39" fillId="64" borderId="99" applyNumberFormat="0" applyAlignment="0" applyProtection="0"/>
    <xf numFmtId="169" fontId="39" fillId="64" borderId="99" applyNumberFormat="0" applyAlignment="0" applyProtection="0"/>
    <xf numFmtId="168"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169"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168"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168"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1" fillId="0" borderId="0"/>
    <xf numFmtId="169" fontId="25" fillId="37" borderId="0"/>
    <xf numFmtId="0" fontId="2" fillId="0" borderId="0">
      <alignment vertical="center"/>
    </xf>
    <xf numFmtId="166" fontId="1" fillId="0" borderId="0" applyFont="0" applyFill="0" applyBorder="0" applyAlignment="0" applyProtection="0"/>
    <xf numFmtId="0" fontId="127" fillId="0" borderId="0"/>
  </cellStyleXfs>
  <cellXfs count="102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6"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19" xfId="0" applyFont="1" applyBorder="1" applyAlignment="1">
      <alignment vertical="center"/>
    </xf>
    <xf numFmtId="0" fontId="9" fillId="0" borderId="22"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1" xfId="0" applyFont="1" applyBorder="1" applyAlignment="1">
      <alignment wrapText="1"/>
    </xf>
    <xf numFmtId="0" fontId="7" fillId="0" borderId="0" xfId="0" applyFont="1" applyBorder="1"/>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1" xfId="0" applyFont="1" applyBorder="1" applyAlignment="1"/>
    <xf numFmtId="0" fontId="13" fillId="0" borderId="25" xfId="0" applyFont="1" applyBorder="1" applyAlignment="1">
      <alignment wrapText="1"/>
    </xf>
    <xf numFmtId="0" fontId="22" fillId="0" borderId="0" xfId="0" applyFont="1" applyAlignment="1">
      <alignment horizontal="center" vertical="center"/>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xf numFmtId="0" fontId="9" fillId="0" borderId="1" xfId="0" applyFont="1" applyBorder="1"/>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2" fillId="0" borderId="3" xfId="0" applyFont="1" applyBorder="1"/>
    <xf numFmtId="0" fontId="21"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Fill="1" applyBorder="1" applyAlignment="1" applyProtection="1">
      <alignment vertical="center"/>
    </xf>
    <xf numFmtId="0" fontId="4" fillId="0" borderId="19" xfId="0" applyFont="1" applyBorder="1" applyAlignment="1">
      <alignment vertical="center"/>
    </xf>
    <xf numFmtId="0" fontId="9" fillId="2" borderId="22" xfId="0" applyFont="1" applyFill="1" applyBorder="1" applyAlignment="1">
      <alignment horizontal="right" vertical="center"/>
    </xf>
    <xf numFmtId="0" fontId="4" fillId="0" borderId="53" xfId="0" applyFont="1" applyBorder="1"/>
    <xf numFmtId="0" fontId="19" fillId="0" borderId="22" xfId="0" applyFont="1" applyBorder="1" applyAlignment="1">
      <alignment horizontal="center" vertical="center" wrapText="1"/>
    </xf>
    <xf numFmtId="0" fontId="4" fillId="0" borderId="54" xfId="0" applyFont="1" applyBorder="1"/>
    <xf numFmtId="0" fontId="7" fillId="0" borderId="16"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8" xfId="2" applyNumberFormat="1" applyFont="1" applyFill="1" applyBorder="1" applyAlignment="1" applyProtection="1">
      <alignment horizontal="center" vertical="center"/>
      <protection locked="0"/>
    </xf>
    <xf numFmtId="0" fontId="7" fillId="0" borderId="19"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19" xfId="9" applyFont="1" applyFill="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0" fillId="0" borderId="0" xfId="0" applyFont="1" applyFill="1"/>
    <xf numFmtId="0" fontId="4" fillId="0" borderId="61" xfId="0" applyFont="1" applyBorder="1"/>
    <xf numFmtId="0" fontId="4" fillId="0" borderId="17" xfId="0" applyFont="1" applyBorder="1"/>
    <xf numFmtId="0" fontId="4" fillId="0" borderId="22" xfId="0" applyFont="1" applyBorder="1"/>
    <xf numFmtId="0" fontId="12" fillId="0" borderId="0" xfId="0" applyFont="1" applyAlignment="1"/>
    <xf numFmtId="0" fontId="7" fillId="3" borderId="19" xfId="5" applyFont="1" applyFill="1" applyBorder="1" applyAlignment="1" applyProtection="1">
      <alignment horizontal="right" vertical="center"/>
      <protection locked="0"/>
    </xf>
    <xf numFmtId="0" fontId="15" fillId="3" borderId="23" xfId="16" applyFont="1" applyFill="1" applyBorder="1" applyAlignment="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Alignment="1" applyProtection="1">
      <protection locked="0"/>
    </xf>
    <xf numFmtId="3" fontId="10" fillId="36" borderId="23" xfId="16" applyNumberFormat="1" applyFont="1" applyFill="1" applyBorder="1" applyAlignment="1" applyProtection="1">
      <protection locked="0"/>
    </xf>
    <xf numFmtId="164" fontId="10" fillId="36" borderId="24" xfId="1" applyNumberFormat="1" applyFont="1" applyFill="1" applyBorder="1" applyAlignment="1" applyProtection="1">
      <protection locked="0"/>
    </xf>
    <xf numFmtId="0" fontId="4" fillId="0" borderId="53" xfId="0" applyFont="1" applyBorder="1" applyAlignment="1">
      <alignment horizontal="center"/>
    </xf>
    <xf numFmtId="0" fontId="4" fillId="0" borderId="54"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1" fillId="0" borderId="3" xfId="20960" applyFont="1" applyFill="1" applyBorder="1" applyAlignment="1" applyProtection="1">
      <alignment horizontal="center" vertical="center"/>
    </xf>
    <xf numFmtId="0" fontId="102"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7"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6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4" fillId="0" borderId="22" xfId="0" applyFont="1" applyFill="1" applyBorder="1" applyAlignment="1">
      <alignment horizontal="center" vertical="center"/>
    </xf>
    <xf numFmtId="0" fontId="104" fillId="0" borderId="0" xfId="0" applyFont="1" applyFill="1" applyBorder="1" applyAlignment="1"/>
    <xf numFmtId="49" fontId="104" fillId="0" borderId="7" xfId="0" applyNumberFormat="1" applyFont="1" applyFill="1" applyBorder="1" applyAlignment="1">
      <alignment horizontal="right" vertical="center"/>
    </xf>
    <xf numFmtId="49" fontId="104" fillId="0" borderId="74" xfId="0" applyNumberFormat="1" applyFont="1" applyFill="1" applyBorder="1" applyAlignment="1">
      <alignment horizontal="right" vertical="center"/>
    </xf>
    <xf numFmtId="49" fontId="104" fillId="0" borderId="77" xfId="0" applyNumberFormat="1" applyFont="1" applyFill="1" applyBorder="1" applyAlignment="1">
      <alignment horizontal="right" vertical="center"/>
    </xf>
    <xf numFmtId="49" fontId="104" fillId="0" borderId="82" xfId="0" applyNumberFormat="1" applyFont="1" applyFill="1" applyBorder="1" applyAlignment="1">
      <alignment horizontal="right" vertical="center"/>
    </xf>
    <xf numFmtId="0" fontId="104" fillId="0" borderId="0" xfId="0" applyFont="1" applyFill="1" applyBorder="1" applyAlignment="1">
      <alignment horizontal="left"/>
    </xf>
    <xf numFmtId="0" fontId="104" fillId="0" borderId="82" xfId="0" applyNumberFormat="1" applyFont="1" applyFill="1" applyBorder="1" applyAlignment="1">
      <alignment horizontal="right" vertical="center"/>
    </xf>
    <xf numFmtId="49" fontId="104" fillId="0" borderId="0" xfId="0" applyNumberFormat="1" applyFont="1" applyFill="1" applyBorder="1" applyAlignment="1">
      <alignment horizontal="right" vertical="center"/>
    </xf>
    <xf numFmtId="0" fontId="104" fillId="0" borderId="0" xfId="0" applyFont="1" applyFill="1" applyBorder="1" applyAlignment="1">
      <alignment vertical="center" wrapText="1"/>
    </xf>
    <xf numFmtId="0" fontId="104"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93" fontId="9" fillId="2" borderId="2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17" fillId="2" borderId="24" xfId="0" applyNumberFormat="1" applyFont="1" applyFill="1" applyBorder="1" applyAlignment="1" applyProtection="1">
      <alignment vertical="center"/>
      <protection locked="0"/>
    </xf>
    <xf numFmtId="193" fontId="0" fillId="0" borderId="20" xfId="0" applyNumberFormat="1" applyBorder="1" applyAlignment="1"/>
    <xf numFmtId="193" fontId="0" fillId="0" borderId="20" xfId="0" applyNumberFormat="1" applyBorder="1" applyAlignment="1">
      <alignment wrapText="1"/>
    </xf>
    <xf numFmtId="193" fontId="7" fillId="36" borderId="20" xfId="2" applyNumberFormat="1" applyFont="1" applyFill="1" applyBorder="1" applyAlignment="1" applyProtection="1">
      <alignment vertical="top"/>
    </xf>
    <xf numFmtId="193" fontId="7" fillId="3" borderId="20" xfId="2" applyNumberFormat="1" applyFont="1" applyFill="1" applyBorder="1" applyAlignment="1" applyProtection="1">
      <alignment vertical="top"/>
      <protection locked="0"/>
    </xf>
    <xf numFmtId="193" fontId="7" fillId="36" borderId="20" xfId="2" applyNumberFormat="1" applyFont="1" applyFill="1" applyBorder="1" applyAlignment="1" applyProtection="1">
      <alignment vertical="top" wrapText="1"/>
    </xf>
    <xf numFmtId="193" fontId="7" fillId="3" borderId="20" xfId="2" applyNumberFormat="1" applyFont="1" applyFill="1" applyBorder="1" applyAlignment="1" applyProtection="1">
      <alignment vertical="top" wrapText="1"/>
      <protection locked="0"/>
    </xf>
    <xf numFmtId="193" fontId="7" fillId="36" borderId="20" xfId="2" applyNumberFormat="1" applyFont="1" applyFill="1" applyBorder="1" applyAlignment="1" applyProtection="1">
      <alignment vertical="top" wrapText="1"/>
      <protection locked="0"/>
    </xf>
    <xf numFmtId="193" fontId="7" fillId="36" borderId="24" xfId="2" applyNumberFormat="1" applyFont="1" applyFill="1" applyBorder="1" applyAlignment="1" applyProtection="1">
      <alignment vertical="top" wrapText="1"/>
    </xf>
    <xf numFmtId="193" fontId="4" fillId="36" borderId="2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3"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3" xfId="1" applyNumberFormat="1" applyFont="1" applyFill="1" applyBorder="1" applyAlignment="1" applyProtection="1">
      <protection locked="0"/>
    </xf>
    <xf numFmtId="193" fontId="9" fillId="3" borderId="23" xfId="5" applyNumberFormat="1" applyFont="1" applyFill="1" applyBorder="1" applyProtection="1">
      <protection locked="0"/>
    </xf>
    <xf numFmtId="193" fontId="22" fillId="0" borderId="0" xfId="0" applyNumberFormat="1" applyFont="1"/>
    <xf numFmtId="0" fontId="4" fillId="0" borderId="26" xfId="0" applyFont="1" applyBorder="1" applyAlignment="1">
      <alignment horizontal="center" vertical="center"/>
    </xf>
    <xf numFmtId="0" fontId="4" fillId="0" borderId="26"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5"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36" borderId="24" xfId="20961" applyFont="1" applyFill="1" applyBorder="1"/>
    <xf numFmtId="0" fontId="9" fillId="0" borderId="16" xfId="0" applyFont="1" applyFill="1" applyBorder="1" applyAlignment="1">
      <alignment horizontal="right" vertical="center" wrapText="1"/>
    </xf>
    <xf numFmtId="0" fontId="7" fillId="0" borderId="17" xfId="0" applyFont="1" applyFill="1" applyBorder="1" applyAlignment="1">
      <alignment vertical="center" wrapText="1"/>
    </xf>
    <xf numFmtId="169" fontId="25" fillId="37" borderId="0" xfId="20" applyBorder="1"/>
    <xf numFmtId="169" fontId="25" fillId="37" borderId="90" xfId="20" applyBorder="1"/>
    <xf numFmtId="0" fontId="4" fillId="0" borderId="7" xfId="0" applyFont="1" applyFill="1" applyBorder="1" applyAlignment="1">
      <alignment vertical="center"/>
    </xf>
    <xf numFmtId="0" fontId="4" fillId="0" borderId="96" xfId="0" applyFont="1" applyFill="1" applyBorder="1" applyAlignment="1">
      <alignment vertical="center"/>
    </xf>
    <xf numFmtId="0" fontId="6" fillId="0" borderId="96" xfId="0" applyFont="1" applyFill="1" applyBorder="1" applyAlignment="1">
      <alignment vertical="center"/>
    </xf>
    <xf numFmtId="0" fontId="4" fillId="0" borderId="17" xfId="0" applyFont="1" applyFill="1" applyBorder="1" applyAlignment="1">
      <alignment vertical="center"/>
    </xf>
    <xf numFmtId="0" fontId="4" fillId="0" borderId="92" xfId="0" applyFont="1" applyFill="1" applyBorder="1" applyAlignment="1">
      <alignment vertical="center"/>
    </xf>
    <xf numFmtId="0" fontId="4" fillId="0" borderId="93" xfId="0" applyFont="1" applyFill="1" applyBorder="1" applyAlignment="1">
      <alignment vertical="center"/>
    </xf>
    <xf numFmtId="0" fontId="4" fillId="0" borderId="16"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106" xfId="0" applyFont="1" applyFill="1" applyBorder="1" applyAlignment="1">
      <alignment horizontal="center" vertical="center"/>
    </xf>
    <xf numFmtId="169" fontId="25" fillId="37" borderId="29" xfId="20" applyBorder="1"/>
    <xf numFmtId="169" fontId="25" fillId="37" borderId="108" xfId="20" applyBorder="1"/>
    <xf numFmtId="169" fontId="25" fillId="37" borderId="98" xfId="20" applyBorder="1"/>
    <xf numFmtId="169" fontId="25" fillId="37" borderId="54" xfId="20" applyBorder="1"/>
    <xf numFmtId="0" fontId="4" fillId="3" borderId="61" xfId="0" applyFont="1" applyFill="1" applyBorder="1" applyAlignment="1">
      <alignment horizontal="center" vertical="center"/>
    </xf>
    <xf numFmtId="0" fontId="4" fillId="3" borderId="0" xfId="0" applyFont="1" applyFill="1" applyBorder="1" applyAlignment="1">
      <alignment vertical="center"/>
    </xf>
    <xf numFmtId="0" fontId="4" fillId="0" borderId="67" xfId="0" applyFont="1" applyFill="1" applyBorder="1" applyAlignment="1">
      <alignment horizontal="center" vertical="center"/>
    </xf>
    <xf numFmtId="0" fontId="4" fillId="3" borderId="94" xfId="0" applyFont="1" applyFill="1" applyBorder="1" applyAlignment="1">
      <alignment vertical="center"/>
    </xf>
    <xf numFmtId="0" fontId="14" fillId="3" borderId="109" xfId="0" applyFont="1" applyFill="1" applyBorder="1" applyAlignment="1">
      <alignment horizontal="left"/>
    </xf>
    <xf numFmtId="0" fontId="14" fillId="3" borderId="110" xfId="0" applyFont="1" applyFill="1" applyBorder="1" applyAlignment="1">
      <alignment horizontal="left"/>
    </xf>
    <xf numFmtId="0" fontId="4" fillId="0" borderId="0" xfId="0" applyFont="1"/>
    <xf numFmtId="0" fontId="4" fillId="0" borderId="0" xfId="0" applyFont="1" applyFill="1"/>
    <xf numFmtId="0" fontId="4" fillId="0" borderId="96" xfId="0" applyFont="1" applyFill="1" applyBorder="1" applyAlignment="1">
      <alignment horizontal="center" vertical="center" wrapText="1"/>
    </xf>
    <xf numFmtId="0" fontId="104" fillId="0" borderId="84" xfId="0" applyFont="1" applyFill="1" applyBorder="1" applyAlignment="1">
      <alignment horizontal="right" vertical="center"/>
    </xf>
    <xf numFmtId="0" fontId="4" fillId="0" borderId="111" xfId="0" applyFont="1" applyFill="1" applyBorder="1" applyAlignment="1">
      <alignment horizontal="center" vertical="center" wrapText="1"/>
    </xf>
    <xf numFmtId="0" fontId="6" fillId="3" borderId="112" xfId="0" applyFont="1" applyFill="1" applyBorder="1" applyAlignment="1">
      <alignment vertical="center"/>
    </xf>
    <xf numFmtId="0" fontId="4" fillId="3" borderId="21" xfId="0" applyFont="1" applyFill="1" applyBorder="1" applyAlignment="1">
      <alignment vertical="center"/>
    </xf>
    <xf numFmtId="0" fontId="4" fillId="0" borderId="113" xfId="0" applyFont="1" applyFill="1" applyBorder="1" applyAlignment="1">
      <alignment horizontal="center" vertical="center"/>
    </xf>
    <xf numFmtId="0" fontId="6" fillId="0" borderId="23" xfId="0" applyFont="1" applyFill="1" applyBorder="1" applyAlignment="1">
      <alignment vertical="center"/>
    </xf>
    <xf numFmtId="169" fontId="25" fillId="37" borderId="25" xfId="20" applyBorder="1"/>
    <xf numFmtId="0" fontId="4" fillId="0" borderId="7"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7" fillId="0" borderId="16" xfId="11" applyFont="1" applyFill="1" applyBorder="1" applyAlignment="1" applyProtection="1">
      <alignment vertical="center"/>
    </xf>
    <xf numFmtId="0" fontId="7" fillId="0" borderId="17" xfId="11" applyFont="1" applyFill="1" applyBorder="1" applyAlignment="1" applyProtection="1">
      <alignment vertical="center"/>
    </xf>
    <xf numFmtId="0" fontId="15" fillId="0" borderId="18" xfId="11" applyFont="1" applyFill="1" applyBorder="1" applyAlignment="1" applyProtection="1">
      <alignment horizontal="center" vertical="center"/>
    </xf>
    <xf numFmtId="0" fontId="0" fillId="0" borderId="113" xfId="0" applyBorder="1"/>
    <xf numFmtId="0" fontId="0" fillId="0" borderId="22" xfId="0" applyBorder="1"/>
    <xf numFmtId="0" fontId="6" fillId="36" borderId="114" xfId="0" applyFont="1" applyFill="1" applyBorder="1" applyAlignment="1">
      <alignment vertical="center" wrapText="1"/>
    </xf>
    <xf numFmtId="193" fontId="0" fillId="0" borderId="20" xfId="0" applyNumberFormat="1" applyFill="1" applyBorder="1" applyAlignment="1">
      <alignment wrapText="1"/>
    </xf>
    <xf numFmtId="0" fontId="7" fillId="0" borderId="0" xfId="0" applyFont="1" applyFill="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3" xfId="0" applyFont="1" applyFill="1" applyBorder="1" applyAlignment="1">
      <alignment horizontal="left" vertical="center" wrapText="1"/>
    </xf>
    <xf numFmtId="0" fontId="6" fillId="36" borderId="96" xfId="0" applyFont="1" applyFill="1" applyBorder="1" applyAlignment="1">
      <alignment horizontal="left" vertical="center" wrapText="1"/>
    </xf>
    <xf numFmtId="0" fontId="6" fillId="36" borderId="111" xfId="0" applyFont="1" applyFill="1" applyBorder="1" applyAlignment="1">
      <alignment horizontal="left" vertical="center" wrapText="1"/>
    </xf>
    <xf numFmtId="0" fontId="4" fillId="0" borderId="113" xfId="0" applyFont="1" applyFill="1" applyBorder="1" applyAlignment="1">
      <alignment horizontal="right" vertical="center" wrapText="1"/>
    </xf>
    <xf numFmtId="0" fontId="4" fillId="0" borderId="96" xfId="0" applyFont="1" applyFill="1" applyBorder="1" applyAlignment="1">
      <alignment horizontal="left" vertical="center" wrapText="1"/>
    </xf>
    <xf numFmtId="0" fontId="107" fillId="0" borderId="113" xfId="0" applyFont="1" applyFill="1" applyBorder="1" applyAlignment="1">
      <alignment horizontal="right" vertical="center" wrapText="1"/>
    </xf>
    <xf numFmtId="0" fontId="107" fillId="0" borderId="96" xfId="0" applyFont="1" applyFill="1" applyBorder="1" applyAlignment="1">
      <alignment horizontal="left" vertical="center" wrapText="1"/>
    </xf>
    <xf numFmtId="0" fontId="6" fillId="0" borderId="113"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7" fillId="0" borderId="0" xfId="0" applyFont="1" applyFill="1" applyAlignment="1">
      <alignment horizontal="left" vertical="center"/>
    </xf>
    <xf numFmtId="49" fontId="108" fillId="0" borderId="22" xfId="5" applyNumberFormat="1" applyFont="1" applyFill="1" applyBorder="1" applyAlignment="1" applyProtection="1">
      <alignment horizontal="left" vertical="center"/>
      <protection locked="0"/>
    </xf>
    <xf numFmtId="0" fontId="109" fillId="0" borderId="23" xfId="9" applyFont="1" applyFill="1" applyBorder="1" applyAlignment="1" applyProtection="1">
      <alignment horizontal="left" vertical="center" wrapText="1"/>
      <protection locked="0"/>
    </xf>
    <xf numFmtId="0" fontId="19" fillId="0" borderId="113" xfId="0" applyFont="1" applyBorder="1" applyAlignment="1">
      <alignment horizontal="center" vertical="center" wrapText="1"/>
    </xf>
    <xf numFmtId="14" fontId="7" fillId="3" borderId="96" xfId="8" quotePrefix="1" applyNumberFormat="1" applyFont="1" applyFill="1" applyBorder="1" applyAlignment="1" applyProtection="1">
      <alignment horizontal="left" vertical="center" wrapText="1" indent="2"/>
      <protection locked="0"/>
    </xf>
    <xf numFmtId="3" fontId="20" fillId="0" borderId="96" xfId="0" applyNumberFormat="1" applyFont="1" applyBorder="1" applyAlignment="1">
      <alignment vertical="center" wrapText="1"/>
    </xf>
    <xf numFmtId="14" fontId="7" fillId="3" borderId="96" xfId="8" quotePrefix="1" applyNumberFormat="1" applyFont="1" applyFill="1" applyBorder="1" applyAlignment="1" applyProtection="1">
      <alignment horizontal="left" vertical="center" wrapText="1" indent="3"/>
      <protection locked="0"/>
    </xf>
    <xf numFmtId="3" fontId="20" fillId="0" borderId="96" xfId="0" applyNumberFormat="1" applyFont="1" applyFill="1" applyBorder="1" applyAlignment="1">
      <alignment vertical="center" wrapText="1"/>
    </xf>
    <xf numFmtId="0" fontId="11" fillId="0" borderId="96" xfId="17" applyFill="1" applyBorder="1" applyAlignment="1" applyProtection="1"/>
    <xf numFmtId="49" fontId="107" fillId="0" borderId="113" xfId="0" applyNumberFormat="1" applyFont="1" applyFill="1" applyBorder="1" applyAlignment="1">
      <alignment horizontal="right" vertical="center" wrapText="1"/>
    </xf>
    <xf numFmtId="0" fontId="7" fillId="3" borderId="96" xfId="20960" applyFont="1" applyFill="1" applyBorder="1" applyAlignment="1" applyProtection="1"/>
    <xf numFmtId="0" fontId="101" fillId="0" borderId="96" xfId="20960" applyFont="1" applyFill="1" applyBorder="1" applyAlignment="1" applyProtection="1">
      <alignment horizontal="center" vertical="center"/>
    </xf>
    <xf numFmtId="0" fontId="4" fillId="0" borderId="96" xfId="0" applyFont="1" applyBorder="1"/>
    <xf numFmtId="0" fontId="11" fillId="0" borderId="96" xfId="17" applyFill="1" applyBorder="1" applyAlignment="1" applyProtection="1">
      <alignment horizontal="left" vertical="center" wrapText="1"/>
    </xf>
    <xf numFmtId="49" fontId="107" fillId="0" borderId="96" xfId="0" applyNumberFormat="1" applyFont="1" applyFill="1" applyBorder="1" applyAlignment="1">
      <alignment horizontal="right" vertical="center" wrapText="1"/>
    </xf>
    <xf numFmtId="0" fontId="11" fillId="0" borderId="96" xfId="17" applyFill="1" applyBorder="1" applyAlignment="1" applyProtection="1">
      <alignment horizontal="left" vertical="center"/>
    </xf>
    <xf numFmtId="0" fontId="4" fillId="0" borderId="96" xfId="0" applyFont="1" applyFill="1" applyBorder="1"/>
    <xf numFmtId="0" fontId="19" fillId="0" borderId="113" xfId="0" applyFont="1" applyFill="1" applyBorder="1" applyAlignment="1">
      <alignment horizontal="center" vertical="center" wrapText="1"/>
    </xf>
    <xf numFmtId="0" fontId="110" fillId="78" borderId="97" xfId="21412" applyFont="1" applyFill="1" applyBorder="1" applyAlignment="1" applyProtection="1">
      <alignment vertical="center" wrapText="1"/>
      <protection locked="0"/>
    </xf>
    <xf numFmtId="0" fontId="111" fillId="70" borderId="92" xfId="21412" applyFont="1" applyFill="1" applyBorder="1" applyAlignment="1" applyProtection="1">
      <alignment horizontal="center" vertical="center"/>
      <protection locked="0"/>
    </xf>
    <xf numFmtId="0" fontId="110" fillId="79" borderId="96" xfId="21412" applyFont="1" applyFill="1" applyBorder="1" applyAlignment="1" applyProtection="1">
      <alignment horizontal="center" vertical="center"/>
      <protection locked="0"/>
    </xf>
    <xf numFmtId="0" fontId="110" fillId="78" borderId="97" xfId="21412" applyFont="1" applyFill="1" applyBorder="1" applyAlignment="1" applyProtection="1">
      <alignment vertical="center"/>
      <protection locked="0"/>
    </xf>
    <xf numFmtId="0" fontId="112" fillId="70" borderId="92" xfId="21412" applyFont="1" applyFill="1" applyBorder="1" applyAlignment="1" applyProtection="1">
      <alignment horizontal="center" vertical="center"/>
      <protection locked="0"/>
    </xf>
    <xf numFmtId="0" fontId="112" fillId="3" borderId="92" xfId="21412" applyFont="1" applyFill="1" applyBorder="1" applyAlignment="1" applyProtection="1">
      <alignment horizontal="center" vertical="center"/>
      <protection locked="0"/>
    </xf>
    <xf numFmtId="0" fontId="112" fillId="0" borderId="92" xfId="21412" applyFont="1" applyFill="1" applyBorder="1" applyAlignment="1" applyProtection="1">
      <alignment horizontal="center" vertical="center"/>
      <protection locked="0"/>
    </xf>
    <xf numFmtId="0" fontId="113" fillId="79" borderId="96" xfId="21412" applyFont="1" applyFill="1" applyBorder="1" applyAlignment="1" applyProtection="1">
      <alignment horizontal="center" vertical="center"/>
      <protection locked="0"/>
    </xf>
    <xf numFmtId="0" fontId="110" fillId="78" borderId="97" xfId="21412" applyFont="1" applyFill="1" applyBorder="1" applyAlignment="1" applyProtection="1">
      <alignment horizontal="center" vertical="center"/>
      <protection locked="0"/>
    </xf>
    <xf numFmtId="0" fontId="61" fillId="78" borderId="97" xfId="21412" applyFont="1" applyFill="1" applyBorder="1" applyAlignment="1" applyProtection="1">
      <alignment vertical="center"/>
      <protection locked="0"/>
    </xf>
    <xf numFmtId="0" fontId="112" fillId="70" borderId="96" xfId="21412" applyFont="1" applyFill="1" applyBorder="1" applyAlignment="1" applyProtection="1">
      <alignment horizontal="center" vertical="center"/>
      <protection locked="0"/>
    </xf>
    <xf numFmtId="0" fontId="35" fillId="70" borderId="96" xfId="21412" applyFont="1" applyFill="1" applyBorder="1" applyAlignment="1" applyProtection="1">
      <alignment horizontal="center" vertical="center"/>
      <protection locked="0"/>
    </xf>
    <xf numFmtId="0" fontId="61" fillId="78" borderId="95" xfId="21412" applyFont="1" applyFill="1" applyBorder="1" applyAlignment="1" applyProtection="1">
      <alignment vertical="center"/>
      <protection locked="0"/>
    </xf>
    <xf numFmtId="0" fontId="111" fillId="0" borderId="95" xfId="21412" applyFont="1" applyFill="1" applyBorder="1" applyAlignment="1" applyProtection="1">
      <alignment horizontal="left" vertical="center" wrapText="1"/>
      <protection locked="0"/>
    </xf>
    <xf numFmtId="164" fontId="111" fillId="0" borderId="96" xfId="948" applyNumberFormat="1" applyFont="1" applyFill="1" applyBorder="1" applyAlignment="1" applyProtection="1">
      <alignment horizontal="right" vertical="center"/>
      <protection locked="0"/>
    </xf>
    <xf numFmtId="0" fontId="110" fillId="79" borderId="95" xfId="21412" applyFont="1" applyFill="1" applyBorder="1" applyAlignment="1" applyProtection="1">
      <alignment vertical="top" wrapText="1"/>
      <protection locked="0"/>
    </xf>
    <xf numFmtId="164" fontId="111" fillId="79" borderId="96" xfId="948" applyNumberFormat="1" applyFont="1" applyFill="1" applyBorder="1" applyAlignment="1" applyProtection="1">
      <alignment horizontal="right" vertical="center"/>
    </xf>
    <xf numFmtId="164" fontId="61" fillId="78" borderId="95" xfId="948" applyNumberFormat="1" applyFont="1" applyFill="1" applyBorder="1" applyAlignment="1" applyProtection="1">
      <alignment horizontal="right" vertical="center"/>
      <protection locked="0"/>
    </xf>
    <xf numFmtId="0" fontId="111" fillId="70" borderId="95" xfId="21412" applyFont="1" applyFill="1" applyBorder="1" applyAlignment="1" applyProtection="1">
      <alignment vertical="center" wrapText="1"/>
      <protection locked="0"/>
    </xf>
    <xf numFmtId="0" fontId="111" fillId="70" borderId="95" xfId="21412" applyFont="1" applyFill="1" applyBorder="1" applyAlignment="1" applyProtection="1">
      <alignment horizontal="left" vertical="center" wrapText="1"/>
      <protection locked="0"/>
    </xf>
    <xf numFmtId="0" fontId="111" fillId="0" borderId="95" xfId="21412" applyFont="1" applyFill="1" applyBorder="1" applyAlignment="1" applyProtection="1">
      <alignment vertical="center" wrapText="1"/>
      <protection locked="0"/>
    </xf>
    <xf numFmtId="0" fontId="111" fillId="3" borderId="95" xfId="21412" applyFont="1" applyFill="1" applyBorder="1" applyAlignment="1" applyProtection="1">
      <alignment horizontal="left" vertical="center" wrapText="1"/>
      <protection locked="0"/>
    </xf>
    <xf numFmtId="0" fontId="110" fillId="79" borderId="95" xfId="21412" applyFont="1" applyFill="1" applyBorder="1" applyAlignment="1" applyProtection="1">
      <alignment vertical="center" wrapText="1"/>
      <protection locked="0"/>
    </xf>
    <xf numFmtId="164" fontId="110" fillId="78" borderId="95" xfId="948" applyNumberFormat="1" applyFont="1" applyFill="1" applyBorder="1" applyAlignment="1" applyProtection="1">
      <alignment horizontal="right" vertical="center"/>
      <protection locked="0"/>
    </xf>
    <xf numFmtId="164" fontId="111" fillId="3" borderId="96" xfId="948" applyNumberFormat="1" applyFont="1" applyFill="1" applyBorder="1" applyAlignment="1" applyProtection="1">
      <alignment horizontal="right" vertical="center"/>
      <protection locked="0"/>
    </xf>
    <xf numFmtId="1" fontId="6" fillId="36" borderId="111" xfId="0" applyNumberFormat="1" applyFont="1" applyFill="1" applyBorder="1" applyAlignment="1">
      <alignment horizontal="center" vertical="center" wrapText="1"/>
    </xf>
    <xf numFmtId="10" fontId="7" fillId="0" borderId="96" xfId="20961" applyNumberFormat="1" applyFont="1" applyFill="1" applyBorder="1" applyAlignment="1">
      <alignment horizontal="left" vertical="center" wrapText="1"/>
    </xf>
    <xf numFmtId="10" fontId="4" fillId="0" borderId="96" xfId="20961" applyNumberFormat="1" applyFont="1" applyFill="1" applyBorder="1" applyAlignment="1">
      <alignment horizontal="left" vertical="center" wrapText="1"/>
    </xf>
    <xf numFmtId="10" fontId="6" fillId="36" borderId="96" xfId="0" applyNumberFormat="1" applyFont="1" applyFill="1" applyBorder="1" applyAlignment="1">
      <alignment horizontal="left" vertical="center" wrapText="1"/>
    </xf>
    <xf numFmtId="10" fontId="107" fillId="0" borderId="96" xfId="20961" applyNumberFormat="1" applyFont="1" applyFill="1" applyBorder="1" applyAlignment="1">
      <alignment horizontal="left" vertical="center" wrapText="1"/>
    </xf>
    <xf numFmtId="10" fontId="6" fillId="36" borderId="96" xfId="20961" applyNumberFormat="1" applyFont="1" applyFill="1" applyBorder="1" applyAlignment="1">
      <alignment horizontal="left" vertical="center" wrapText="1"/>
    </xf>
    <xf numFmtId="10" fontId="6" fillId="36" borderId="96" xfId="0" applyNumberFormat="1" applyFont="1" applyFill="1" applyBorder="1" applyAlignment="1">
      <alignment horizontal="center" vertical="center" wrapText="1"/>
    </xf>
    <xf numFmtId="10" fontId="109" fillId="0" borderId="23" xfId="20961" applyNumberFormat="1" applyFont="1" applyFill="1" applyBorder="1" applyAlignment="1" applyProtection="1">
      <alignment horizontal="left" vertical="center"/>
    </xf>
    <xf numFmtId="0" fontId="105"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9" fillId="0" borderId="113" xfId="0" applyFont="1" applyBorder="1" applyAlignment="1">
      <alignment horizontal="right" vertical="center" wrapText="1"/>
    </xf>
    <xf numFmtId="0" fontId="9" fillId="0" borderId="113" xfId="0" applyFont="1" applyFill="1" applyBorder="1" applyAlignment="1">
      <alignment horizontal="right" vertical="center" wrapText="1"/>
    </xf>
    <xf numFmtId="0" fontId="7" fillId="0" borderId="96" xfId="0" applyFont="1" applyFill="1" applyBorder="1" applyAlignment="1">
      <alignment vertical="center" wrapText="1"/>
    </xf>
    <xf numFmtId="0" fontId="4" fillId="0" borderId="96" xfId="0" applyFont="1" applyBorder="1" applyAlignment="1">
      <alignment vertical="center" wrapText="1"/>
    </xf>
    <xf numFmtId="0" fontId="4" fillId="0" borderId="96" xfId="0" applyFont="1" applyFill="1" applyBorder="1" applyAlignment="1">
      <alignment horizontal="left" vertical="center" wrapText="1" indent="2"/>
    </xf>
    <xf numFmtId="0" fontId="4" fillId="0" borderId="96" xfId="0" applyFont="1" applyFill="1" applyBorder="1" applyAlignment="1">
      <alignment vertical="center" wrapText="1"/>
    </xf>
    <xf numFmtId="3" fontId="20" fillId="0" borderId="97" xfId="0" applyNumberFormat="1" applyFont="1" applyBorder="1" applyAlignment="1">
      <alignment vertical="center" wrapText="1"/>
    </xf>
    <xf numFmtId="3" fontId="20" fillId="0" borderId="21" xfId="0" applyNumberFormat="1" applyFont="1" applyBorder="1" applyAlignment="1">
      <alignment vertical="center" wrapText="1"/>
    </xf>
    <xf numFmtId="3" fontId="20" fillId="0" borderId="21" xfId="0" applyNumberFormat="1" applyFont="1" applyFill="1" applyBorder="1" applyAlignment="1">
      <alignment vertical="center" wrapText="1"/>
    </xf>
    <xf numFmtId="0" fontId="6" fillId="0" borderId="23" xfId="0" applyFont="1" applyBorder="1" applyAlignment="1">
      <alignment vertical="center" wrapText="1"/>
    </xf>
    <xf numFmtId="0" fontId="4" fillId="0" borderId="111" xfId="0" applyFont="1" applyBorder="1" applyAlignment="1"/>
    <xf numFmtId="0" fontId="9" fillId="0" borderId="111" xfId="0" applyFont="1" applyBorder="1" applyAlignment="1"/>
    <xf numFmtId="0" fontId="9" fillId="0" borderId="111" xfId="0" applyFont="1" applyBorder="1" applyAlignment="1">
      <alignment wrapText="1"/>
    </xf>
    <xf numFmtId="0" fontId="10" fillId="0" borderId="18" xfId="0" applyFont="1" applyBorder="1" applyAlignment="1">
      <alignment horizontal="center"/>
    </xf>
    <xf numFmtId="0" fontId="10" fillId="0" borderId="111" xfId="0" applyFont="1" applyBorder="1" applyAlignment="1">
      <alignment horizontal="center" vertical="center" wrapText="1"/>
    </xf>
    <xf numFmtId="0" fontId="2" fillId="0" borderId="17" xfId="0" applyNumberFormat="1" applyFont="1" applyFill="1" applyBorder="1" applyAlignment="1">
      <alignment horizontal="left" vertical="center" wrapText="1" indent="1"/>
    </xf>
    <xf numFmtId="0" fontId="2" fillId="0" borderId="18" xfId="0" applyNumberFormat="1" applyFont="1" applyFill="1" applyBorder="1" applyAlignment="1">
      <alignment horizontal="left" vertical="center" wrapText="1" indent="1"/>
    </xf>
    <xf numFmtId="0" fontId="9" fillId="0" borderId="113" xfId="0" applyFont="1" applyFill="1" applyBorder="1" applyAlignment="1">
      <alignment horizontal="center" vertical="center" wrapText="1"/>
    </xf>
    <xf numFmtId="0" fontId="15" fillId="0" borderId="96" xfId="0" applyFont="1" applyFill="1" applyBorder="1" applyAlignment="1">
      <alignment horizontal="center" vertical="center" wrapText="1"/>
    </xf>
    <xf numFmtId="0" fontId="16" fillId="0" borderId="96" xfId="0" applyFont="1" applyFill="1" applyBorder="1" applyAlignment="1">
      <alignment horizontal="left" vertical="center" wrapText="1"/>
    </xf>
    <xf numFmtId="193" fontId="4" fillId="0" borderId="96" xfId="0" applyNumberFormat="1" applyFont="1" applyFill="1" applyBorder="1" applyAlignment="1" applyProtection="1">
      <alignment vertical="center" wrapText="1"/>
      <protection locked="0"/>
    </xf>
    <xf numFmtId="193" fontId="4" fillId="0" borderId="111" xfId="0" applyNumberFormat="1" applyFont="1" applyFill="1" applyBorder="1" applyAlignment="1" applyProtection="1">
      <alignment vertical="center" wrapText="1"/>
      <protection locked="0"/>
    </xf>
    <xf numFmtId="0" fontId="7" fillId="0" borderId="96" xfId="0" applyFont="1" applyBorder="1" applyAlignment="1">
      <alignment vertical="center" wrapText="1"/>
    </xf>
    <xf numFmtId="0" fontId="9" fillId="2" borderId="113" xfId="0" applyFont="1" applyFill="1" applyBorder="1" applyAlignment="1">
      <alignment horizontal="right" vertical="center"/>
    </xf>
    <xf numFmtId="0" fontId="9" fillId="2" borderId="96" xfId="0" applyFont="1" applyFill="1" applyBorder="1" applyAlignment="1">
      <alignment vertical="center"/>
    </xf>
    <xf numFmtId="193" fontId="9" fillId="2" borderId="96" xfId="0" applyNumberFormat="1" applyFont="1" applyFill="1" applyBorder="1" applyAlignment="1" applyProtection="1">
      <alignment vertical="center"/>
      <protection locked="0"/>
    </xf>
    <xf numFmtId="193" fontId="17" fillId="2" borderId="96" xfId="0" applyNumberFormat="1" applyFont="1" applyFill="1" applyBorder="1" applyAlignment="1" applyProtection="1">
      <alignment vertical="center"/>
      <protection locked="0"/>
    </xf>
    <xf numFmtId="193" fontId="17" fillId="2" borderId="111" xfId="0" applyNumberFormat="1" applyFont="1" applyFill="1" applyBorder="1" applyAlignment="1" applyProtection="1">
      <alignment vertical="center"/>
      <protection locked="0"/>
    </xf>
    <xf numFmtId="193" fontId="9" fillId="2" borderId="111" xfId="0" applyNumberFormat="1" applyFont="1" applyFill="1" applyBorder="1" applyAlignment="1" applyProtection="1">
      <alignment vertical="center"/>
      <protection locked="0"/>
    </xf>
    <xf numFmtId="0" fontId="15" fillId="0" borderId="113" xfId="0" applyFont="1" applyFill="1" applyBorder="1" applyAlignment="1">
      <alignment horizontal="center" vertical="center" wrapText="1"/>
    </xf>
    <xf numFmtId="14" fontId="4" fillId="0" borderId="0" xfId="0" applyNumberFormat="1" applyFont="1"/>
    <xf numFmtId="10" fontId="4" fillId="0" borderId="96" xfId="20961" applyNumberFormat="1" applyFont="1" applyBorder="1" applyAlignment="1" applyProtection="1">
      <alignment vertical="center" wrapText="1"/>
      <protection locked="0"/>
    </xf>
    <xf numFmtId="10" fontId="4" fillId="0" borderId="111" xfId="20961" applyNumberFormat="1" applyFont="1" applyBorder="1" applyAlignment="1" applyProtection="1">
      <alignment vertical="center" wrapText="1"/>
      <protection locked="0"/>
    </xf>
    <xf numFmtId="0" fontId="6" fillId="0" borderId="0" xfId="0" applyFont="1" applyAlignment="1">
      <alignment horizontal="center" wrapText="1"/>
    </xf>
    <xf numFmtId="0" fontId="4" fillId="3" borderId="53" xfId="0" applyFont="1" applyFill="1" applyBorder="1"/>
    <xf numFmtId="0" fontId="4" fillId="3" borderId="116" xfId="0" applyFont="1" applyFill="1" applyBorder="1" applyAlignment="1">
      <alignment wrapText="1"/>
    </xf>
    <xf numFmtId="0" fontId="4" fillId="3" borderId="117" xfId="0" applyFont="1" applyFill="1" applyBorder="1"/>
    <xf numFmtId="0" fontId="6" fillId="3" borderId="11" xfId="0" applyFont="1" applyFill="1" applyBorder="1" applyAlignment="1">
      <alignment horizontal="center" wrapText="1"/>
    </xf>
    <xf numFmtId="0" fontId="4" fillId="0" borderId="96" xfId="0" applyFont="1" applyFill="1" applyBorder="1" applyAlignment="1">
      <alignment horizontal="center"/>
    </xf>
    <xf numFmtId="0" fontId="4" fillId="0" borderId="96" xfId="0" applyFont="1" applyBorder="1" applyAlignment="1">
      <alignment horizontal="center"/>
    </xf>
    <xf numFmtId="0" fontId="4" fillId="3" borderId="61"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0" xfId="0" applyFont="1" applyFill="1" applyBorder="1" applyAlignment="1">
      <alignment horizontal="center" vertical="center" wrapText="1"/>
    </xf>
    <xf numFmtId="0" fontId="4" fillId="0" borderId="113" xfId="0" applyFont="1" applyBorder="1"/>
    <xf numFmtId="0" fontId="4" fillId="0" borderId="96" xfId="0" applyFont="1" applyBorder="1" applyAlignment="1">
      <alignment wrapText="1"/>
    </xf>
    <xf numFmtId="164" fontId="4" fillId="0" borderId="96" xfId="7" applyNumberFormat="1" applyFont="1" applyBorder="1"/>
    <xf numFmtId="164" fontId="4" fillId="0" borderId="111" xfId="7" applyNumberFormat="1" applyFont="1" applyBorder="1"/>
    <xf numFmtId="0" fontId="14" fillId="0" borderId="96" xfId="0" applyFont="1" applyBorder="1" applyAlignment="1">
      <alignment horizontal="left" wrapText="1" indent="2"/>
    </xf>
    <xf numFmtId="169" fontId="25" fillId="37" borderId="96" xfId="20" applyBorder="1"/>
    <xf numFmtId="164" fontId="4" fillId="0" borderId="96" xfId="7" applyNumberFormat="1" applyFont="1" applyBorder="1" applyAlignment="1">
      <alignment vertical="center"/>
    </xf>
    <xf numFmtId="0" fontId="6" fillId="0" borderId="113" xfId="0" applyFont="1" applyBorder="1"/>
    <xf numFmtId="0" fontId="6" fillId="0" borderId="96" xfId="0" applyFont="1" applyBorder="1" applyAlignment="1">
      <alignment wrapText="1"/>
    </xf>
    <xf numFmtId="164" fontId="6" fillId="0" borderId="111" xfId="7" applyNumberFormat="1" applyFont="1" applyBorder="1"/>
    <xf numFmtId="0" fontId="3" fillId="3" borderId="6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0" xfId="7" applyNumberFormat="1" applyFont="1" applyFill="1" applyBorder="1"/>
    <xf numFmtId="164" fontId="4" fillId="0" borderId="96" xfId="7" applyNumberFormat="1" applyFont="1" applyFill="1" applyBorder="1"/>
    <xf numFmtId="164" fontId="4" fillId="0" borderId="96" xfId="7" applyNumberFormat="1" applyFont="1" applyFill="1" applyBorder="1" applyAlignment="1">
      <alignment vertical="center"/>
    </xf>
    <xf numFmtId="0" fontId="14" fillId="0" borderId="96"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0" xfId="0" applyFont="1" applyFill="1" applyBorder="1"/>
    <xf numFmtId="0" fontId="6" fillId="0" borderId="22" xfId="0" applyFont="1" applyBorder="1"/>
    <xf numFmtId="0" fontId="6" fillId="0" borderId="23" xfId="0" applyFont="1" applyBorder="1" applyAlignment="1">
      <alignment wrapText="1"/>
    </xf>
    <xf numFmtId="169" fontId="25" fillId="37" borderId="114" xfId="20" applyBorder="1"/>
    <xf numFmtId="10" fontId="6" fillId="0" borderId="24" xfId="20961" applyNumberFormat="1" applyFont="1" applyBorder="1"/>
    <xf numFmtId="0" fontId="9" fillId="2" borderId="104" xfId="0" applyFont="1" applyFill="1" applyBorder="1" applyAlignment="1">
      <alignment horizontal="right" vertical="center"/>
    </xf>
    <xf numFmtId="0" fontId="9" fillId="2" borderId="92" xfId="0" applyFont="1" applyFill="1" applyBorder="1" applyAlignment="1">
      <alignment vertical="center"/>
    </xf>
    <xf numFmtId="193" fontId="17" fillId="2" borderId="92" xfId="0" applyNumberFormat="1" applyFont="1" applyFill="1" applyBorder="1" applyAlignment="1" applyProtection="1">
      <alignment vertical="center"/>
      <protection locked="0"/>
    </xf>
    <xf numFmtId="193" fontId="17" fillId="2" borderId="105" xfId="0" applyNumberFormat="1" applyFont="1" applyFill="1" applyBorder="1" applyAlignment="1" applyProtection="1">
      <alignment vertical="center"/>
      <protection locked="0"/>
    </xf>
    <xf numFmtId="0" fontId="9" fillId="0" borderId="96" xfId="0" applyFont="1" applyFill="1" applyBorder="1" applyAlignment="1">
      <alignment horizontal="left" vertical="center" wrapText="1"/>
    </xf>
    <xf numFmtId="0" fontId="6" fillId="3" borderId="0" xfId="0" applyFont="1" applyFill="1" applyBorder="1" applyAlignment="1">
      <alignment horizontal="center"/>
    </xf>
    <xf numFmtId="0" fontId="104" fillId="0" borderId="84" xfId="0" applyFont="1" applyFill="1" applyBorder="1" applyAlignment="1">
      <alignment horizontal="left" vertical="center"/>
    </xf>
    <xf numFmtId="0" fontId="104" fillId="0" borderId="82" xfId="0" applyFont="1" applyFill="1" applyBorder="1" applyAlignment="1">
      <alignment vertical="center" wrapText="1"/>
    </xf>
    <xf numFmtId="0" fontId="104" fillId="0" borderId="82" xfId="0" applyFont="1" applyFill="1" applyBorder="1" applyAlignment="1">
      <alignment horizontal="left" vertical="center" wrapText="1"/>
    </xf>
    <xf numFmtId="0" fontId="114" fillId="0" borderId="0" xfId="11" applyFont="1" applyFill="1" applyBorder="1" applyProtection="1"/>
    <xf numFmtId="0" fontId="115" fillId="0" borderId="0" xfId="0" applyFont="1"/>
    <xf numFmtId="0" fontId="114" fillId="0" borderId="0" xfId="11" applyFont="1" applyFill="1" applyBorder="1" applyAlignment="1" applyProtection="1"/>
    <xf numFmtId="0" fontId="116" fillId="0" borderId="0" xfId="11" applyFont="1" applyFill="1" applyBorder="1" applyAlignment="1" applyProtection="1"/>
    <xf numFmtId="0" fontId="115" fillId="0" borderId="0" xfId="0" applyFont="1" applyAlignment="1">
      <alignment wrapText="1"/>
    </xf>
    <xf numFmtId="0" fontId="118" fillId="0" borderId="0" xfId="0" applyFont="1"/>
    <xf numFmtId="0" fontId="115" fillId="0" borderId="0" xfId="0" applyFont="1" applyFill="1"/>
    <xf numFmtId="0" fontId="115" fillId="0" borderId="0" xfId="0" applyFont="1" applyBorder="1"/>
    <xf numFmtId="0" fontId="115" fillId="0" borderId="0" xfId="0" applyFont="1" applyBorder="1" applyAlignment="1">
      <alignment horizontal="left"/>
    </xf>
    <xf numFmtId="0" fontId="117" fillId="0" borderId="127" xfId="0" applyNumberFormat="1" applyFont="1" applyFill="1" applyBorder="1" applyAlignment="1">
      <alignment horizontal="left" vertical="center" wrapText="1"/>
    </xf>
    <xf numFmtId="0" fontId="123" fillId="0" borderId="0" xfId="0" applyFont="1"/>
    <xf numFmtId="49" fontId="104" fillId="0" borderId="96" xfId="0" applyNumberFormat="1" applyFont="1" applyFill="1" applyBorder="1" applyAlignment="1">
      <alignment horizontal="right" vertical="center"/>
    </xf>
    <xf numFmtId="0" fontId="124" fillId="0" borderId="0" xfId="0" applyFont="1" applyFill="1" applyBorder="1" applyAlignment="1"/>
    <xf numFmtId="0" fontId="115" fillId="0" borderId="0" xfId="0" applyFont="1" applyBorder="1" applyAlignment="1">
      <alignment horizontal="left" indent="1"/>
    </xf>
    <xf numFmtId="0" fontId="115" fillId="0" borderId="0" xfId="0" applyFont="1" applyBorder="1" applyAlignment="1">
      <alignment horizontal="left" indent="2"/>
    </xf>
    <xf numFmtId="49" fontId="115" fillId="0" borderId="0" xfId="0" applyNumberFormat="1" applyFont="1" applyBorder="1" applyAlignment="1">
      <alignment horizontal="left" indent="3"/>
    </xf>
    <xf numFmtId="49" fontId="115" fillId="0" borderId="0" xfId="0" applyNumberFormat="1" applyFont="1" applyBorder="1" applyAlignment="1">
      <alignment horizontal="left" indent="1"/>
    </xf>
    <xf numFmtId="49" fontId="115" fillId="0" borderId="0" xfId="0" applyNumberFormat="1" applyFont="1" applyBorder="1" applyAlignment="1">
      <alignment horizontal="left" wrapText="1" indent="2"/>
    </xf>
    <xf numFmtId="49" fontId="115" fillId="0" borderId="0" xfId="0" applyNumberFormat="1" applyFont="1" applyFill="1" applyBorder="1" applyAlignment="1">
      <alignment horizontal="left" wrapText="1" indent="3"/>
    </xf>
    <xf numFmtId="0" fontId="115" fillId="0" borderId="0" xfId="0" applyNumberFormat="1" applyFont="1" applyFill="1" applyBorder="1" applyAlignment="1">
      <alignment horizontal="left" wrapText="1" indent="1"/>
    </xf>
    <xf numFmtId="0" fontId="115" fillId="0" borderId="0" xfId="0" applyFont="1" applyFill="1" applyAlignment="1">
      <alignment horizontal="left" vertical="top" wrapText="1"/>
    </xf>
    <xf numFmtId="193" fontId="7" fillId="3" borderId="111" xfId="2" applyNumberFormat="1" applyFont="1" applyFill="1" applyBorder="1" applyAlignment="1" applyProtection="1">
      <alignment vertical="top" wrapText="1"/>
      <protection locked="0"/>
    </xf>
    <xf numFmtId="0" fontId="9" fillId="0" borderId="96" xfId="0" applyFont="1" applyFill="1" applyBorder="1" applyAlignment="1" applyProtection="1">
      <alignment horizontal="center" vertical="center" wrapText="1"/>
    </xf>
    <xf numFmtId="0" fontId="3" fillId="0" borderId="96" xfId="0" applyFont="1" applyBorder="1" applyAlignment="1">
      <alignment horizontal="center" vertical="center"/>
    </xf>
    <xf numFmtId="0" fontId="128" fillId="3" borderId="96" xfId="21414" applyFont="1" applyFill="1" applyBorder="1" applyAlignment="1">
      <alignment horizontal="left" vertical="center" wrapText="1"/>
    </xf>
    <xf numFmtId="0" fontId="129" fillId="0" borderId="96" xfId="21414" applyFont="1" applyFill="1" applyBorder="1" applyAlignment="1">
      <alignment horizontal="left" vertical="center" wrapText="1" indent="1"/>
    </xf>
    <xf numFmtId="0" fontId="130" fillId="3" borderId="96" xfId="21414" applyFont="1" applyFill="1" applyBorder="1" applyAlignment="1">
      <alignment horizontal="left" vertical="center" wrapText="1"/>
    </xf>
    <xf numFmtId="0" fontId="129" fillId="3" borderId="96" xfId="21414" applyFont="1" applyFill="1" applyBorder="1" applyAlignment="1">
      <alignment horizontal="left" vertical="center" wrapText="1" indent="1"/>
    </xf>
    <xf numFmtId="0" fontId="128" fillId="0" borderId="134" xfId="0" applyFont="1" applyFill="1" applyBorder="1" applyAlignment="1">
      <alignment horizontal="left" vertical="center" wrapText="1"/>
    </xf>
    <xf numFmtId="0" fontId="130" fillId="0" borderId="134" xfId="0" applyFont="1" applyFill="1" applyBorder="1" applyAlignment="1">
      <alignment horizontal="left" vertical="center" wrapText="1"/>
    </xf>
    <xf numFmtId="0" fontId="131" fillId="3" borderId="134" xfId="0" applyFont="1" applyFill="1" applyBorder="1" applyAlignment="1">
      <alignment horizontal="left" vertical="center" wrapText="1" indent="1"/>
    </xf>
    <xf numFmtId="0" fontId="130" fillId="3" borderId="134" xfId="0" applyFont="1" applyFill="1" applyBorder="1" applyAlignment="1">
      <alignment horizontal="left" vertical="center" wrapText="1"/>
    </xf>
    <xf numFmtId="0" fontId="130" fillId="3" borderId="135" xfId="0" applyFont="1" applyFill="1" applyBorder="1" applyAlignment="1">
      <alignment horizontal="left" vertical="center" wrapText="1"/>
    </xf>
    <xf numFmtId="0" fontId="131" fillId="0" borderId="134" xfId="0" applyFont="1" applyFill="1" applyBorder="1" applyAlignment="1">
      <alignment horizontal="left" vertical="center" wrapText="1" indent="1"/>
    </xf>
    <xf numFmtId="0" fontId="131" fillId="0" borderId="96" xfId="21414" applyFont="1" applyFill="1" applyBorder="1" applyAlignment="1">
      <alignment horizontal="left" vertical="center" wrapText="1" indent="1"/>
    </xf>
    <xf numFmtId="0" fontId="130" fillId="0" borderId="96" xfId="21414" applyFont="1" applyFill="1" applyBorder="1" applyAlignment="1">
      <alignment horizontal="left" vertical="center" wrapText="1"/>
    </xf>
    <xf numFmtId="0" fontId="132" fillId="0" borderId="96" xfId="21414" applyFont="1" applyFill="1" applyBorder="1" applyAlignment="1">
      <alignment horizontal="center" vertical="center" wrapText="1"/>
    </xf>
    <xf numFmtId="0" fontId="130" fillId="3" borderId="136" xfId="0" applyFont="1" applyFill="1" applyBorder="1" applyAlignment="1">
      <alignment horizontal="left" vertical="center" wrapText="1"/>
    </xf>
    <xf numFmtId="0" fontId="0" fillId="0" borderId="137" xfId="0" applyBorder="1"/>
    <xf numFmtId="0" fontId="0" fillId="36" borderId="137" xfId="0" applyFill="1" applyBorder="1"/>
    <xf numFmtId="0" fontId="129" fillId="3" borderId="137" xfId="21414" applyFont="1" applyFill="1" applyBorder="1" applyAlignment="1">
      <alignment horizontal="left" vertical="center" wrapText="1" indent="1"/>
    </xf>
    <xf numFmtId="0" fontId="129" fillId="3" borderId="134" xfId="0" applyFont="1" applyFill="1" applyBorder="1" applyAlignment="1">
      <alignment horizontal="left" vertical="center" wrapText="1" indent="1"/>
    </xf>
    <xf numFmtId="0" fontId="129" fillId="0" borderId="137" xfId="21414" applyFont="1" applyFill="1" applyBorder="1" applyAlignment="1">
      <alignment horizontal="left" vertical="center" wrapText="1" indent="1"/>
    </xf>
    <xf numFmtId="0" fontId="130" fillId="0" borderId="134" xfId="0" applyFont="1" applyBorder="1" applyAlignment="1">
      <alignment horizontal="left" vertical="center" wrapText="1"/>
    </xf>
    <xf numFmtId="0" fontId="129" fillId="0" borderId="134" xfId="0" applyFont="1" applyBorder="1" applyAlignment="1">
      <alignment horizontal="left" vertical="center" wrapText="1" indent="1"/>
    </xf>
    <xf numFmtId="0" fontId="129" fillId="0" borderId="135" xfId="0" applyFont="1" applyBorder="1" applyAlignment="1">
      <alignment horizontal="left" vertical="center" wrapText="1" indent="1"/>
    </xf>
    <xf numFmtId="0" fontId="130" fillId="0" borderId="137" xfId="21414" applyFont="1" applyFill="1" applyBorder="1" applyAlignment="1">
      <alignment horizontal="left" vertical="center" wrapText="1"/>
    </xf>
    <xf numFmtId="0" fontId="130" fillId="3" borderId="137" xfId="21414" applyFont="1" applyFill="1" applyBorder="1" applyAlignment="1">
      <alignment horizontal="left" vertical="center" wrapText="1"/>
    </xf>
    <xf numFmtId="0" fontId="132" fillId="0" borderId="137" xfId="21414" applyFont="1" applyFill="1" applyBorder="1" applyAlignment="1">
      <alignment horizontal="center" vertical="center" wrapText="1"/>
    </xf>
    <xf numFmtId="0" fontId="130" fillId="0" borderId="137" xfId="21414" applyFont="1" applyBorder="1" applyAlignment="1">
      <alignment horizontal="left" vertical="center" wrapText="1"/>
    </xf>
    <xf numFmtId="0" fontId="129" fillId="0" borderId="134" xfId="0" applyFont="1" applyFill="1" applyBorder="1" applyAlignment="1">
      <alignment horizontal="left" vertical="center" wrapText="1" indent="1"/>
    </xf>
    <xf numFmtId="0" fontId="133" fillId="0" borderId="137" xfId="0" applyFont="1" applyBorder="1" applyAlignment="1">
      <alignment horizontal="left"/>
    </xf>
    <xf numFmtId="0" fontId="130" fillId="0" borderId="137" xfId="0" applyFont="1" applyFill="1" applyBorder="1" applyAlignment="1">
      <alignment horizontal="left" vertical="center" wrapText="1"/>
    </xf>
    <xf numFmtId="0" fontId="0" fillId="0" borderId="0" xfId="0" applyAlignment="1">
      <alignment horizontal="left" vertical="center"/>
    </xf>
    <xf numFmtId="0" fontId="9" fillId="0" borderId="137" xfId="0" applyFont="1" applyFill="1" applyBorder="1" applyAlignment="1" applyProtection="1">
      <alignment horizontal="center" vertical="center" wrapText="1"/>
    </xf>
    <xf numFmtId="0" fontId="130" fillId="0" borderId="142" xfId="0" applyFont="1" applyFill="1" applyBorder="1" applyAlignment="1">
      <alignment horizontal="justify" vertical="center" wrapText="1"/>
    </xf>
    <xf numFmtId="0" fontId="129" fillId="0" borderId="136" xfId="0" applyFont="1" applyFill="1" applyBorder="1" applyAlignment="1">
      <alignment horizontal="left" vertical="center" wrapText="1" indent="1"/>
    </xf>
    <xf numFmtId="0" fontId="129" fillId="0" borderId="135" xfId="0" applyFont="1" applyFill="1" applyBorder="1" applyAlignment="1">
      <alignment horizontal="left" vertical="center" wrapText="1" indent="1"/>
    </xf>
    <xf numFmtId="0" fontId="130" fillId="0" borderId="134" xfId="0" applyFont="1" applyFill="1" applyBorder="1" applyAlignment="1">
      <alignment horizontal="justify" vertical="center" wrapText="1"/>
    </xf>
    <xf numFmtId="0" fontId="128" fillId="0" borderId="134" xfId="0" applyFont="1" applyFill="1" applyBorder="1" applyAlignment="1">
      <alignment horizontal="justify" vertical="center" wrapText="1"/>
    </xf>
    <xf numFmtId="0" fontId="130" fillId="3" borderId="134" xfId="0" applyFont="1" applyFill="1" applyBorder="1" applyAlignment="1">
      <alignment horizontal="justify" vertical="center" wrapText="1"/>
    </xf>
    <xf numFmtId="0" fontId="130" fillId="0" borderId="135" xfId="0" applyFont="1" applyFill="1" applyBorder="1" applyAlignment="1">
      <alignment horizontal="justify" vertical="center" wrapText="1"/>
    </xf>
    <xf numFmtId="0" fontId="130" fillId="0" borderId="136" xfId="0" applyFont="1" applyFill="1" applyBorder="1" applyAlignment="1">
      <alignment horizontal="justify" vertical="center" wrapText="1"/>
    </xf>
    <xf numFmtId="0" fontId="130" fillId="0" borderId="137" xfId="21414" applyFont="1" applyFill="1" applyBorder="1" applyAlignment="1">
      <alignment horizontal="justify" vertical="center" wrapText="1"/>
    </xf>
    <xf numFmtId="0" fontId="131" fillId="0" borderId="128" xfId="0" applyFont="1" applyFill="1" applyBorder="1" applyAlignment="1">
      <alignment horizontal="left" vertical="center" wrapText="1" indent="1"/>
    </xf>
    <xf numFmtId="0" fontId="128" fillId="0" borderId="134" xfId="0" applyFont="1" applyFill="1" applyBorder="1" applyAlignment="1">
      <alignment vertical="center" wrapText="1"/>
    </xf>
    <xf numFmtId="0" fontId="0" fillId="0" borderId="137" xfId="0" applyBorder="1" applyProtection="1"/>
    <xf numFmtId="0" fontId="130" fillId="0" borderId="134" xfId="0" applyFont="1" applyFill="1" applyBorder="1" applyAlignment="1">
      <alignment vertical="center" wrapText="1"/>
    </xf>
    <xf numFmtId="0" fontId="130" fillId="0" borderId="137" xfId="21414" applyFont="1" applyFill="1" applyBorder="1" applyAlignment="1">
      <alignment vertical="center" wrapText="1"/>
    </xf>
    <xf numFmtId="0" fontId="9" fillId="0" borderId="111" xfId="0" applyFont="1" applyFill="1" applyBorder="1" applyAlignment="1" applyProtection="1">
      <alignment horizontal="center" vertical="center" wrapText="1"/>
    </xf>
    <xf numFmtId="0" fontId="0" fillId="0" borderId="137" xfId="0" applyBorder="1" applyAlignment="1">
      <alignment horizontal="center"/>
    </xf>
    <xf numFmtId="0" fontId="15" fillId="83" borderId="137" xfId="0" applyNumberFormat="1" applyFont="1" applyFill="1" applyBorder="1" applyAlignment="1">
      <alignment vertical="center" wrapText="1"/>
    </xf>
    <xf numFmtId="0" fontId="15" fillId="0" borderId="137" xfId="0" applyNumberFormat="1" applyFont="1" applyFill="1" applyBorder="1" applyAlignment="1">
      <alignment vertical="center" wrapText="1"/>
    </xf>
    <xf numFmtId="0" fontId="7" fillId="0" borderId="137" xfId="0" applyNumberFormat="1" applyFont="1" applyFill="1" applyBorder="1" applyAlignment="1">
      <alignment horizontal="left" vertical="center" wrapText="1" indent="1"/>
    </xf>
    <xf numFmtId="0" fontId="3" fillId="0" borderId="137" xfId="0" applyFont="1" applyBorder="1" applyAlignment="1">
      <alignment vertical="center"/>
    </xf>
    <xf numFmtId="0" fontId="134" fillId="0" borderId="137" xfId="0" applyFont="1" applyFill="1" applyBorder="1" applyAlignment="1" applyProtection="1">
      <alignment horizontal="left" vertical="center" indent="1"/>
      <protection locked="0"/>
    </xf>
    <xf numFmtId="0" fontId="135" fillId="0" borderId="137" xfId="0" applyFont="1" applyFill="1" applyBorder="1" applyAlignment="1" applyProtection="1">
      <alignment horizontal="left" vertical="center" indent="3"/>
      <protection locked="0"/>
    </xf>
    <xf numFmtId="0" fontId="136" fillId="0" borderId="137" xfId="0" applyFont="1" applyFill="1" applyBorder="1" applyAlignment="1" applyProtection="1">
      <alignment horizontal="left" vertical="center" indent="3"/>
      <protection locked="0"/>
    </xf>
    <xf numFmtId="0" fontId="3" fillId="0" borderId="137" xfId="0" applyFont="1" applyFill="1" applyBorder="1" applyAlignment="1">
      <alignment vertical="center"/>
    </xf>
    <xf numFmtId="0" fontId="3" fillId="0" borderId="137" xfId="0" applyFont="1" applyBorder="1"/>
    <xf numFmtId="0" fontId="0" fillId="0" borderId="0" xfId="0" applyAlignment="1">
      <alignment horizontal="center"/>
    </xf>
    <xf numFmtId="193" fontId="9" fillId="0" borderId="0" xfId="0" applyNumberFormat="1" applyFont="1" applyFill="1" applyBorder="1" applyAlignment="1" applyProtection="1">
      <alignment horizontal="right"/>
    </xf>
    <xf numFmtId="49" fontId="104" fillId="0" borderId="137" xfId="0" applyNumberFormat="1" applyFont="1" applyFill="1" applyBorder="1" applyAlignment="1">
      <alignment horizontal="right" vertical="center"/>
    </xf>
    <xf numFmtId="0" fontId="0" fillId="0" borderId="137" xfId="0" applyBorder="1" applyAlignment="1">
      <alignment horizontal="center" vertical="center"/>
    </xf>
    <xf numFmtId="0" fontId="0" fillId="0" borderId="141" xfId="0" applyBorder="1" applyAlignment="1">
      <alignment horizontal="center"/>
    </xf>
    <xf numFmtId="0" fontId="129" fillId="0" borderId="141" xfId="21414" applyFont="1" applyFill="1" applyBorder="1" applyAlignment="1">
      <alignment horizontal="left" vertical="center" wrapText="1" indent="1"/>
    </xf>
    <xf numFmtId="0" fontId="129" fillId="3" borderId="137" xfId="0" applyFont="1" applyFill="1" applyBorder="1" applyAlignment="1">
      <alignment horizontal="left" vertical="center" wrapText="1" indent="1"/>
    </xf>
    <xf numFmtId="0" fontId="130" fillId="0" borderId="137" xfId="0" applyFont="1" applyBorder="1" applyAlignment="1">
      <alignment horizontal="left" vertical="center" wrapText="1"/>
    </xf>
    <xf numFmtId="0" fontId="129" fillId="0" borderId="137" xfId="0" applyFont="1" applyBorder="1" applyAlignment="1">
      <alignment horizontal="left" vertical="center" wrapText="1" indent="1"/>
    </xf>
    <xf numFmtId="0" fontId="129" fillId="0" borderId="137" xfId="0" applyFont="1" applyFill="1" applyBorder="1" applyAlignment="1">
      <alignment horizontal="left" vertical="center" wrapText="1" indent="1"/>
    </xf>
    <xf numFmtId="0" fontId="131" fillId="3" borderId="137" xfId="0" applyFont="1" applyFill="1" applyBorder="1" applyAlignment="1">
      <alignment horizontal="left" vertical="center" wrapText="1" indent="1"/>
    </xf>
    <xf numFmtId="0" fontId="131" fillId="0" borderId="137" xfId="0" applyFont="1" applyFill="1" applyBorder="1" applyAlignment="1">
      <alignment horizontal="left" vertical="center" wrapText="1" indent="1"/>
    </xf>
    <xf numFmtId="0" fontId="118" fillId="0" borderId="137" xfId="0" applyFont="1" applyBorder="1"/>
    <xf numFmtId="49" fontId="120" fillId="0" borderId="137" xfId="5" applyNumberFormat="1" applyFont="1" applyFill="1" applyBorder="1" applyAlignment="1" applyProtection="1">
      <alignment horizontal="right" vertical="center"/>
      <protection locked="0"/>
    </xf>
    <xf numFmtId="0" fontId="119" fillId="3" borderId="137" xfId="13" applyFont="1" applyFill="1" applyBorder="1" applyAlignment="1" applyProtection="1">
      <alignment horizontal="left" vertical="center" wrapText="1"/>
      <protection locked="0"/>
    </xf>
    <xf numFmtId="49" fontId="119" fillId="3" borderId="137" xfId="5" applyNumberFormat="1" applyFont="1" applyFill="1" applyBorder="1" applyAlignment="1" applyProtection="1">
      <alignment horizontal="right" vertical="center"/>
      <protection locked="0"/>
    </xf>
    <xf numFmtId="0" fontId="119" fillId="0" borderId="137" xfId="13" applyFont="1" applyFill="1" applyBorder="1" applyAlignment="1" applyProtection="1">
      <alignment horizontal="left" vertical="center" wrapText="1"/>
      <protection locked="0"/>
    </xf>
    <xf numFmtId="49" fontId="119" fillId="0" borderId="137" xfId="5" applyNumberFormat="1" applyFont="1" applyFill="1" applyBorder="1" applyAlignment="1" applyProtection="1">
      <alignment horizontal="right" vertical="center"/>
      <protection locked="0"/>
    </xf>
    <xf numFmtId="0" fontId="121" fillId="0" borderId="137" xfId="13" applyFont="1" applyFill="1" applyBorder="1" applyAlignment="1" applyProtection="1">
      <alignment horizontal="left" vertical="center" wrapText="1"/>
      <protection locked="0"/>
    </xf>
    <xf numFmtId="0" fontId="118" fillId="0" borderId="137" xfId="0" applyFont="1" applyBorder="1" applyAlignment="1">
      <alignment horizontal="center" vertical="center" wrapText="1"/>
    </xf>
    <xf numFmtId="0" fontId="118" fillId="0" borderId="137" xfId="0" applyFont="1" applyFill="1" applyBorder="1" applyAlignment="1">
      <alignment horizontal="center" vertical="center" wrapText="1"/>
    </xf>
    <xf numFmtId="0" fontId="114" fillId="0" borderId="145" xfId="0" applyFont="1" applyBorder="1"/>
    <xf numFmtId="0" fontId="114" fillId="0" borderId="145" xfId="0" applyFont="1" applyFill="1" applyBorder="1"/>
    <xf numFmtId="0" fontId="114" fillId="0" borderId="145" xfId="0" applyFont="1" applyBorder="1" applyAlignment="1">
      <alignment horizontal="left" indent="8"/>
    </xf>
    <xf numFmtId="0" fontId="114" fillId="0" borderId="145" xfId="0" applyFont="1" applyBorder="1" applyAlignment="1">
      <alignment wrapText="1"/>
    </xf>
    <xf numFmtId="0" fontId="117" fillId="0" borderId="145" xfId="0" applyFont="1" applyBorder="1"/>
    <xf numFmtId="49" fontId="120" fillId="0" borderId="145" xfId="5" applyNumberFormat="1" applyFont="1" applyFill="1" applyBorder="1" applyAlignment="1" applyProtection="1">
      <alignment horizontal="right" vertical="center" wrapText="1"/>
      <protection locked="0"/>
    </xf>
    <xf numFmtId="49" fontId="119" fillId="3" borderId="145" xfId="5" applyNumberFormat="1" applyFont="1" applyFill="1" applyBorder="1" applyAlignment="1" applyProtection="1">
      <alignment horizontal="right" vertical="center" wrapText="1"/>
      <protection locked="0"/>
    </xf>
    <xf numFmtId="49" fontId="119" fillId="0" borderId="145" xfId="5" applyNumberFormat="1" applyFont="1" applyFill="1" applyBorder="1" applyAlignment="1" applyProtection="1">
      <alignment horizontal="right" vertical="center" wrapText="1"/>
      <protection locked="0"/>
    </xf>
    <xf numFmtId="0" fontId="114" fillId="0" borderId="145" xfId="0" applyFont="1" applyBorder="1" applyAlignment="1">
      <alignment horizontal="center" vertical="center" wrapText="1"/>
    </xf>
    <xf numFmtId="0" fontId="114" fillId="0" borderId="146" xfId="0" applyFont="1" applyFill="1" applyBorder="1" applyAlignment="1">
      <alignment horizontal="center" vertical="center" wrapText="1"/>
    </xf>
    <xf numFmtId="0" fontId="114" fillId="0" borderId="145" xfId="0" applyFont="1" applyBorder="1" applyAlignment="1">
      <alignment horizontal="center" vertical="center"/>
    </xf>
    <xf numFmtId="0" fontId="114" fillId="0" borderId="0" xfId="0" applyFont="1"/>
    <xf numFmtId="0" fontId="114" fillId="0" borderId="0" xfId="0" applyFont="1" applyAlignment="1">
      <alignment wrapText="1"/>
    </xf>
    <xf numFmtId="14" fontId="114" fillId="0" borderId="0" xfId="0" applyNumberFormat="1" applyFont="1"/>
    <xf numFmtId="0" fontId="117" fillId="0" borderId="145" xfId="0" applyFont="1" applyFill="1" applyBorder="1"/>
    <xf numFmtId="0" fontId="114" fillId="0" borderId="145" xfId="0" applyNumberFormat="1" applyFont="1" applyFill="1" applyBorder="1" applyAlignment="1">
      <alignment horizontal="left" vertical="center" wrapText="1"/>
    </xf>
    <xf numFmtId="0" fontId="117" fillId="0" borderId="145" xfId="0" applyFont="1" applyFill="1" applyBorder="1" applyAlignment="1">
      <alignment horizontal="left" wrapText="1" indent="1"/>
    </xf>
    <xf numFmtId="0" fontId="117" fillId="0" borderId="145" xfId="0" applyFont="1" applyFill="1" applyBorder="1" applyAlignment="1">
      <alignment horizontal="left" vertical="center" indent="1"/>
    </xf>
    <xf numFmtId="0" fontId="114" fillId="0" borderId="145" xfId="0" applyFont="1" applyFill="1" applyBorder="1" applyAlignment="1">
      <alignment horizontal="left" wrapText="1" indent="1"/>
    </xf>
    <xf numFmtId="0" fontId="114" fillId="0" borderId="145" xfId="0" applyFont="1" applyFill="1" applyBorder="1" applyAlignment="1">
      <alignment horizontal="left" indent="1"/>
    </xf>
    <xf numFmtId="0" fontId="114" fillId="0" borderId="145" xfId="0" applyFont="1" applyFill="1" applyBorder="1" applyAlignment="1">
      <alignment horizontal="left" wrapText="1" indent="4"/>
    </xf>
    <xf numFmtId="0" fontId="114" fillId="0" borderId="145" xfId="0" applyNumberFormat="1" applyFont="1" applyFill="1" applyBorder="1" applyAlignment="1">
      <alignment horizontal="left" indent="3"/>
    </xf>
    <xf numFmtId="0" fontId="117" fillId="0" borderId="145" xfId="0" applyFont="1" applyFill="1" applyBorder="1" applyAlignment="1">
      <alignment horizontal="left" indent="1"/>
    </xf>
    <xf numFmtId="0" fontId="118" fillId="0" borderId="145" xfId="0" applyFont="1" applyFill="1" applyBorder="1" applyAlignment="1">
      <alignment horizontal="center" vertical="center" wrapText="1"/>
    </xf>
    <xf numFmtId="0" fontId="114" fillId="80" borderId="145" xfId="0" applyFont="1" applyFill="1" applyBorder="1"/>
    <xf numFmtId="0" fontId="117" fillId="0" borderId="7" xfId="0" applyFont="1" applyBorder="1"/>
    <xf numFmtId="0" fontId="114" fillId="0" borderId="145" xfId="0" applyFont="1" applyFill="1" applyBorder="1" applyAlignment="1">
      <alignment horizontal="left" wrapText="1" indent="2"/>
    </xf>
    <xf numFmtId="0" fontId="114" fillId="0" borderId="145" xfId="0" applyFont="1" applyFill="1" applyBorder="1" applyAlignment="1">
      <alignment horizontal="left" wrapText="1"/>
    </xf>
    <xf numFmtId="0" fontId="114" fillId="0" borderId="0" xfId="0" applyFont="1" applyBorder="1"/>
    <xf numFmtId="0" fontId="117" fillId="84" borderId="145" xfId="0" applyFont="1" applyFill="1" applyBorder="1"/>
    <xf numFmtId="0" fontId="114" fillId="0" borderId="145" xfId="0" applyFont="1" applyBorder="1" applyAlignment="1">
      <alignment horizontal="left" indent="1"/>
    </xf>
    <xf numFmtId="0" fontId="114" fillId="0" borderId="145" xfId="0" applyFont="1" applyBorder="1" applyAlignment="1">
      <alignment horizontal="center"/>
    </xf>
    <xf numFmtId="0" fontId="114" fillId="0" borderId="0" xfId="0" applyFont="1" applyBorder="1" applyAlignment="1">
      <alignment horizontal="center" vertical="center"/>
    </xf>
    <xf numFmtId="0" fontId="114" fillId="0" borderId="145" xfId="0" applyFont="1" applyFill="1" applyBorder="1" applyAlignment="1">
      <alignment horizontal="center" vertical="center" wrapText="1"/>
    </xf>
    <xf numFmtId="0" fontId="114" fillId="0" borderId="7" xfId="0" applyFont="1" applyBorder="1" applyAlignment="1">
      <alignment horizontal="center" vertical="center" wrapText="1"/>
    </xf>
    <xf numFmtId="0" fontId="114" fillId="0" borderId="11" xfId="0" applyFont="1" applyBorder="1" applyAlignment="1">
      <alignment horizontal="center" vertical="center" wrapText="1"/>
    </xf>
    <xf numFmtId="0" fontId="114" fillId="0" borderId="52" xfId="0" applyFont="1" applyBorder="1" applyAlignment="1">
      <alignment wrapText="1"/>
    </xf>
    <xf numFmtId="0" fontId="114" fillId="0" borderId="7" xfId="0" applyFont="1" applyBorder="1" applyAlignment="1">
      <alignment wrapText="1"/>
    </xf>
    <xf numFmtId="0" fontId="114" fillId="0" borderId="0" xfId="0" applyFont="1" applyBorder="1" applyAlignment="1">
      <alignment horizontal="center" vertical="center" wrapText="1"/>
    </xf>
    <xf numFmtId="0" fontId="114" fillId="0" borderId="144" xfId="0" applyFont="1" applyFill="1" applyBorder="1" applyAlignment="1">
      <alignment horizontal="center" vertical="center" wrapText="1"/>
    </xf>
    <xf numFmtId="0" fontId="114" fillId="0" borderId="0" xfId="0" applyFont="1" applyFill="1" applyBorder="1" applyAlignment="1">
      <alignment horizontal="center" vertical="center" wrapText="1"/>
    </xf>
    <xf numFmtId="0" fontId="114" fillId="0" borderId="147" xfId="0" applyFont="1" applyFill="1" applyBorder="1" applyAlignment="1">
      <alignment horizontal="center" vertical="center" wrapText="1"/>
    </xf>
    <xf numFmtId="0" fontId="114" fillId="0" borderId="143" xfId="0" applyFont="1" applyFill="1" applyBorder="1" applyAlignment="1">
      <alignment horizontal="center" vertical="center" wrapText="1"/>
    </xf>
    <xf numFmtId="0" fontId="114" fillId="0" borderId="0" xfId="0" applyFont="1" applyFill="1"/>
    <xf numFmtId="0" fontId="114" fillId="0" borderId="151" xfId="0" applyFont="1" applyFill="1" applyBorder="1"/>
    <xf numFmtId="0" fontId="114" fillId="0" borderId="152" xfId="0" applyFont="1" applyFill="1" applyBorder="1"/>
    <xf numFmtId="49" fontId="114" fillId="0" borderId="153" xfId="0" applyNumberFormat="1" applyFont="1" applyFill="1" applyBorder="1" applyAlignment="1">
      <alignment horizontal="left" wrapText="1" indent="1"/>
    </xf>
    <xf numFmtId="49" fontId="114" fillId="0" borderId="151" xfId="0" applyNumberFormat="1" applyFont="1" applyFill="1" applyBorder="1" applyAlignment="1">
      <alignment horizontal="left" wrapText="1" indent="1"/>
    </xf>
    <xf numFmtId="0" fontId="114" fillId="0" borderId="153" xfId="0" applyNumberFormat="1" applyFont="1" applyFill="1" applyBorder="1" applyAlignment="1">
      <alignment horizontal="left" wrapText="1" indent="1"/>
    </xf>
    <xf numFmtId="0" fontId="114" fillId="0" borderId="154" xfId="0" applyFont="1" applyFill="1" applyBorder="1"/>
    <xf numFmtId="49" fontId="114" fillId="0" borderId="155" xfId="0" applyNumberFormat="1" applyFont="1" applyFill="1" applyBorder="1" applyAlignment="1">
      <alignment horizontal="left" wrapText="1" indent="1"/>
    </xf>
    <xf numFmtId="49" fontId="114" fillId="0" borderId="154" xfId="0" applyNumberFormat="1" applyFont="1" applyFill="1" applyBorder="1" applyAlignment="1">
      <alignment horizontal="left" wrapText="1" indent="1"/>
    </xf>
    <xf numFmtId="0" fontId="114" fillId="0" borderId="155" xfId="0" applyNumberFormat="1" applyFont="1" applyFill="1" applyBorder="1" applyAlignment="1">
      <alignment horizontal="left" wrapText="1" indent="1"/>
    </xf>
    <xf numFmtId="49" fontId="114" fillId="0" borderId="155" xfId="0" applyNumberFormat="1" applyFont="1" applyFill="1" applyBorder="1" applyAlignment="1">
      <alignment horizontal="left" wrapText="1" indent="3"/>
    </xf>
    <xf numFmtId="49" fontId="114" fillId="0" borderId="154" xfId="0" applyNumberFormat="1" applyFont="1" applyFill="1" applyBorder="1" applyAlignment="1">
      <alignment horizontal="left" wrapText="1" indent="3"/>
    </xf>
    <xf numFmtId="49" fontId="114" fillId="0" borderId="154" xfId="0" applyNumberFormat="1" applyFont="1" applyFill="1" applyBorder="1" applyAlignment="1">
      <alignment horizontal="left" wrapText="1" indent="2"/>
    </xf>
    <xf numFmtId="49" fontId="114" fillId="0" borderId="155" xfId="0" applyNumberFormat="1" applyFont="1" applyBorder="1" applyAlignment="1">
      <alignment horizontal="left" wrapText="1" indent="2"/>
    </xf>
    <xf numFmtId="49" fontId="114" fillId="0" borderId="154" xfId="0" applyNumberFormat="1" applyFont="1" applyFill="1" applyBorder="1" applyAlignment="1">
      <alignment horizontal="left" vertical="top" wrapText="1" indent="2"/>
    </xf>
    <xf numFmtId="0" fontId="114" fillId="81" borderId="154" xfId="0" applyFont="1" applyFill="1" applyBorder="1"/>
    <xf numFmtId="0" fontId="114" fillId="81" borderId="145" xfId="0" applyFont="1" applyFill="1" applyBorder="1"/>
    <xf numFmtId="49" fontId="114" fillId="0" borderId="154" xfId="0" applyNumberFormat="1" applyFont="1" applyFill="1" applyBorder="1" applyAlignment="1">
      <alignment horizontal="left" indent="1"/>
    </xf>
    <xf numFmtId="0" fontId="114" fillId="0" borderId="155" xfId="0" applyNumberFormat="1" applyFont="1" applyBorder="1" applyAlignment="1">
      <alignment horizontal="left" indent="1"/>
    </xf>
    <xf numFmtId="0" fontId="114" fillId="0" borderId="154" xfId="0" applyFont="1" applyBorder="1"/>
    <xf numFmtId="49" fontId="114" fillId="0" borderId="155" xfId="0" applyNumberFormat="1" applyFont="1" applyBorder="1" applyAlignment="1">
      <alignment horizontal="left" indent="1"/>
    </xf>
    <xf numFmtId="49" fontId="114" fillId="0" borderId="154" xfId="0" applyNumberFormat="1" applyFont="1" applyFill="1" applyBorder="1" applyAlignment="1">
      <alignment horizontal="left" indent="3"/>
    </xf>
    <xf numFmtId="49" fontId="114" fillId="0" borderId="155" xfId="0" applyNumberFormat="1" applyFont="1" applyBorder="1" applyAlignment="1">
      <alignment horizontal="left" indent="3"/>
    </xf>
    <xf numFmtId="0" fontId="114" fillId="0" borderId="155" xfId="0" applyFont="1" applyBorder="1" applyAlignment="1">
      <alignment horizontal="left" indent="2"/>
    </xf>
    <xf numFmtId="0" fontId="114" fillId="0" borderId="154" xfId="0" applyFont="1" applyBorder="1" applyAlignment="1">
      <alignment horizontal="left" indent="2"/>
    </xf>
    <xf numFmtId="0" fontId="114" fillId="0" borderId="155" xfId="0" applyFont="1" applyBorder="1" applyAlignment="1">
      <alignment horizontal="left" indent="1"/>
    </xf>
    <xf numFmtId="0" fontId="114" fillId="0" borderId="154" xfId="0" applyFont="1" applyBorder="1" applyAlignment="1">
      <alignment horizontal="left" indent="1"/>
    </xf>
    <xf numFmtId="0" fontId="117" fillId="0" borderId="62" xfId="0" applyFont="1" applyBorder="1"/>
    <xf numFmtId="0" fontId="114" fillId="0" borderId="67" xfId="0" applyFont="1" applyBorder="1"/>
    <xf numFmtId="0" fontId="114" fillId="0" borderId="0" xfId="0" applyFont="1" applyBorder="1" applyAlignment="1">
      <alignment wrapText="1"/>
    </xf>
    <xf numFmtId="0" fontId="114" fillId="0" borderId="0" xfId="0" applyFont="1" applyAlignment="1">
      <alignment horizontal="center" vertical="center"/>
    </xf>
    <xf numFmtId="0" fontId="114" fillId="0" borderId="0" xfId="0" applyFont="1" applyBorder="1" applyAlignment="1">
      <alignment horizontal="left"/>
    </xf>
    <xf numFmtId="0" fontId="117" fillId="0" borderId="145" xfId="0" applyNumberFormat="1" applyFont="1" applyFill="1" applyBorder="1" applyAlignment="1">
      <alignment horizontal="left" vertical="center" wrapText="1"/>
    </xf>
    <xf numFmtId="0" fontId="114" fillId="0" borderId="7" xfId="0" applyFont="1" applyFill="1" applyBorder="1" applyAlignment="1">
      <alignment horizontal="center" vertical="center" wrapText="1"/>
    </xf>
    <xf numFmtId="0" fontId="9" fillId="0" borderId="0" xfId="0" applyFont="1" applyFill="1" applyBorder="1" applyAlignment="1">
      <alignment wrapText="1"/>
    </xf>
    <xf numFmtId="0" fontId="119" fillId="0" borderId="145" xfId="0" applyFont="1" applyBorder="1"/>
    <xf numFmtId="0" fontId="117" fillId="0" borderId="145" xfId="0" applyFont="1" applyBorder="1" applyAlignment="1">
      <alignment horizontal="center" vertical="center" wrapText="1"/>
    </xf>
    <xf numFmtId="0" fontId="119" fillId="0" borderId="0" xfId="0" applyFont="1" applyAlignment="1">
      <alignment horizontal="center" vertical="center"/>
    </xf>
    <xf numFmtId="0" fontId="119" fillId="0" borderId="0" xfId="0" applyFont="1"/>
    <xf numFmtId="0" fontId="137" fillId="0" borderId="0" xfId="0" applyFont="1"/>
    <xf numFmtId="0" fontId="114" fillId="0" borderId="132" xfId="0" applyNumberFormat="1" applyFont="1" applyFill="1" applyBorder="1" applyAlignment="1">
      <alignment horizontal="left" vertical="center" wrapText="1" indent="1" readingOrder="1"/>
    </xf>
    <xf numFmtId="0" fontId="119" fillId="0" borderId="145" xfId="0" applyFont="1" applyBorder="1" applyAlignment="1">
      <alignment horizontal="left" indent="3"/>
    </xf>
    <xf numFmtId="0" fontId="117" fillId="0" borderId="145" xfId="0" applyNumberFormat="1" applyFont="1" applyFill="1" applyBorder="1" applyAlignment="1">
      <alignment vertical="center" wrapText="1" readingOrder="1"/>
    </xf>
    <xf numFmtId="0" fontId="119" fillId="0" borderId="145" xfId="0" applyFont="1" applyFill="1" applyBorder="1" applyAlignment="1">
      <alignment horizontal="left" indent="2"/>
    </xf>
    <xf numFmtId="0" fontId="114" fillId="0" borderId="133" xfId="0" applyNumberFormat="1" applyFont="1" applyFill="1" applyBorder="1" applyAlignment="1">
      <alignment vertical="center" wrapText="1" readingOrder="1"/>
    </xf>
    <xf numFmtId="0" fontId="119" fillId="0" borderId="146" xfId="0" applyFont="1" applyBorder="1" applyAlignment="1">
      <alignment horizontal="left" indent="2"/>
    </xf>
    <xf numFmtId="0" fontId="114" fillId="0" borderId="132" xfId="0" applyNumberFormat="1" applyFont="1" applyFill="1" applyBorder="1" applyAlignment="1">
      <alignment vertical="center" wrapText="1" readingOrder="1"/>
    </xf>
    <xf numFmtId="0" fontId="119" fillId="0" borderId="145" xfId="0" applyFont="1" applyBorder="1" applyAlignment="1">
      <alignment horizontal="left" indent="2"/>
    </xf>
    <xf numFmtId="0" fontId="114" fillId="0" borderId="131" xfId="0" applyNumberFormat="1" applyFont="1" applyFill="1" applyBorder="1" applyAlignment="1">
      <alignment vertical="center" wrapText="1" readingOrder="1"/>
    </xf>
    <xf numFmtId="0" fontId="137" fillId="0" borderId="7" xfId="0" applyFont="1" applyBorder="1"/>
    <xf numFmtId="0" fontId="104" fillId="0" borderId="145" xfId="0" applyFont="1" applyFill="1" applyBorder="1" applyAlignment="1">
      <alignment vertical="center" wrapText="1"/>
    </xf>
    <xf numFmtId="0" fontId="104" fillId="0" borderId="145" xfId="0" applyFont="1" applyBorder="1" applyAlignment="1">
      <alignment horizontal="left" vertical="center" wrapText="1"/>
    </xf>
    <xf numFmtId="0" fontId="104" fillId="0" borderId="145" xfId="0" applyFont="1" applyBorder="1" applyAlignment="1">
      <alignment horizontal="left" indent="2"/>
    </xf>
    <xf numFmtId="0" fontId="104" fillId="0" borderId="145" xfId="0" applyNumberFormat="1" applyFont="1" applyFill="1" applyBorder="1" applyAlignment="1">
      <alignment vertical="center" wrapText="1"/>
    </xf>
    <xf numFmtId="0" fontId="104" fillId="0" borderId="145" xfId="0" applyNumberFormat="1" applyFont="1" applyFill="1" applyBorder="1" applyAlignment="1">
      <alignment horizontal="left" vertical="center" indent="1"/>
    </xf>
    <xf numFmtId="0" fontId="104" fillId="0" borderId="145" xfId="0" applyNumberFormat="1" applyFont="1" applyFill="1" applyBorder="1" applyAlignment="1">
      <alignment horizontal="left" vertical="center" wrapText="1" indent="1"/>
    </xf>
    <xf numFmtId="0" fontId="104" fillId="0" borderId="145" xfId="0" applyNumberFormat="1" applyFont="1" applyFill="1" applyBorder="1" applyAlignment="1">
      <alignment horizontal="right" vertical="center"/>
    </xf>
    <xf numFmtId="49" fontId="104" fillId="0" borderId="145" xfId="0" applyNumberFormat="1" applyFont="1" applyFill="1" applyBorder="1" applyAlignment="1">
      <alignment horizontal="right" vertical="center"/>
    </xf>
    <xf numFmtId="0" fontId="104" fillId="0" borderId="146" xfId="0" applyNumberFormat="1" applyFont="1" applyFill="1" applyBorder="1" applyAlignment="1">
      <alignment horizontal="left" vertical="top" wrapText="1"/>
    </xf>
    <xf numFmtId="49" fontId="104" fillId="0" borderId="145" xfId="0" applyNumberFormat="1" applyFont="1" applyFill="1" applyBorder="1" applyAlignment="1">
      <alignment vertical="top" wrapText="1"/>
    </xf>
    <xf numFmtId="49" fontId="104" fillId="0" borderId="145" xfId="0" applyNumberFormat="1" applyFont="1" applyFill="1" applyBorder="1" applyAlignment="1">
      <alignment horizontal="left" vertical="top" wrapText="1" indent="2"/>
    </xf>
    <xf numFmtId="49" fontId="104" fillId="0" borderId="145" xfId="0" applyNumberFormat="1" applyFont="1" applyFill="1" applyBorder="1" applyAlignment="1">
      <alignment horizontal="left" vertical="center" wrapText="1" indent="3"/>
    </xf>
    <xf numFmtId="49" fontId="104" fillId="0" borderId="145" xfId="0" applyNumberFormat="1" applyFont="1" applyFill="1" applyBorder="1" applyAlignment="1">
      <alignment horizontal="left" wrapText="1" indent="2"/>
    </xf>
    <xf numFmtId="49" fontId="104" fillId="0" borderId="145" xfId="0" applyNumberFormat="1" applyFont="1" applyFill="1" applyBorder="1" applyAlignment="1">
      <alignment horizontal="left" vertical="top" wrapText="1"/>
    </xf>
    <xf numFmtId="49" fontId="104" fillId="0" borderId="145" xfId="0" applyNumberFormat="1" applyFont="1" applyFill="1" applyBorder="1" applyAlignment="1">
      <alignment horizontal="left" wrapText="1" indent="3"/>
    </xf>
    <xf numFmtId="49" fontId="104" fillId="0" borderId="145" xfId="0" applyNumberFormat="1" applyFont="1" applyFill="1" applyBorder="1" applyAlignment="1">
      <alignment vertical="center"/>
    </xf>
    <xf numFmtId="0" fontId="104" fillId="0" borderId="145" xfId="0" applyFont="1" applyFill="1" applyBorder="1" applyAlignment="1">
      <alignment horizontal="left" vertical="center" wrapText="1"/>
    </xf>
    <xf numFmtId="49" fontId="104" fillId="0" borderId="145" xfId="0" applyNumberFormat="1" applyFont="1" applyFill="1" applyBorder="1" applyAlignment="1">
      <alignment horizontal="left" indent="3"/>
    </xf>
    <xf numFmtId="0" fontId="104" fillId="0" borderId="145" xfId="0" applyFont="1" applyBorder="1" applyAlignment="1">
      <alignment horizontal="left" indent="1"/>
    </xf>
    <xf numFmtId="0" fontId="104" fillId="0" borderId="145" xfId="0" applyNumberFormat="1" applyFont="1" applyFill="1" applyBorder="1" applyAlignment="1">
      <alignment horizontal="left" vertical="center" wrapText="1"/>
    </xf>
    <xf numFmtId="0" fontId="104" fillId="0" borderId="145" xfId="0" applyFont="1" applyFill="1" applyBorder="1" applyAlignment="1">
      <alignment horizontal="left" wrapText="1" indent="2"/>
    </xf>
    <xf numFmtId="0" fontId="104" fillId="0" borderId="145" xfId="0" applyFont="1" applyBorder="1" applyAlignment="1">
      <alignment horizontal="left" vertical="top" wrapText="1"/>
    </xf>
    <xf numFmtId="0" fontId="103" fillId="0" borderId="7" xfId="0" applyFont="1" applyBorder="1" applyAlignment="1">
      <alignment wrapText="1"/>
    </xf>
    <xf numFmtId="0" fontId="104" fillId="0" borderId="145" xfId="0" applyFont="1" applyBorder="1" applyAlignment="1">
      <alignment horizontal="left" vertical="top" wrapText="1" indent="2"/>
    </xf>
    <xf numFmtId="0" fontId="104" fillId="0" borderId="145" xfId="0" applyFont="1" applyBorder="1" applyAlignment="1">
      <alignment horizontal="left" wrapText="1"/>
    </xf>
    <xf numFmtId="0" fontId="104" fillId="0" borderId="145" xfId="12672" applyFont="1" applyFill="1" applyBorder="1" applyAlignment="1">
      <alignment horizontal="left" vertical="center" wrapText="1" indent="2"/>
    </xf>
    <xf numFmtId="0" fontId="104" fillId="0" borderId="145" xfId="0" applyFont="1" applyBorder="1" applyAlignment="1">
      <alignment horizontal="left" wrapText="1" indent="2"/>
    </xf>
    <xf numFmtId="0" fontId="104" fillId="0" borderId="145" xfId="0" applyFont="1" applyBorder="1" applyAlignment="1">
      <alignment wrapText="1"/>
    </xf>
    <xf numFmtId="0" fontId="104" fillId="0" borderId="145" xfId="0" applyFont="1" applyBorder="1"/>
    <xf numFmtId="0" fontId="104" fillId="0" borderId="145" xfId="12672" applyFont="1" applyFill="1" applyBorder="1" applyAlignment="1">
      <alignment horizontal="left" vertical="center" wrapText="1"/>
    </xf>
    <xf numFmtId="0" fontId="103" fillId="0" borderId="145" xfId="0" applyFont="1" applyBorder="1" applyAlignment="1">
      <alignment wrapText="1"/>
    </xf>
    <xf numFmtId="0" fontId="104" fillId="0" borderId="147" xfId="0" applyNumberFormat="1" applyFont="1" applyFill="1" applyBorder="1" applyAlignment="1">
      <alignment horizontal="left" vertical="center" wrapText="1"/>
    </xf>
    <xf numFmtId="0" fontId="104" fillId="3" borderId="145" xfId="5" applyNumberFormat="1" applyFont="1" applyFill="1" applyBorder="1" applyAlignment="1" applyProtection="1">
      <alignment horizontal="right" vertical="center"/>
      <protection locked="0"/>
    </xf>
    <xf numFmtId="2" fontId="104" fillId="3" borderId="145" xfId="5" applyNumberFormat="1" applyFont="1" applyFill="1" applyBorder="1" applyAlignment="1" applyProtection="1">
      <alignment horizontal="right" vertical="center"/>
      <protection locked="0"/>
    </xf>
    <xf numFmtId="0" fontId="104" fillId="0" borderId="145" xfId="0" applyNumberFormat="1" applyFont="1" applyFill="1" applyBorder="1" applyAlignment="1">
      <alignment vertical="center"/>
    </xf>
    <xf numFmtId="0" fontId="104" fillId="0" borderId="147" xfId="13" applyFont="1" applyFill="1" applyBorder="1" applyAlignment="1" applyProtection="1">
      <alignment horizontal="left" vertical="top" wrapText="1"/>
      <protection locked="0"/>
    </xf>
    <xf numFmtId="0" fontId="104" fillId="0" borderId="148" xfId="13" applyFont="1" applyFill="1" applyBorder="1" applyAlignment="1" applyProtection="1">
      <alignment horizontal="left" vertical="top" wrapText="1"/>
      <protection locked="0"/>
    </xf>
    <xf numFmtId="0" fontId="104" fillId="0" borderId="146" xfId="0" applyFont="1" applyFill="1" applyBorder="1" applyAlignment="1">
      <alignment vertical="center" wrapText="1"/>
    </xf>
    <xf numFmtId="0" fontId="123" fillId="0" borderId="0" xfId="0" applyFont="1" applyBorder="1" applyAlignment="1">
      <alignment horizontal="left" indent="2"/>
    </xf>
    <xf numFmtId="0" fontId="114" fillId="0" borderId="0" xfId="0" applyNumberFormat="1" applyFont="1" applyFill="1" applyBorder="1" applyAlignment="1">
      <alignment horizontal="left" vertical="center" indent="1"/>
    </xf>
    <xf numFmtId="0" fontId="114" fillId="0" borderId="0" xfId="0" applyNumberFormat="1" applyFont="1" applyFill="1" applyBorder="1" applyAlignment="1">
      <alignment vertical="center" wrapText="1"/>
    </xf>
    <xf numFmtId="0" fontId="114" fillId="0" borderId="0" xfId="0" applyFont="1" applyFill="1" applyBorder="1" applyAlignment="1">
      <alignment vertical="center" wrapText="1"/>
    </xf>
    <xf numFmtId="0" fontId="125" fillId="0" borderId="0" xfId="0" applyNumberFormat="1" applyFont="1" applyFill="1" applyBorder="1" applyAlignment="1">
      <alignment horizontal="left" vertical="center" wrapText="1" readingOrder="1"/>
    </xf>
    <xf numFmtId="0" fontId="123" fillId="0" borderId="0" xfId="0" applyFont="1" applyBorder="1" applyAlignment="1">
      <alignment horizontal="left" vertical="center" wrapText="1"/>
    </xf>
    <xf numFmtId="0" fontId="114" fillId="0" borderId="0" xfId="0" applyFont="1" applyFill="1" applyBorder="1" applyAlignment="1">
      <alignment horizontal="left" vertical="center" wrapText="1"/>
    </xf>
    <xf numFmtId="0" fontId="104" fillId="0" borderId="146" xfId="0" applyFont="1" applyBorder="1" applyAlignment="1">
      <alignment horizontal="left" indent="2"/>
    </xf>
    <xf numFmtId="0" fontId="104" fillId="0" borderId="133" xfId="0" applyNumberFormat="1" applyFont="1" applyFill="1" applyBorder="1" applyAlignment="1">
      <alignment horizontal="left" vertical="center" wrapText="1" readingOrder="1"/>
    </xf>
    <xf numFmtId="0" fontId="104" fillId="0" borderId="145" xfId="0" applyNumberFormat="1" applyFont="1" applyFill="1" applyBorder="1" applyAlignment="1">
      <alignment horizontal="left" vertical="center" wrapText="1" readingOrder="1"/>
    </xf>
    <xf numFmtId="0" fontId="2" fillId="0" borderId="16" xfId="0" applyNumberFormat="1" applyFont="1" applyFill="1" applyBorder="1" applyAlignment="1">
      <alignment horizontal="left" vertical="center" wrapText="1" indent="1"/>
    </xf>
    <xf numFmtId="169" fontId="25" fillId="37" borderId="61" xfId="20" applyBorder="1"/>
    <xf numFmtId="0" fontId="11" fillId="0" borderId="96" xfId="17" applyFill="1" applyBorder="1" applyAlignment="1" applyProtection="1">
      <alignment horizontal="left" vertical="top" wrapText="1"/>
    </xf>
    <xf numFmtId="0" fontId="7" fillId="83" borderId="145"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0" fontId="104" fillId="0" borderId="0" xfId="0" applyFont="1" applyFill="1" applyBorder="1" applyAlignment="1">
      <alignment wrapText="1"/>
    </xf>
    <xf numFmtId="0" fontId="141" fillId="0" borderId="145" xfId="0" applyFont="1" applyBorder="1"/>
    <xf numFmtId="0" fontId="142" fillId="0" borderId="145" xfId="17" applyFont="1" applyBorder="1" applyAlignment="1" applyProtection="1"/>
    <xf numFmtId="0" fontId="143" fillId="0" borderId="0" xfId="0" applyFont="1"/>
    <xf numFmtId="179" fontId="143" fillId="0" borderId="0" xfId="0" applyNumberFormat="1" applyFont="1" applyAlignment="1">
      <alignment horizontal="left"/>
    </xf>
    <xf numFmtId="193" fontId="2" fillId="0" borderId="148" xfId="0" applyNumberFormat="1" applyFont="1" applyFill="1" applyBorder="1" applyAlignment="1" applyProtection="1">
      <alignment vertical="center" wrapText="1"/>
      <protection locked="0"/>
    </xf>
    <xf numFmtId="169" fontId="2" fillId="37" borderId="0" xfId="20" applyFont="1" applyBorder="1"/>
    <xf numFmtId="193" fontId="2" fillId="0" borderId="148" xfId="0" applyNumberFormat="1" applyFont="1" applyFill="1" applyBorder="1" applyAlignment="1" applyProtection="1">
      <alignment horizontal="right" vertical="center" wrapText="1"/>
      <protection locked="0"/>
    </xf>
    <xf numFmtId="193" fontId="61" fillId="0" borderId="148" xfId="0" applyNumberFormat="1" applyFont="1" applyFill="1" applyBorder="1" applyAlignment="1" applyProtection="1">
      <alignment horizontal="right" vertical="center" wrapText="1"/>
      <protection locked="0"/>
    </xf>
    <xf numFmtId="10" fontId="2" fillId="0" borderId="148" xfId="20961" applyNumberFormat="1" applyFont="1" applyBorder="1" applyAlignment="1" applyProtection="1">
      <alignment horizontal="right" vertical="center" wrapText="1"/>
      <protection locked="0"/>
    </xf>
    <xf numFmtId="10" fontId="2" fillId="2" borderId="148" xfId="20961" applyNumberFormat="1" applyFont="1" applyFill="1" applyBorder="1" applyAlignment="1" applyProtection="1">
      <alignment vertical="center"/>
      <protection locked="0"/>
    </xf>
    <xf numFmtId="193" fontId="2" fillId="2" borderId="148" xfId="0" applyNumberFormat="1" applyFont="1" applyFill="1" applyBorder="1" applyAlignment="1" applyProtection="1">
      <alignment vertical="center"/>
      <protection locked="0"/>
    </xf>
    <xf numFmtId="10" fontId="2" fillId="2" borderId="144" xfId="20961" applyNumberFormat="1" applyFont="1" applyFill="1" applyBorder="1" applyAlignment="1" applyProtection="1">
      <alignment vertical="center"/>
      <protection locked="0"/>
    </xf>
    <xf numFmtId="193" fontId="2" fillId="2" borderId="144" xfId="0" applyNumberFormat="1" applyFont="1" applyFill="1" applyBorder="1" applyAlignment="1" applyProtection="1">
      <alignment vertical="center"/>
      <protection locked="0"/>
    </xf>
    <xf numFmtId="10" fontId="2" fillId="2" borderId="25" xfId="20961" applyNumberFormat="1" applyFont="1" applyFill="1" applyBorder="1" applyAlignment="1" applyProtection="1">
      <alignment vertical="center"/>
      <protection locked="0"/>
    </xf>
    <xf numFmtId="193" fontId="144" fillId="0" borderId="155" xfId="0" applyNumberFormat="1" applyFont="1" applyFill="1" applyBorder="1" applyAlignment="1" applyProtection="1">
      <alignment vertical="center" wrapText="1"/>
      <protection locked="0"/>
    </xf>
    <xf numFmtId="193" fontId="144" fillId="0" borderId="145" xfId="0" applyNumberFormat="1" applyFont="1" applyFill="1" applyBorder="1" applyAlignment="1" applyProtection="1">
      <alignment vertical="center" wrapText="1"/>
      <protection locked="0"/>
    </xf>
    <xf numFmtId="193" fontId="144" fillId="0" borderId="154" xfId="0" applyNumberFormat="1" applyFont="1" applyFill="1" applyBorder="1" applyAlignment="1" applyProtection="1">
      <alignment vertical="center" wrapText="1"/>
      <protection locked="0"/>
    </xf>
    <xf numFmtId="169" fontId="2" fillId="37" borderId="61" xfId="20" applyFont="1" applyBorder="1"/>
    <xf numFmtId="169" fontId="2" fillId="37" borderId="90" xfId="20" applyFont="1" applyBorder="1"/>
    <xf numFmtId="10" fontId="144" fillId="0" borderId="155" xfId="20961" applyNumberFormat="1" applyFont="1" applyBorder="1" applyAlignment="1" applyProtection="1">
      <alignment vertical="center" wrapText="1"/>
      <protection locked="0"/>
    </xf>
    <xf numFmtId="10" fontId="144" fillId="0" borderId="145" xfId="20961" applyNumberFormat="1" applyFont="1" applyBorder="1" applyAlignment="1" applyProtection="1">
      <alignment vertical="center" wrapText="1"/>
      <protection locked="0"/>
    </xf>
    <xf numFmtId="10" fontId="144" fillId="0" borderId="154" xfId="20961" applyNumberFormat="1" applyFont="1" applyBorder="1" applyAlignment="1" applyProtection="1">
      <alignment vertical="center" wrapText="1"/>
      <protection locked="0"/>
    </xf>
    <xf numFmtId="10" fontId="145" fillId="2" borderId="155" xfId="20961" applyNumberFormat="1" applyFont="1" applyFill="1" applyBorder="1" applyAlignment="1" applyProtection="1">
      <alignment vertical="center"/>
      <protection locked="0"/>
    </xf>
    <xf numFmtId="10" fontId="145" fillId="2" borderId="145" xfId="20961" applyNumberFormat="1" applyFont="1" applyFill="1" applyBorder="1" applyAlignment="1" applyProtection="1">
      <alignment vertical="center"/>
      <protection locked="0"/>
    </xf>
    <xf numFmtId="10" fontId="145" fillId="2" borderId="154" xfId="20961" applyNumberFormat="1" applyFont="1" applyFill="1" applyBorder="1" applyAlignment="1" applyProtection="1">
      <alignment vertical="center"/>
      <protection locked="0"/>
    </xf>
    <xf numFmtId="10" fontId="144" fillId="0" borderId="155" xfId="20961" applyNumberFormat="1" applyFont="1" applyFill="1" applyBorder="1" applyAlignment="1" applyProtection="1">
      <alignment horizontal="right" vertical="center" wrapText="1"/>
      <protection locked="0"/>
    </xf>
    <xf numFmtId="10" fontId="144" fillId="0" borderId="145" xfId="20961" applyNumberFormat="1" applyFont="1" applyFill="1" applyBorder="1" applyAlignment="1" applyProtection="1">
      <alignment horizontal="right" vertical="center" wrapText="1"/>
      <protection locked="0"/>
    </xf>
    <xf numFmtId="10" fontId="144" fillId="0" borderId="154" xfId="20961" applyNumberFormat="1" applyFont="1" applyFill="1" applyBorder="1" applyAlignment="1" applyProtection="1">
      <alignment horizontal="right" vertical="center" wrapText="1"/>
      <protection locked="0"/>
    </xf>
    <xf numFmtId="193" fontId="145" fillId="2" borderId="155" xfId="0" applyNumberFormat="1" applyFont="1" applyFill="1" applyBorder="1" applyAlignment="1" applyProtection="1">
      <alignment vertical="center"/>
      <protection locked="0"/>
    </xf>
    <xf numFmtId="193" fontId="145" fillId="2" borderId="145" xfId="0" applyNumberFormat="1" applyFont="1" applyFill="1" applyBorder="1" applyAlignment="1" applyProtection="1">
      <alignment vertical="center"/>
      <protection locked="0"/>
    </xf>
    <xf numFmtId="193" fontId="145" fillId="2" borderId="154" xfId="0" applyNumberFormat="1" applyFont="1" applyFill="1" applyBorder="1" applyAlignment="1" applyProtection="1">
      <alignment vertical="center"/>
      <protection locked="0"/>
    </xf>
    <xf numFmtId="10" fontId="145" fillId="2" borderId="104" xfId="20961" applyNumberFormat="1" applyFont="1" applyFill="1" applyBorder="1" applyAlignment="1" applyProtection="1">
      <alignment vertical="center"/>
      <protection locked="0"/>
    </xf>
    <xf numFmtId="10" fontId="145" fillId="2" borderId="146" xfId="20961" applyNumberFormat="1" applyFont="1" applyFill="1" applyBorder="1" applyAlignment="1" applyProtection="1">
      <alignment vertical="center"/>
      <protection locked="0"/>
    </xf>
    <xf numFmtId="10" fontId="145" fillId="2" borderId="105" xfId="20961" applyNumberFormat="1" applyFont="1" applyFill="1" applyBorder="1" applyAlignment="1" applyProtection="1">
      <alignment vertical="center"/>
      <protection locked="0"/>
    </xf>
    <xf numFmtId="193" fontId="145" fillId="2" borderId="104" xfId="0" applyNumberFormat="1" applyFont="1" applyFill="1" applyBorder="1" applyAlignment="1" applyProtection="1">
      <alignment vertical="center"/>
      <protection locked="0"/>
    </xf>
    <xf numFmtId="193" fontId="145" fillId="2" borderId="146" xfId="0" applyNumberFormat="1" applyFont="1" applyFill="1" applyBorder="1" applyAlignment="1" applyProtection="1">
      <alignment vertical="center"/>
      <protection locked="0"/>
    </xf>
    <xf numFmtId="193" fontId="145" fillId="2" borderId="105" xfId="0" applyNumberFormat="1" applyFont="1" applyFill="1" applyBorder="1" applyAlignment="1" applyProtection="1">
      <alignment vertical="center"/>
      <protection locked="0"/>
    </xf>
    <xf numFmtId="10" fontId="145" fillId="2" borderId="153" xfId="20961" applyNumberFormat="1" applyFont="1" applyFill="1" applyBorder="1" applyAlignment="1" applyProtection="1">
      <alignment vertical="center"/>
      <protection locked="0"/>
    </xf>
    <xf numFmtId="10" fontId="145" fillId="2" borderId="152" xfId="20961" applyNumberFormat="1" applyFont="1" applyFill="1" applyBorder="1" applyAlignment="1" applyProtection="1">
      <alignment vertical="center"/>
      <protection locked="0"/>
    </xf>
    <xf numFmtId="10" fontId="145" fillId="2" borderId="151" xfId="20961" applyNumberFormat="1" applyFont="1" applyFill="1" applyBorder="1" applyAlignment="1" applyProtection="1">
      <alignment vertical="center"/>
      <protection locked="0"/>
    </xf>
    <xf numFmtId="164" fontId="0" fillId="0" borderId="155" xfId="7" applyNumberFormat="1" applyFont="1" applyBorder="1"/>
    <xf numFmtId="164" fontId="0" fillId="0" borderId="145" xfId="7" applyNumberFormat="1" applyFont="1" applyBorder="1"/>
    <xf numFmtId="164" fontId="0" fillId="0" borderId="96" xfId="7" applyNumberFormat="1" applyFont="1" applyBorder="1"/>
    <xf numFmtId="164" fontId="0" fillId="36" borderId="96" xfId="7" applyNumberFormat="1" applyFont="1" applyFill="1" applyBorder="1"/>
    <xf numFmtId="164" fontId="0" fillId="0" borderId="96" xfId="7" applyNumberFormat="1" applyFont="1" applyBorder="1" applyAlignment="1">
      <alignment vertical="center"/>
    </xf>
    <xf numFmtId="164" fontId="0" fillId="36" borderId="96" xfId="7" applyNumberFormat="1" applyFont="1" applyFill="1" applyBorder="1" applyAlignment="1">
      <alignment vertical="center"/>
    </xf>
    <xf numFmtId="164" fontId="0" fillId="0" borderId="137" xfId="7" applyNumberFormat="1" applyFont="1" applyBorder="1"/>
    <xf numFmtId="164" fontId="0" fillId="36" borderId="137" xfId="7" applyNumberFormat="1" applyFont="1" applyFill="1" applyBorder="1"/>
    <xf numFmtId="164" fontId="9" fillId="0" borderId="137" xfId="7" applyNumberFormat="1" applyFont="1" applyFill="1" applyBorder="1" applyAlignment="1" applyProtection="1">
      <alignment horizontal="right"/>
    </xf>
    <xf numFmtId="164" fontId="9" fillId="36" borderId="137" xfId="7" applyNumberFormat="1" applyFont="1" applyFill="1" applyBorder="1" applyAlignment="1" applyProtection="1">
      <alignment horizontal="right"/>
    </xf>
    <xf numFmtId="164" fontId="9" fillId="36" borderId="111" xfId="7" applyNumberFormat="1" applyFont="1" applyFill="1" applyBorder="1" applyAlignment="1" applyProtection="1">
      <alignment horizontal="right"/>
    </xf>
    <xf numFmtId="164" fontId="20" fillId="0" borderId="155" xfId="7" applyNumberFormat="1" applyFont="1" applyBorder="1" applyAlignment="1">
      <alignment vertical="center" wrapText="1"/>
    </xf>
    <xf numFmtId="164" fontId="20" fillId="0" borderId="155" xfId="7" applyNumberFormat="1" applyFont="1" applyFill="1" applyBorder="1" applyAlignment="1">
      <alignment vertical="center" wrapText="1"/>
    </xf>
    <xf numFmtId="3" fontId="146" fillId="36" borderId="96" xfId="0" applyNumberFormat="1" applyFont="1" applyFill="1" applyBorder="1" applyAlignment="1">
      <alignment vertical="center" wrapText="1"/>
    </xf>
    <xf numFmtId="3" fontId="146" fillId="36" borderId="97" xfId="0" applyNumberFormat="1" applyFont="1" applyFill="1" applyBorder="1" applyAlignment="1">
      <alignment vertical="center" wrapText="1"/>
    </xf>
    <xf numFmtId="3" fontId="146" fillId="36" borderId="111" xfId="0" applyNumberFormat="1" applyFont="1" applyFill="1" applyBorder="1" applyAlignment="1">
      <alignment vertical="center" wrapText="1"/>
    </xf>
    <xf numFmtId="3" fontId="146" fillId="36" borderId="21" xfId="0" applyNumberFormat="1" applyFont="1" applyFill="1" applyBorder="1" applyAlignment="1">
      <alignment vertical="center" wrapText="1"/>
    </xf>
    <xf numFmtId="3" fontId="146" fillId="36" borderId="23" xfId="0" applyNumberFormat="1" applyFont="1" applyFill="1" applyBorder="1" applyAlignment="1">
      <alignment vertical="center" wrapText="1"/>
    </xf>
    <xf numFmtId="3" fontId="146" fillId="36" borderId="25" xfId="0" applyNumberFormat="1" applyFont="1" applyFill="1" applyBorder="1" applyAlignment="1">
      <alignment vertical="center" wrapText="1"/>
    </xf>
    <xf numFmtId="3" fontId="146" fillId="36" borderId="24" xfId="0" applyNumberFormat="1" applyFont="1" applyFill="1" applyBorder="1" applyAlignment="1">
      <alignment vertical="center" wrapText="1"/>
    </xf>
    <xf numFmtId="3" fontId="146" fillId="36" borderId="36" xfId="0" applyNumberFormat="1" applyFont="1" applyFill="1" applyBorder="1" applyAlignment="1">
      <alignment vertical="center" wrapText="1"/>
    </xf>
    <xf numFmtId="0" fontId="13" fillId="0" borderId="148" xfId="0" applyFont="1" applyBorder="1" applyAlignment="1">
      <alignment wrapText="1"/>
    </xf>
    <xf numFmtId="0" fontId="4" fillId="0" borderId="154" xfId="0" applyFont="1" applyBorder="1" applyAlignment="1"/>
    <xf numFmtId="0" fontId="9" fillId="0" borderId="148" xfId="0" applyFont="1" applyBorder="1" applyAlignment="1">
      <alignment wrapText="1"/>
    </xf>
    <xf numFmtId="0" fontId="9" fillId="0" borderId="154" xfId="0" applyFont="1" applyBorder="1" applyAlignment="1"/>
    <xf numFmtId="9" fontId="4" fillId="0" borderId="21" xfId="0" applyNumberFormat="1" applyFont="1" applyBorder="1" applyAlignment="1"/>
    <xf numFmtId="10" fontId="4" fillId="0" borderId="21" xfId="20961" applyNumberFormat="1" applyFont="1" applyFill="1" applyBorder="1" applyAlignment="1"/>
    <xf numFmtId="10" fontId="4" fillId="0" borderId="36" xfId="20961" applyNumberFormat="1" applyFont="1" applyFill="1" applyBorder="1" applyAlignment="1"/>
    <xf numFmtId="43" fontId="147" fillId="0" borderId="145" xfId="7" applyFont="1" applyFill="1" applyBorder="1" applyAlignment="1">
      <alignment horizontal="center" vertical="center"/>
    </xf>
    <xf numFmtId="43" fontId="144" fillId="0" borderId="145" xfId="7" applyFont="1" applyFill="1" applyBorder="1" applyAlignment="1">
      <alignment horizontal="center" vertical="center"/>
    </xf>
    <xf numFmtId="43" fontId="147" fillId="0" borderId="154" xfId="7" applyFont="1" applyFill="1" applyBorder="1" applyAlignment="1">
      <alignment horizontal="center" vertical="center"/>
    </xf>
    <xf numFmtId="43" fontId="144" fillId="0" borderId="154" xfId="7" applyFont="1" applyFill="1" applyBorder="1" applyAlignment="1">
      <alignment horizontal="center" vertical="center"/>
    </xf>
    <xf numFmtId="193" fontId="148" fillId="36" borderId="152" xfId="0" applyNumberFormat="1" applyFont="1" applyFill="1" applyBorder="1" applyAlignment="1">
      <alignment horizontal="center" vertical="center"/>
    </xf>
    <xf numFmtId="193" fontId="148" fillId="36" borderId="151" xfId="0" applyNumberFormat="1" applyFont="1" applyFill="1" applyBorder="1" applyAlignment="1">
      <alignment horizontal="center" vertical="center"/>
    </xf>
    <xf numFmtId="193" fontId="149" fillId="36" borderId="18" xfId="0" applyNumberFormat="1" applyFont="1" applyFill="1" applyBorder="1" applyAlignment="1">
      <alignment horizontal="center" vertical="center"/>
    </xf>
    <xf numFmtId="193" fontId="149" fillId="36" borderId="20" xfId="0" applyNumberFormat="1" applyFont="1" applyFill="1" applyBorder="1" applyAlignment="1">
      <alignment horizontal="center" vertical="center" wrapText="1"/>
    </xf>
    <xf numFmtId="193" fontId="149" fillId="36" borderId="24" xfId="0" applyNumberFormat="1" applyFont="1" applyFill="1" applyBorder="1" applyAlignment="1">
      <alignment horizontal="center" vertical="center" wrapText="1"/>
    </xf>
    <xf numFmtId="193" fontId="144" fillId="0" borderId="154" xfId="0" applyNumberFormat="1" applyFont="1" applyBorder="1" applyAlignment="1">
      <alignment wrapText="1"/>
    </xf>
    <xf numFmtId="10" fontId="107" fillId="0" borderId="145" xfId="20961" applyNumberFormat="1" applyFont="1" applyFill="1" applyBorder="1" applyAlignment="1">
      <alignment horizontal="left" vertical="center" wrapText="1"/>
    </xf>
    <xf numFmtId="164" fontId="4" fillId="0" borderId="111" xfId="7" applyNumberFormat="1" applyFont="1" applyFill="1" applyBorder="1" applyAlignment="1">
      <alignment horizontal="right" vertical="center" wrapText="1"/>
    </xf>
    <xf numFmtId="164" fontId="6" fillId="36" borderId="111" xfId="7" applyNumberFormat="1" applyFont="1" applyFill="1" applyBorder="1" applyAlignment="1">
      <alignment horizontal="right" vertical="center" wrapText="1"/>
    </xf>
    <xf numFmtId="164" fontId="107" fillId="0" borderId="111" xfId="7" applyNumberFormat="1" applyFont="1" applyFill="1" applyBorder="1" applyAlignment="1">
      <alignment horizontal="right" vertical="center" wrapText="1"/>
    </xf>
    <xf numFmtId="164" fontId="7" fillId="0" borderId="24" xfId="7" applyNumberFormat="1" applyFont="1" applyFill="1" applyBorder="1" applyAlignment="1" applyProtection="1">
      <alignment horizontal="right" vertical="center"/>
    </xf>
    <xf numFmtId="193" fontId="147" fillId="0" borderId="160" xfId="0" applyNumberFormat="1" applyFont="1" applyBorder="1" applyAlignment="1">
      <alignment horizontal="center" vertical="center"/>
    </xf>
    <xf numFmtId="167" fontId="144" fillId="0" borderId="161" xfId="0" applyNumberFormat="1" applyFont="1" applyBorder="1" applyAlignment="1">
      <alignment horizontal="center"/>
    </xf>
    <xf numFmtId="193" fontId="144" fillId="0" borderId="12" xfId="0" applyNumberFormat="1" applyFont="1" applyBorder="1" applyAlignment="1">
      <alignment horizontal="center" vertical="center"/>
    </xf>
    <xf numFmtId="167" fontId="144" fillId="0" borderId="57" xfId="0" applyNumberFormat="1" applyFont="1" applyBorder="1" applyAlignment="1">
      <alignment horizontal="center"/>
    </xf>
    <xf numFmtId="167" fontId="144" fillId="0" borderId="57" xfId="0" applyNumberFormat="1" applyFont="1" applyFill="1" applyBorder="1" applyAlignment="1">
      <alignment horizontal="center"/>
    </xf>
    <xf numFmtId="193" fontId="147" fillId="0" borderId="12" xfId="0" applyNumberFormat="1" applyFont="1" applyBorder="1" applyAlignment="1">
      <alignment horizontal="center" vertical="center"/>
    </xf>
    <xf numFmtId="167" fontId="150" fillId="0" borderId="57" xfId="0" applyNumberFormat="1" applyFont="1" applyFill="1" applyBorder="1" applyAlignment="1">
      <alignment horizontal="center"/>
    </xf>
    <xf numFmtId="193" fontId="151" fillId="0" borderId="12" xfId="0" applyNumberFormat="1" applyFont="1" applyFill="1" applyBorder="1" applyAlignment="1">
      <alignment horizontal="center" vertical="center"/>
    </xf>
    <xf numFmtId="193" fontId="147" fillId="0" borderId="12" xfId="0" applyNumberFormat="1" applyFont="1" applyFill="1" applyBorder="1" applyAlignment="1">
      <alignment horizontal="center" vertical="center"/>
    </xf>
    <xf numFmtId="167" fontId="62" fillId="0" borderId="57" xfId="0" applyNumberFormat="1" applyFont="1" applyFill="1" applyBorder="1" applyAlignment="1">
      <alignment horizontal="center"/>
    </xf>
    <xf numFmtId="167" fontId="144" fillId="0" borderId="59" xfId="0" applyNumberFormat="1" applyFont="1" applyFill="1" applyBorder="1" applyAlignment="1">
      <alignment horizontal="center"/>
    </xf>
    <xf numFmtId="167" fontId="148" fillId="0" borderId="55" xfId="0" applyNumberFormat="1" applyFont="1" applyFill="1" applyBorder="1" applyAlignment="1">
      <alignment horizontal="center"/>
    </xf>
    <xf numFmtId="193" fontId="147" fillId="0" borderId="15" xfId="0" applyNumberFormat="1" applyFont="1" applyBorder="1" applyAlignment="1">
      <alignment horizontal="center" vertical="center"/>
    </xf>
    <xf numFmtId="167" fontId="152" fillId="85" borderId="56" xfId="0" applyNumberFormat="1" applyFont="1" applyFill="1" applyBorder="1" applyAlignment="1">
      <alignment horizontal="center"/>
    </xf>
    <xf numFmtId="167" fontId="144" fillId="0" borderId="59" xfId="0" applyNumberFormat="1" applyFont="1" applyBorder="1" applyAlignment="1">
      <alignment horizontal="center"/>
    </xf>
    <xf numFmtId="193" fontId="147" fillId="0" borderId="13" xfId="0" applyNumberFormat="1" applyFont="1" applyBorder="1" applyAlignment="1">
      <alignment horizontal="center" vertical="center"/>
    </xf>
    <xf numFmtId="193" fontId="150" fillId="0" borderId="13" xfId="0" applyNumberFormat="1" applyFont="1" applyBorder="1" applyAlignment="1">
      <alignment vertical="center"/>
    </xf>
    <xf numFmtId="167" fontId="144" fillId="0" borderId="60" xfId="0" applyNumberFormat="1" applyFont="1" applyBorder="1" applyAlignment="1">
      <alignment horizontal="center"/>
    </xf>
    <xf numFmtId="193" fontId="148" fillId="0" borderId="14" xfId="0" applyNumberFormat="1" applyFont="1" applyFill="1" applyBorder="1" applyAlignment="1">
      <alignment horizontal="center" vertical="center"/>
    </xf>
    <xf numFmtId="193" fontId="153" fillId="0" borderId="14" xfId="0" applyNumberFormat="1" applyFont="1" applyFill="1" applyBorder="1" applyAlignment="1">
      <alignment horizontal="center" vertical="center"/>
    </xf>
    <xf numFmtId="193" fontId="147" fillId="0" borderId="14" xfId="0" applyNumberFormat="1" applyFont="1" applyFill="1" applyBorder="1" applyAlignment="1">
      <alignment horizontal="center" vertical="center"/>
    </xf>
    <xf numFmtId="167" fontId="144" fillId="0" borderId="154" xfId="0" applyNumberFormat="1" applyFont="1" applyBorder="1" applyAlignment="1">
      <alignment horizontal="center"/>
    </xf>
    <xf numFmtId="167" fontId="148" fillId="0" borderId="154" xfId="0" applyNumberFormat="1" applyFont="1" applyFill="1" applyBorder="1" applyAlignment="1">
      <alignment horizontal="center"/>
    </xf>
    <xf numFmtId="0" fontId="144" fillId="0" borderId="154" xfId="0" applyFont="1" applyBorder="1"/>
    <xf numFmtId="0" fontId="144" fillId="0" borderId="145" xfId="0" applyFont="1" applyBorder="1"/>
    <xf numFmtId="0" fontId="147" fillId="0" borderId="145" xfId="0" applyFont="1" applyBorder="1" applyAlignment="1">
      <alignment horizontal="center"/>
    </xf>
    <xf numFmtId="193" fontId="147" fillId="0" borderId="162" xfId="0" applyNumberFormat="1" applyFont="1" applyBorder="1" applyAlignment="1">
      <alignment horizontal="center" vertical="center"/>
    </xf>
    <xf numFmtId="0" fontId="144" fillId="0" borderId="151" xfId="0" applyFont="1" applyBorder="1"/>
    <xf numFmtId="193" fontId="144" fillId="0" borderId="145" xfId="0" applyNumberFormat="1" applyFont="1" applyBorder="1" applyAlignment="1"/>
    <xf numFmtId="164" fontId="144" fillId="0" borderId="145" xfId="7" applyNumberFormat="1" applyFont="1" applyBorder="1" applyAlignment="1"/>
    <xf numFmtId="164" fontId="4" fillId="0" borderId="20" xfId="7" applyNumberFormat="1" applyFont="1" applyBorder="1" applyAlignment="1"/>
    <xf numFmtId="164" fontId="4" fillId="36" borderId="23" xfId="7" applyNumberFormat="1" applyFont="1" applyFill="1" applyBorder="1"/>
    <xf numFmtId="164" fontId="4" fillId="36" borderId="24" xfId="7" applyNumberFormat="1" applyFont="1" applyFill="1" applyBorder="1"/>
    <xf numFmtId="193" fontId="144" fillId="0" borderId="155" xfId="0" applyNumberFormat="1" applyFont="1" applyBorder="1" applyAlignment="1"/>
    <xf numFmtId="193" fontId="144" fillId="0" borderId="154" xfId="0" applyNumberFormat="1" applyFont="1" applyBorder="1" applyAlignment="1"/>
    <xf numFmtId="193" fontId="144" fillId="0" borderId="21" xfId="0" applyNumberFormat="1" applyFont="1" applyBorder="1" applyAlignment="1"/>
    <xf numFmtId="193" fontId="154" fillId="36" borderId="50" xfId="0" applyNumberFormat="1" applyFont="1" applyFill="1" applyBorder="1" applyAlignment="1"/>
    <xf numFmtId="193" fontId="155" fillId="36" borderId="22" xfId="0" applyNumberFormat="1" applyFont="1" applyFill="1" applyBorder="1"/>
    <xf numFmtId="193" fontId="155" fillId="36" borderId="23" xfId="0" applyNumberFormat="1" applyFont="1" applyFill="1" applyBorder="1"/>
    <xf numFmtId="193" fontId="155" fillId="36" borderId="24" xfId="0" applyNumberFormat="1" applyFont="1" applyFill="1" applyBorder="1"/>
    <xf numFmtId="193" fontId="155" fillId="36" borderId="51" xfId="0" applyNumberFormat="1" applyFont="1" applyFill="1" applyBorder="1"/>
    <xf numFmtId="193" fontId="4" fillId="0" borderId="145" xfId="0" applyNumberFormat="1" applyFont="1" applyBorder="1"/>
    <xf numFmtId="193" fontId="4" fillId="0" borderId="148" xfId="0" applyNumberFormat="1" applyFont="1" applyBorder="1"/>
    <xf numFmtId="9" fontId="154" fillId="0" borderId="154" xfId="20961" applyFont="1" applyBorder="1"/>
    <xf numFmtId="0" fontId="4" fillId="3" borderId="112" xfId="0" applyFont="1" applyFill="1" applyBorder="1" applyAlignment="1">
      <alignment vertical="center"/>
    </xf>
    <xf numFmtId="0" fontId="4" fillId="3" borderId="150" xfId="0" applyFont="1" applyFill="1" applyBorder="1" applyAlignment="1">
      <alignment vertical="center"/>
    </xf>
    <xf numFmtId="194" fontId="4" fillId="0" borderId="112" xfId="7" applyNumberFormat="1" applyFont="1" applyFill="1" applyBorder="1" applyAlignment="1">
      <alignment vertical="center"/>
    </xf>
    <xf numFmtId="194" fontId="4" fillId="0" borderId="52" xfId="7" applyNumberFormat="1" applyFont="1" applyFill="1" applyBorder="1" applyAlignment="1">
      <alignment vertical="center"/>
    </xf>
    <xf numFmtId="194" fontId="6" fillId="0" borderId="154" xfId="7" applyNumberFormat="1" applyFont="1" applyFill="1" applyBorder="1" applyAlignment="1">
      <alignment vertical="center"/>
    </xf>
    <xf numFmtId="194" fontId="4" fillId="0" borderId="150" xfId="7" applyNumberFormat="1" applyFont="1" applyFill="1" applyBorder="1" applyAlignment="1">
      <alignment vertical="center"/>
    </xf>
    <xf numFmtId="194" fontId="4" fillId="0" borderId="145" xfId="7" applyNumberFormat="1" applyFont="1" applyFill="1" applyBorder="1" applyAlignment="1">
      <alignment vertical="center"/>
    </xf>
    <xf numFmtId="194" fontId="4" fillId="0" borderId="155" xfId="7" applyNumberFormat="1" applyFont="1" applyFill="1" applyBorder="1" applyAlignment="1">
      <alignment vertical="center"/>
    </xf>
    <xf numFmtId="0" fontId="4" fillId="0" borderId="155" xfId="0" applyFont="1" applyFill="1" applyBorder="1" applyAlignment="1">
      <alignment vertical="center"/>
    </xf>
    <xf numFmtId="0" fontId="4" fillId="0" borderId="148" xfId="0" applyFont="1" applyFill="1" applyBorder="1" applyAlignment="1">
      <alignment vertical="center"/>
    </xf>
    <xf numFmtId="0" fontId="4" fillId="0" borderId="147" xfId="0" applyFont="1" applyFill="1" applyBorder="1" applyAlignment="1">
      <alignment vertical="center"/>
    </xf>
    <xf numFmtId="194" fontId="6" fillId="0" borderId="155" xfId="0" applyNumberFormat="1" applyFont="1" applyFill="1" applyBorder="1" applyAlignment="1">
      <alignment vertical="center"/>
    </xf>
    <xf numFmtId="194" fontId="6" fillId="0" borderId="150" xfId="0" applyNumberFormat="1" applyFont="1" applyFill="1" applyBorder="1" applyAlignment="1">
      <alignment vertical="center"/>
    </xf>
    <xf numFmtId="194" fontId="6" fillId="0" borderId="112" xfId="0" applyNumberFormat="1" applyFont="1" applyFill="1" applyBorder="1" applyAlignment="1">
      <alignment vertical="center"/>
    </xf>
    <xf numFmtId="194" fontId="6" fillId="0" borderId="145" xfId="0" applyNumberFormat="1" applyFont="1" applyFill="1" applyBorder="1" applyAlignment="1">
      <alignment vertical="center"/>
    </xf>
    <xf numFmtId="194" fontId="4" fillId="0" borderId="148" xfId="7" applyNumberFormat="1" applyFont="1" applyFill="1" applyBorder="1" applyAlignment="1">
      <alignment vertical="center"/>
    </xf>
    <xf numFmtId="194" fontId="4" fillId="0" borderId="147" xfId="7" applyNumberFormat="1" applyFont="1" applyFill="1" applyBorder="1" applyAlignment="1">
      <alignment vertical="center"/>
    </xf>
    <xf numFmtId="194" fontId="6" fillId="0" borderId="153" xfId="0" applyNumberFormat="1" applyFont="1" applyFill="1" applyBorder="1" applyAlignment="1">
      <alignment vertical="center"/>
    </xf>
    <xf numFmtId="194" fontId="6" fillId="0" borderId="108" xfId="0" applyNumberFormat="1" applyFont="1" applyFill="1" applyBorder="1" applyAlignment="1">
      <alignment vertical="center"/>
    </xf>
    <xf numFmtId="194" fontId="6" fillId="0" borderId="151" xfId="7" applyNumberFormat="1" applyFont="1" applyFill="1" applyBorder="1" applyAlignment="1">
      <alignment vertical="center"/>
    </xf>
    <xf numFmtId="194" fontId="6" fillId="0" borderId="163" xfId="0" applyNumberFormat="1" applyFont="1" applyFill="1" applyBorder="1" applyAlignment="1">
      <alignment vertical="center"/>
    </xf>
    <xf numFmtId="194" fontId="6" fillId="0" borderId="152" xfId="0" applyNumberFormat="1" applyFont="1" applyFill="1" applyBorder="1" applyAlignment="1">
      <alignment vertical="center"/>
    </xf>
    <xf numFmtId="194" fontId="4" fillId="0" borderId="115" xfId="7" applyNumberFormat="1" applyFont="1" applyFill="1" applyBorder="1" applyAlignment="1">
      <alignment vertical="center"/>
    </xf>
    <xf numFmtId="194" fontId="4" fillId="0" borderId="26" xfId="7" applyNumberFormat="1" applyFont="1" applyFill="1" applyBorder="1" applyAlignment="1">
      <alignment vertical="center"/>
    </xf>
    <xf numFmtId="194" fontId="6" fillId="0" borderId="18" xfId="7" applyNumberFormat="1" applyFont="1" applyFill="1" applyBorder="1" applyAlignment="1">
      <alignment vertical="center"/>
    </xf>
    <xf numFmtId="43" fontId="4" fillId="0" borderId="109" xfId="0" applyNumberFormat="1" applyFont="1" applyFill="1" applyBorder="1" applyAlignment="1">
      <alignment vertical="center"/>
    </xf>
    <xf numFmtId="164" fontId="4" fillId="0" borderId="152" xfId="0" applyNumberFormat="1" applyFont="1" applyFill="1" applyBorder="1" applyAlignment="1">
      <alignment vertical="center"/>
    </xf>
    <xf numFmtId="194" fontId="6" fillId="0" borderId="105" xfId="7" applyNumberFormat="1" applyFont="1" applyFill="1" applyBorder="1" applyAlignment="1">
      <alignment vertical="center"/>
    </xf>
    <xf numFmtId="10" fontId="6" fillId="0" borderId="158" xfId="20961" applyNumberFormat="1" applyFont="1" applyFill="1" applyBorder="1" applyAlignment="1">
      <alignment vertical="center"/>
    </xf>
    <xf numFmtId="10" fontId="6" fillId="0" borderId="91" xfId="20961" applyNumberFormat="1" applyFont="1" applyFill="1" applyBorder="1" applyAlignment="1">
      <alignment vertical="center"/>
    </xf>
    <xf numFmtId="10" fontId="6" fillId="0" borderId="107" xfId="20961" applyNumberFormat="1" applyFont="1" applyFill="1" applyBorder="1" applyAlignment="1">
      <alignment vertical="center"/>
    </xf>
    <xf numFmtId="164" fontId="111" fillId="0" borderId="145" xfId="7" applyNumberFormat="1" applyFont="1" applyFill="1" applyBorder="1" applyAlignment="1" applyProtection="1">
      <alignment horizontal="right" vertical="center"/>
      <protection locked="0"/>
    </xf>
    <xf numFmtId="10" fontId="111" fillId="79" borderId="96" xfId="20961" applyNumberFormat="1" applyFont="1" applyFill="1" applyBorder="1" applyAlignment="1" applyProtection="1">
      <alignment horizontal="right" vertical="center"/>
    </xf>
    <xf numFmtId="164" fontId="156" fillId="0" borderId="137" xfId="7" applyNumberFormat="1" applyFont="1" applyBorder="1"/>
    <xf numFmtId="164" fontId="118" fillId="0" borderId="137" xfId="7" applyNumberFormat="1" applyFont="1" applyBorder="1"/>
    <xf numFmtId="164" fontId="114" fillId="0" borderId="145" xfId="7" applyNumberFormat="1" applyFont="1" applyBorder="1"/>
    <xf numFmtId="164" fontId="114" fillId="0" borderId="145" xfId="7" applyNumberFormat="1" applyFont="1" applyFill="1" applyBorder="1"/>
    <xf numFmtId="164" fontId="114" fillId="36" borderId="145" xfId="7" applyNumberFormat="1" applyFont="1" applyFill="1" applyBorder="1"/>
    <xf numFmtId="164" fontId="117" fillId="0" borderId="145" xfId="7" applyNumberFormat="1" applyFont="1" applyBorder="1"/>
    <xf numFmtId="164" fontId="157" fillId="0" borderId="145" xfId="7" applyNumberFormat="1" applyFont="1" applyBorder="1"/>
    <xf numFmtId="164" fontId="115" fillId="0" borderId="145" xfId="7" applyNumberFormat="1" applyFont="1" applyBorder="1"/>
    <xf numFmtId="164" fontId="118" fillId="0" borderId="145" xfId="7" applyNumberFormat="1" applyFont="1" applyBorder="1"/>
    <xf numFmtId="164" fontId="158" fillId="0" borderId="145" xfId="7" applyNumberFormat="1" applyFont="1" applyBorder="1"/>
    <xf numFmtId="164" fontId="114" fillId="0" borderId="145" xfId="7" applyNumberFormat="1" applyFont="1" applyBorder="1" applyAlignment="1">
      <alignment horizontal="left" indent="1"/>
    </xf>
    <xf numFmtId="164" fontId="117" fillId="78" borderId="145" xfId="7" applyNumberFormat="1" applyFont="1" applyFill="1" applyBorder="1"/>
    <xf numFmtId="164" fontId="159" fillId="0" borderId="145" xfId="7" applyNumberFormat="1" applyFont="1" applyBorder="1"/>
    <xf numFmtId="164" fontId="158" fillId="0" borderId="155" xfId="7" applyNumberFormat="1" applyFont="1" applyBorder="1"/>
    <xf numFmtId="164" fontId="158" fillId="0" borderId="154" xfId="7" applyNumberFormat="1" applyFont="1" applyBorder="1"/>
    <xf numFmtId="164" fontId="114" fillId="0" borderId="155" xfId="7" applyNumberFormat="1" applyFont="1" applyBorder="1" applyAlignment="1">
      <alignment horizontal="left" indent="1"/>
    </xf>
    <xf numFmtId="164" fontId="114" fillId="0" borderId="154" xfId="7" applyNumberFormat="1" applyFont="1" applyBorder="1"/>
    <xf numFmtId="164" fontId="114" fillId="0" borderId="155" xfId="7" applyNumberFormat="1" applyFont="1" applyBorder="1" applyAlignment="1">
      <alignment horizontal="left" indent="2"/>
    </xf>
    <xf numFmtId="164" fontId="114" fillId="0" borderId="155" xfId="7" applyNumberFormat="1" applyFont="1" applyFill="1" applyBorder="1" applyAlignment="1">
      <alignment horizontal="left" indent="3"/>
    </xf>
    <xf numFmtId="164" fontId="114" fillId="0" borderId="155" xfId="7" applyNumberFormat="1" applyFont="1" applyFill="1" applyBorder="1" applyAlignment="1">
      <alignment horizontal="left" indent="1"/>
    </xf>
    <xf numFmtId="164" fontId="114" fillId="81" borderId="155" xfId="7" applyNumberFormat="1" applyFont="1" applyFill="1" applyBorder="1"/>
    <xf numFmtId="164" fontId="114" fillId="81" borderId="145" xfId="7" applyNumberFormat="1" applyFont="1" applyFill="1" applyBorder="1"/>
    <xf numFmtId="164" fontId="114" fillId="81" borderId="154" xfId="7" applyNumberFormat="1" applyFont="1" applyFill="1" applyBorder="1"/>
    <xf numFmtId="164" fontId="114" fillId="0" borderId="155" xfId="7" applyNumberFormat="1" applyFont="1" applyFill="1" applyBorder="1" applyAlignment="1">
      <alignment horizontal="left" vertical="top" wrapText="1" indent="2"/>
    </xf>
    <xf numFmtId="164" fontId="114" fillId="0" borderId="154" xfId="7" applyNumberFormat="1" applyFont="1" applyFill="1" applyBorder="1"/>
    <xf numFmtId="164" fontId="114" fillId="0" borderId="155" xfId="7" applyNumberFormat="1" applyFont="1" applyFill="1" applyBorder="1" applyAlignment="1">
      <alignment horizontal="left" wrapText="1" indent="3"/>
    </xf>
    <xf numFmtId="164" fontId="114" fillId="0" borderId="155" xfId="7" applyNumberFormat="1" applyFont="1" applyFill="1" applyBorder="1" applyAlignment="1">
      <alignment horizontal="left" wrapText="1" indent="2"/>
    </xf>
    <xf numFmtId="164" fontId="114" fillId="0" borderId="145" xfId="7" applyNumberFormat="1" applyFont="1" applyFill="1" applyBorder="1" applyAlignment="1">
      <alignment horizontal="left" vertical="center" wrapText="1"/>
    </xf>
    <xf numFmtId="164" fontId="114" fillId="0" borderId="145" xfId="7" applyNumberFormat="1" applyFont="1" applyBorder="1" applyAlignment="1">
      <alignment horizontal="center" vertical="center" wrapText="1"/>
    </xf>
    <xf numFmtId="164" fontId="114" fillId="0" borderId="145" xfId="7" applyNumberFormat="1" applyFont="1" applyBorder="1" applyAlignment="1">
      <alignment horizontal="center" vertical="center"/>
    </xf>
    <xf numFmtId="164" fontId="117" fillId="0" borderId="145" xfId="7" applyNumberFormat="1" applyFont="1" applyFill="1" applyBorder="1" applyAlignment="1">
      <alignment horizontal="left" vertical="center" wrapText="1"/>
    </xf>
    <xf numFmtId="164" fontId="119" fillId="0" borderId="145" xfId="7" applyNumberFormat="1" applyFont="1" applyBorder="1"/>
    <xf numFmtId="10" fontId="119" fillId="0" borderId="145" xfId="20961" applyNumberFormat="1" applyFont="1" applyBorder="1"/>
    <xf numFmtId="164" fontId="160" fillId="0" borderId="145" xfId="7" applyNumberFormat="1" applyFont="1" applyBorder="1"/>
    <xf numFmtId="164" fontId="119" fillId="0" borderId="146" xfId="7" applyNumberFormat="1" applyFont="1" applyBorder="1"/>
    <xf numFmtId="10" fontId="119" fillId="0" borderId="146" xfId="20961" applyNumberFormat="1" applyFont="1" applyBorder="1"/>
    <xf numFmtId="0" fontId="102" fillId="0" borderId="64" xfId="0" applyFont="1" applyBorder="1" applyAlignment="1">
      <alignment horizontal="left" vertical="center" wrapText="1"/>
    </xf>
    <xf numFmtId="0" fontId="102" fillId="0" borderId="63" xfId="0" applyFont="1" applyBorder="1" applyAlignment="1">
      <alignment horizontal="left" vertical="center" wrapText="1"/>
    </xf>
    <xf numFmtId="0" fontId="139" fillId="0" borderId="158" xfId="0" applyFont="1" applyBorder="1" applyAlignment="1">
      <alignment horizontal="center" vertical="center"/>
    </xf>
    <xf numFmtId="0" fontId="139" fillId="0" borderId="29" xfId="0" applyFont="1" applyBorder="1" applyAlignment="1">
      <alignment horizontal="center" vertical="center"/>
    </xf>
    <xf numFmtId="0" fontId="139" fillId="0" borderId="159" xfId="0" applyFont="1" applyBorder="1" applyAlignment="1">
      <alignment horizontal="center" vertical="center"/>
    </xf>
    <xf numFmtId="0" fontId="140" fillId="0" borderId="158" xfId="0" applyFont="1" applyBorder="1" applyAlignment="1">
      <alignment horizontal="center" wrapText="1"/>
    </xf>
    <xf numFmtId="0" fontId="140" fillId="0" borderId="29" xfId="0" applyFont="1" applyBorder="1" applyAlignment="1">
      <alignment horizontal="center" wrapText="1"/>
    </xf>
    <xf numFmtId="0" fontId="140" fillId="0" borderId="159" xfId="0" applyFont="1" applyBorder="1" applyAlignment="1">
      <alignment horizontal="center" wrapText="1"/>
    </xf>
    <xf numFmtId="164" fontId="0" fillId="0" borderId="97" xfId="7" applyNumberFormat="1" applyFont="1" applyBorder="1" applyAlignment="1">
      <alignment horizontal="center"/>
    </xf>
    <xf numFmtId="164" fontId="0" fillId="0" borderId="94" xfId="7" applyNumberFormat="1" applyFont="1" applyBorder="1" applyAlignment="1">
      <alignment horizontal="center"/>
    </xf>
    <xf numFmtId="164" fontId="0" fillId="0" borderId="95" xfId="7" applyNumberFormat="1" applyFont="1" applyBorder="1" applyAlignment="1">
      <alignment horizontal="center"/>
    </xf>
    <xf numFmtId="164" fontId="0" fillId="0" borderId="138" xfId="7" applyNumberFormat="1" applyFont="1" applyBorder="1" applyAlignment="1">
      <alignment horizontal="center"/>
    </xf>
    <xf numFmtId="164" fontId="0" fillId="0" borderId="139" xfId="7" applyNumberFormat="1" applyFont="1" applyBorder="1" applyAlignment="1">
      <alignment horizontal="center"/>
    </xf>
    <xf numFmtId="164" fontId="0" fillId="0" borderId="140" xfId="7" applyNumberFormat="1" applyFont="1" applyBorder="1" applyAlignment="1">
      <alignment horizontal="center"/>
    </xf>
    <xf numFmtId="0" fontId="0" fillId="0" borderId="137" xfId="0" applyBorder="1" applyAlignment="1">
      <alignment horizontal="center" vertical="center"/>
    </xf>
    <xf numFmtId="0" fontId="126" fillId="0" borderId="92" xfId="0" applyFont="1" applyBorder="1" applyAlignment="1">
      <alignment horizontal="center" vertical="center"/>
    </xf>
    <xf numFmtId="0" fontId="126" fillId="0" borderId="7" xfId="0" applyFont="1" applyBorder="1" applyAlignment="1">
      <alignment horizontal="center" vertical="center"/>
    </xf>
    <xf numFmtId="0" fontId="10" fillId="0" borderId="17"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0" fillId="0" borderId="97" xfId="0" applyBorder="1" applyAlignment="1">
      <alignment horizontal="center"/>
    </xf>
    <xf numFmtId="0" fontId="0" fillId="0" borderId="94" xfId="0" applyBorder="1" applyAlignment="1">
      <alignment horizontal="center"/>
    </xf>
    <xf numFmtId="0" fontId="0" fillId="0" borderId="95" xfId="0" applyBorder="1" applyAlignment="1">
      <alignment horizontal="center"/>
    </xf>
    <xf numFmtId="0" fontId="126" fillId="0" borderId="141" xfId="0" applyFont="1" applyBorder="1" applyAlignment="1">
      <alignment horizontal="center" vertical="center" wrapText="1"/>
    </xf>
    <xf numFmtId="0" fontId="126" fillId="0" borderId="7" xfId="0" applyFont="1" applyBorder="1" applyAlignment="1">
      <alignment horizontal="center" vertical="center" wrapText="1"/>
    </xf>
    <xf numFmtId="0" fontId="0" fillId="0" borderId="127" xfId="0" applyBorder="1" applyAlignment="1">
      <alignment horizontal="center" vertical="center"/>
    </xf>
    <xf numFmtId="0" fontId="0" fillId="0" borderId="11" xfId="0" applyBorder="1" applyAlignment="1">
      <alignment horizontal="center" vertical="center"/>
    </xf>
    <xf numFmtId="0" fontId="0" fillId="0" borderId="137" xfId="0" applyBorder="1" applyAlignment="1">
      <alignment horizontal="center" vertical="center" wrapText="1"/>
    </xf>
    <xf numFmtId="0" fontId="10" fillId="0" borderId="17" xfId="0" applyFont="1" applyFill="1" applyBorder="1" applyAlignment="1" applyProtection="1">
      <alignment horizontal="center"/>
    </xf>
    <xf numFmtId="0" fontId="10" fillId="0" borderId="18" xfId="0" applyFont="1" applyFill="1" applyBorder="1" applyAlignment="1" applyProtection="1">
      <alignment horizontal="center"/>
    </xf>
    <xf numFmtId="0" fontId="13" fillId="0" borderId="3" xfId="0" applyFont="1" applyBorder="1" applyAlignment="1">
      <alignment wrapText="1"/>
    </xf>
    <xf numFmtId="0" fontId="4" fillId="0" borderId="20" xfId="0" applyFont="1" applyBorder="1" applyAlignment="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97" xfId="0" applyFont="1" applyFill="1" applyBorder="1" applyAlignment="1">
      <alignment horizontal="center"/>
    </xf>
    <xf numFmtId="0" fontId="4" fillId="0" borderId="21" xfId="0" applyFont="1" applyFill="1" applyBorder="1" applyAlignment="1">
      <alignment horizontal="center"/>
    </xf>
    <xf numFmtId="0" fontId="6" fillId="36" borderId="115"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2" xfId="0" applyFont="1" applyFill="1" applyBorder="1" applyAlignment="1">
      <alignment horizontal="center" vertical="center" wrapText="1"/>
    </xf>
    <xf numFmtId="0" fontId="6" fillId="36" borderId="95" xfId="0" applyFont="1" applyFill="1" applyBorder="1" applyAlignment="1">
      <alignment horizontal="center" vertical="center" wrapText="1"/>
    </xf>
    <xf numFmtId="0" fontId="100" fillId="3" borderId="65" xfId="13" applyFont="1" applyFill="1" applyBorder="1" applyAlignment="1" applyProtection="1">
      <alignment horizontal="center" vertical="center" wrapText="1"/>
      <protection locked="0"/>
    </xf>
    <xf numFmtId="0" fontId="100" fillId="3" borderId="6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164" fontId="15" fillId="0" borderId="88" xfId="1" applyNumberFormat="1" applyFont="1" applyFill="1" applyBorder="1" applyAlignment="1" applyProtection="1">
      <alignment horizontal="center" vertical="center" wrapText="1"/>
      <protection locked="0"/>
    </xf>
    <xf numFmtId="164" fontId="15" fillId="0" borderId="8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58"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14" fillId="0" borderId="53" xfId="0" applyFont="1" applyFill="1" applyBorder="1" applyAlignment="1">
      <alignment horizontal="left" vertical="center"/>
    </xf>
    <xf numFmtId="0" fontId="14" fillId="0" borderId="54" xfId="0" applyFont="1" applyFill="1" applyBorder="1" applyAlignment="1">
      <alignment horizontal="left" vertical="center"/>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11" xfId="0" applyFont="1" applyBorder="1" applyAlignment="1">
      <alignment horizontal="center" vertical="center" wrapText="1"/>
    </xf>
    <xf numFmtId="0" fontId="117" fillId="0" borderId="118" xfId="0" applyNumberFormat="1" applyFont="1" applyFill="1" applyBorder="1" applyAlignment="1">
      <alignment horizontal="left" vertical="center" wrapText="1"/>
    </xf>
    <xf numFmtId="0" fontId="117" fillId="0" borderId="119" xfId="0" applyNumberFormat="1" applyFont="1" applyFill="1" applyBorder="1" applyAlignment="1">
      <alignment horizontal="left" vertical="center" wrapText="1"/>
    </xf>
    <xf numFmtId="0" fontId="117" fillId="0" borderId="121" xfId="0" applyNumberFormat="1" applyFont="1" applyFill="1" applyBorder="1" applyAlignment="1">
      <alignment horizontal="left" vertical="center" wrapText="1"/>
    </xf>
    <xf numFmtId="0" fontId="117" fillId="0" borderId="122" xfId="0" applyNumberFormat="1" applyFont="1" applyFill="1" applyBorder="1" applyAlignment="1">
      <alignment horizontal="left" vertical="center" wrapText="1"/>
    </xf>
    <xf numFmtId="0" fontId="117" fillId="0" borderId="124" xfId="0" applyNumberFormat="1" applyFont="1" applyFill="1" applyBorder="1" applyAlignment="1">
      <alignment horizontal="left" vertical="center" wrapText="1"/>
    </xf>
    <xf numFmtId="0" fontId="117" fillId="0" borderId="125" xfId="0" applyNumberFormat="1" applyFont="1" applyFill="1" applyBorder="1" applyAlignment="1">
      <alignment horizontal="left" vertical="center" wrapText="1"/>
    </xf>
    <xf numFmtId="0" fontId="118" fillId="0" borderId="144" xfId="0" applyFont="1" applyFill="1" applyBorder="1" applyAlignment="1">
      <alignment horizontal="center" vertical="center" wrapText="1"/>
    </xf>
    <xf numFmtId="0" fontId="118" fillId="0" borderId="143" xfId="0" applyFont="1" applyFill="1" applyBorder="1" applyAlignment="1">
      <alignment horizontal="center" vertical="center" wrapText="1"/>
    </xf>
    <xf numFmtId="0" fontId="118" fillId="0" borderId="120" xfId="0" applyFont="1" applyFill="1" applyBorder="1" applyAlignment="1">
      <alignment horizontal="center" vertical="center" wrapText="1"/>
    </xf>
    <xf numFmtId="0" fontId="118" fillId="0" borderId="52" xfId="0" applyFont="1" applyFill="1" applyBorder="1" applyAlignment="1">
      <alignment horizontal="center" vertical="center" wrapText="1"/>
    </xf>
    <xf numFmtId="0" fontId="118" fillId="0" borderId="123" xfId="0" applyFont="1" applyFill="1" applyBorder="1" applyAlignment="1">
      <alignment horizontal="center" vertical="center" wrapText="1"/>
    </xf>
    <xf numFmtId="0" fontId="118" fillId="0" borderId="11" xfId="0" applyFont="1" applyFill="1" applyBorder="1" applyAlignment="1">
      <alignment horizontal="center" vertical="center" wrapText="1"/>
    </xf>
    <xf numFmtId="0" fontId="114" fillId="0" borderId="146" xfId="0" applyFont="1" applyBorder="1" applyAlignment="1">
      <alignment horizontal="center" vertical="center" wrapText="1"/>
    </xf>
    <xf numFmtId="0" fontId="114" fillId="0" borderId="7" xfId="0" applyFont="1" applyBorder="1" applyAlignment="1">
      <alignment horizontal="center" vertical="center" wrapText="1"/>
    </xf>
    <xf numFmtId="0" fontId="114" fillId="0" borderId="145" xfId="0" applyFont="1" applyBorder="1" applyAlignment="1">
      <alignment horizontal="center" vertical="center" wrapText="1"/>
    </xf>
    <xf numFmtId="0" fontId="114" fillId="0" borderId="148" xfId="0" applyFont="1" applyBorder="1" applyAlignment="1">
      <alignment horizontal="center" vertical="center" wrapText="1"/>
    </xf>
    <xf numFmtId="0" fontId="114" fillId="0" borderId="147" xfId="0" applyFont="1" applyBorder="1" applyAlignment="1">
      <alignment horizontal="center" vertical="center" wrapText="1"/>
    </xf>
    <xf numFmtId="0" fontId="122" fillId="0" borderId="145" xfId="0" applyFont="1" applyFill="1" applyBorder="1" applyAlignment="1">
      <alignment horizontal="center" vertical="center"/>
    </xf>
    <xf numFmtId="0" fontId="116" fillId="0" borderId="144" xfId="0" applyFont="1" applyFill="1" applyBorder="1" applyAlignment="1">
      <alignment horizontal="center" vertical="center"/>
    </xf>
    <xf numFmtId="0" fontId="116" fillId="0" borderId="149" xfId="0" applyFont="1" applyFill="1" applyBorder="1" applyAlignment="1">
      <alignment horizontal="center" vertical="center"/>
    </xf>
    <xf numFmtId="0" fontId="116" fillId="0" borderId="52" xfId="0" applyFont="1" applyFill="1" applyBorder="1" applyAlignment="1">
      <alignment horizontal="center" vertical="center"/>
    </xf>
    <xf numFmtId="0" fontId="116" fillId="0" borderId="11" xfId="0" applyFont="1" applyFill="1" applyBorder="1" applyAlignment="1">
      <alignment horizontal="center" vertical="center"/>
    </xf>
    <xf numFmtId="0" fontId="117" fillId="0" borderId="145" xfId="0" applyFont="1" applyFill="1" applyBorder="1" applyAlignment="1">
      <alignment horizontal="center" vertical="center" wrapText="1"/>
    </xf>
    <xf numFmtId="0" fontId="117" fillId="0" borderId="144" xfId="0" applyFont="1" applyFill="1" applyBorder="1" applyAlignment="1">
      <alignment horizontal="center" vertical="center" wrapText="1"/>
    </xf>
    <xf numFmtId="0" fontId="117" fillId="0" borderId="149" xfId="0" applyFont="1" applyFill="1" applyBorder="1" applyAlignment="1">
      <alignment horizontal="center" vertical="center" wrapText="1"/>
    </xf>
    <xf numFmtId="0" fontId="117" fillId="0" borderId="126" xfId="0" applyFont="1" applyFill="1" applyBorder="1" applyAlignment="1">
      <alignment horizontal="center" vertical="center" wrapText="1"/>
    </xf>
    <xf numFmtId="0" fontId="117" fillId="0" borderId="127" xfId="0" applyFont="1" applyFill="1" applyBorder="1" applyAlignment="1">
      <alignment horizontal="center" vertical="center" wrapText="1"/>
    </xf>
    <xf numFmtId="0" fontId="117" fillId="0" borderId="52" xfId="0" applyFont="1" applyFill="1" applyBorder="1" applyAlignment="1">
      <alignment horizontal="center" vertical="center" wrapText="1"/>
    </xf>
    <xf numFmtId="0" fontId="117" fillId="0" borderId="11" xfId="0" applyFont="1" applyFill="1" applyBorder="1" applyAlignment="1">
      <alignment horizontal="center" vertical="center" wrapText="1"/>
    </xf>
    <xf numFmtId="0" fontId="114" fillId="0" borderId="148" xfId="0" applyFont="1" applyFill="1" applyBorder="1" applyAlignment="1">
      <alignment horizontal="center" vertical="center" wrapText="1"/>
    </xf>
    <xf numFmtId="0" fontId="114" fillId="0" borderId="150" xfId="0" applyFont="1" applyFill="1" applyBorder="1" applyAlignment="1">
      <alignment horizontal="center" vertical="center" wrapText="1"/>
    </xf>
    <xf numFmtId="0" fontId="117" fillId="0" borderId="128" xfId="0" applyFont="1" applyFill="1" applyBorder="1" applyAlignment="1">
      <alignment horizontal="center" vertical="center" wrapText="1"/>
    </xf>
    <xf numFmtId="0" fontId="117" fillId="0" borderId="7" xfId="0" applyFont="1" applyFill="1" applyBorder="1" applyAlignment="1">
      <alignment horizontal="center" vertical="center" wrapText="1"/>
    </xf>
    <xf numFmtId="0" fontId="114" fillId="0" borderId="128" xfId="0" applyFont="1" applyFill="1" applyBorder="1" applyAlignment="1">
      <alignment horizontal="center" vertical="center" wrapText="1"/>
    </xf>
    <xf numFmtId="0" fontId="114" fillId="0" borderId="144" xfId="0" applyFont="1" applyFill="1" applyBorder="1" applyAlignment="1">
      <alignment horizontal="center" vertical="center" wrapText="1"/>
    </xf>
    <xf numFmtId="0" fontId="114" fillId="0" borderId="143" xfId="0" applyFont="1" applyFill="1" applyBorder="1" applyAlignment="1">
      <alignment horizontal="center" vertical="center" wrapText="1"/>
    </xf>
    <xf numFmtId="0" fontId="114" fillId="0" borderId="149" xfId="0" applyFont="1" applyFill="1" applyBorder="1" applyAlignment="1">
      <alignment horizontal="center" vertical="center" wrapText="1"/>
    </xf>
    <xf numFmtId="0" fontId="114" fillId="0" borderId="11" xfId="0" applyFont="1" applyBorder="1" applyAlignment="1">
      <alignment horizontal="center" vertical="center" wrapText="1"/>
    </xf>
    <xf numFmtId="0" fontId="114" fillId="0" borderId="154" xfId="0" applyFont="1" applyBorder="1" applyAlignment="1">
      <alignment horizontal="center" vertical="center" wrapText="1"/>
    </xf>
    <xf numFmtId="0" fontId="114" fillId="0" borderId="53" xfId="0" applyFont="1" applyFill="1" applyBorder="1" applyAlignment="1">
      <alignment horizontal="center" vertical="center" wrapText="1"/>
    </xf>
    <xf numFmtId="0" fontId="114" fillId="0" borderId="54" xfId="0" applyFont="1" applyFill="1" applyBorder="1" applyAlignment="1">
      <alignment horizontal="center" vertical="center" wrapText="1"/>
    </xf>
    <xf numFmtId="0" fontId="114" fillId="0" borderId="103" xfId="0" applyFont="1" applyFill="1" applyBorder="1" applyAlignment="1">
      <alignment horizontal="center" vertical="center" wrapText="1"/>
    </xf>
    <xf numFmtId="0" fontId="117" fillId="0" borderId="53" xfId="0" applyNumberFormat="1" applyFont="1" applyFill="1" applyBorder="1" applyAlignment="1">
      <alignment horizontal="left" vertical="top" wrapText="1"/>
    </xf>
    <xf numFmtId="0" fontId="117" fillId="0" borderId="103" xfId="0" applyNumberFormat="1" applyFont="1" applyFill="1" applyBorder="1" applyAlignment="1">
      <alignment horizontal="left" vertical="top" wrapText="1"/>
    </xf>
    <xf numFmtId="0" fontId="117" fillId="0" borderId="61" xfId="0" applyNumberFormat="1" applyFont="1" applyFill="1" applyBorder="1" applyAlignment="1">
      <alignment horizontal="left" vertical="top" wrapText="1"/>
    </xf>
    <xf numFmtId="0" fontId="117" fillId="0" borderId="90" xfId="0" applyNumberFormat="1" applyFont="1" applyFill="1" applyBorder="1" applyAlignment="1">
      <alignment horizontal="left" vertical="top" wrapText="1"/>
    </xf>
    <xf numFmtId="0" fontId="117" fillId="0" borderId="117" xfId="0" applyNumberFormat="1" applyFont="1" applyFill="1" applyBorder="1" applyAlignment="1">
      <alignment horizontal="left" vertical="top" wrapText="1"/>
    </xf>
    <xf numFmtId="0" fontId="117" fillId="0" borderId="156" xfId="0" applyNumberFormat="1" applyFont="1" applyFill="1" applyBorder="1" applyAlignment="1">
      <alignment horizontal="left" vertical="top" wrapText="1"/>
    </xf>
    <xf numFmtId="0" fontId="114" fillId="0" borderId="146" xfId="0" applyFont="1" applyFill="1" applyBorder="1" applyAlignment="1">
      <alignment horizontal="center" vertical="center" wrapText="1"/>
    </xf>
    <xf numFmtId="0" fontId="117" fillId="0" borderId="157" xfId="0" applyFont="1" applyFill="1" applyBorder="1" applyAlignment="1">
      <alignment horizontal="center" vertical="center" wrapText="1"/>
    </xf>
    <xf numFmtId="0" fontId="117" fillId="0" borderId="67" xfId="0" applyFont="1" applyFill="1" applyBorder="1" applyAlignment="1">
      <alignment horizontal="center" vertical="center" wrapText="1"/>
    </xf>
    <xf numFmtId="0" fontId="114" fillId="0" borderId="144" xfId="0" applyFont="1" applyBorder="1" applyAlignment="1">
      <alignment horizontal="center" vertical="top" wrapText="1"/>
    </xf>
    <xf numFmtId="0" fontId="114" fillId="0" borderId="143" xfId="0" applyFont="1" applyBorder="1" applyAlignment="1">
      <alignment horizontal="center" vertical="top" wrapText="1"/>
    </xf>
    <xf numFmtId="0" fontId="114" fillId="0" borderId="144" xfId="0" applyFont="1" applyFill="1" applyBorder="1" applyAlignment="1">
      <alignment horizontal="center" vertical="top" wrapText="1"/>
    </xf>
    <xf numFmtId="0" fontId="114" fillId="0" borderId="150" xfId="0" applyFont="1" applyFill="1" applyBorder="1" applyAlignment="1">
      <alignment horizontal="center" vertical="top" wrapText="1"/>
    </xf>
    <xf numFmtId="0" fontId="114" fillId="0" borderId="147" xfId="0" applyFont="1" applyFill="1" applyBorder="1" applyAlignment="1">
      <alignment horizontal="center" vertical="top" wrapText="1"/>
    </xf>
    <xf numFmtId="0" fontId="103" fillId="0" borderId="129" xfId="0" applyNumberFormat="1" applyFont="1" applyFill="1" applyBorder="1" applyAlignment="1">
      <alignment horizontal="left" vertical="top" wrapText="1"/>
    </xf>
    <xf numFmtId="0" fontId="103" fillId="0" borderId="130" xfId="0" applyNumberFormat="1" applyFont="1" applyFill="1" applyBorder="1" applyAlignment="1">
      <alignment horizontal="left" vertical="top" wrapText="1"/>
    </xf>
    <xf numFmtId="0" fontId="120" fillId="0" borderId="145" xfId="0" applyFont="1" applyBorder="1" applyAlignment="1">
      <alignment horizontal="center" vertical="center"/>
    </xf>
    <xf numFmtId="0" fontId="119" fillId="0" borderId="145" xfId="0" applyFont="1" applyBorder="1" applyAlignment="1">
      <alignment horizontal="center" vertical="center" wrapText="1"/>
    </xf>
    <xf numFmtId="0" fontId="119" fillId="0" borderId="146" xfId="0" applyFont="1" applyBorder="1" applyAlignment="1">
      <alignment horizontal="center" vertical="center" wrapText="1"/>
    </xf>
    <xf numFmtId="0" fontId="103" fillId="76" borderId="148" xfId="0" applyFont="1" applyFill="1" applyBorder="1" applyAlignment="1">
      <alignment horizontal="center" vertical="center" wrapText="1"/>
    </xf>
    <xf numFmtId="0" fontId="103" fillId="76" borderId="147" xfId="0" applyFont="1" applyFill="1" applyBorder="1" applyAlignment="1">
      <alignment horizontal="center" vertical="center" wrapText="1"/>
    </xf>
    <xf numFmtId="0" fontId="104" fillId="0" borderId="148" xfId="0" applyFont="1" applyFill="1" applyBorder="1" applyAlignment="1">
      <alignment horizontal="left" vertical="center" wrapText="1"/>
    </xf>
    <xf numFmtId="0" fontId="104" fillId="0" borderId="147" xfId="0" applyFont="1" applyFill="1" applyBorder="1" applyAlignment="1">
      <alignment horizontal="left" vertical="center" wrapText="1"/>
    </xf>
    <xf numFmtId="0" fontId="104" fillId="0" borderId="148" xfId="13" applyFont="1" applyFill="1" applyBorder="1" applyAlignment="1" applyProtection="1">
      <alignment horizontal="left" vertical="top" wrapText="1"/>
      <protection locked="0"/>
    </xf>
    <xf numFmtId="0" fontId="104" fillId="0" borderId="147" xfId="13" applyFont="1" applyFill="1" applyBorder="1" applyAlignment="1" applyProtection="1">
      <alignment horizontal="left" vertical="top" wrapText="1"/>
      <protection locked="0"/>
    </xf>
    <xf numFmtId="0" fontId="104" fillId="0" borderId="148" xfId="0" applyNumberFormat="1" applyFont="1" applyFill="1" applyBorder="1" applyAlignment="1">
      <alignment horizontal="left" vertical="center" wrapText="1"/>
    </xf>
    <xf numFmtId="0" fontId="104" fillId="0" borderId="147" xfId="0" applyNumberFormat="1" applyFont="1" applyFill="1" applyBorder="1" applyAlignment="1">
      <alignment horizontal="left" vertical="center" wrapText="1"/>
    </xf>
    <xf numFmtId="0" fontId="104" fillId="0" borderId="148" xfId="0" applyNumberFormat="1" applyFont="1" applyFill="1" applyBorder="1" applyAlignment="1">
      <alignment horizontal="left" vertical="top" wrapText="1"/>
    </xf>
    <xf numFmtId="0" fontId="104" fillId="0" borderId="147" xfId="0" applyNumberFormat="1" applyFont="1" applyFill="1" applyBorder="1" applyAlignment="1">
      <alignment horizontal="left" vertical="top" wrapText="1"/>
    </xf>
    <xf numFmtId="49" fontId="104" fillId="0" borderId="0" xfId="0" applyNumberFormat="1" applyFont="1" applyFill="1" applyBorder="1" applyAlignment="1">
      <alignment horizontal="center" vertical="center"/>
    </xf>
    <xf numFmtId="0" fontId="104" fillId="0" borderId="145" xfId="0" applyFont="1" applyFill="1" applyBorder="1" applyAlignment="1">
      <alignment horizontal="left" vertical="top" wrapText="1"/>
    </xf>
    <xf numFmtId="0" fontId="104" fillId="0" borderId="148" xfId="0" applyFont="1" applyFill="1" applyBorder="1" applyAlignment="1">
      <alignment horizontal="left" vertical="top" wrapText="1"/>
    </xf>
    <xf numFmtId="0" fontId="104" fillId="0" borderId="145" xfId="0" applyFont="1" applyFill="1" applyBorder="1" applyAlignment="1">
      <alignment horizontal="left" vertical="center" wrapText="1"/>
    </xf>
    <xf numFmtId="0" fontId="103" fillId="76" borderId="145" xfId="0" applyFont="1" applyFill="1" applyBorder="1" applyAlignment="1">
      <alignment horizontal="center" vertical="center" wrapText="1"/>
    </xf>
    <xf numFmtId="0" fontId="104" fillId="0" borderId="145" xfId="0" applyNumberFormat="1" applyFont="1" applyFill="1" applyBorder="1" applyAlignment="1">
      <alignment horizontal="left" vertical="top" wrapText="1"/>
    </xf>
    <xf numFmtId="0" fontId="104" fillId="0" borderId="145" xfId="0" applyFont="1" applyBorder="1" applyAlignment="1">
      <alignment horizontal="center"/>
    </xf>
    <xf numFmtId="0" fontId="104" fillId="0" borderId="97" xfId="0" applyFont="1" applyFill="1" applyBorder="1" applyAlignment="1">
      <alignment horizontal="left" vertical="center" wrapText="1"/>
    </xf>
    <xf numFmtId="0" fontId="104" fillId="0" borderId="95" xfId="0" applyFont="1" applyFill="1" applyBorder="1" applyAlignment="1">
      <alignment horizontal="left" vertical="center" wrapText="1"/>
    </xf>
    <xf numFmtId="0" fontId="103" fillId="0" borderId="145" xfId="0" applyFont="1" applyFill="1" applyBorder="1" applyAlignment="1">
      <alignment horizontal="center" vertical="center"/>
    </xf>
    <xf numFmtId="0" fontId="104" fillId="3" borderId="148" xfId="13" applyFont="1" applyFill="1" applyBorder="1" applyAlignment="1" applyProtection="1">
      <alignment horizontal="left" vertical="top" wrapText="1"/>
      <protection locked="0"/>
    </xf>
    <xf numFmtId="0" fontId="104" fillId="3" borderId="147" xfId="13" applyFont="1" applyFill="1" applyBorder="1" applyAlignment="1" applyProtection="1">
      <alignment horizontal="left" vertical="top" wrapText="1"/>
      <protection locked="0"/>
    </xf>
    <xf numFmtId="0" fontId="103" fillId="0" borderId="83" xfId="0" applyFont="1" applyFill="1" applyBorder="1" applyAlignment="1">
      <alignment horizontal="center" vertical="center"/>
    </xf>
    <xf numFmtId="0" fontId="103" fillId="76" borderId="80" xfId="0" applyFont="1" applyFill="1" applyBorder="1" applyAlignment="1">
      <alignment horizontal="center" vertical="center" wrapText="1"/>
    </xf>
    <xf numFmtId="0" fontId="103" fillId="76" borderId="0" xfId="0" applyFont="1" applyFill="1" applyBorder="1" applyAlignment="1">
      <alignment horizontal="center" vertical="center" wrapText="1"/>
    </xf>
    <xf numFmtId="0" fontId="103" fillId="76" borderId="81" xfId="0" applyFont="1" applyFill="1" applyBorder="1" applyAlignment="1">
      <alignment horizontal="center" vertical="center" wrapText="1"/>
    </xf>
    <xf numFmtId="0" fontId="104" fillId="77" borderId="97" xfId="0" applyFont="1" applyFill="1" applyBorder="1" applyAlignment="1">
      <alignment vertical="center" wrapText="1"/>
    </xf>
    <xf numFmtId="0" fontId="104" fillId="77" borderId="95" xfId="0" applyFont="1" applyFill="1" applyBorder="1" applyAlignment="1">
      <alignment vertical="center" wrapText="1"/>
    </xf>
    <xf numFmtId="0" fontId="104" fillId="0" borderId="97" xfId="0" applyFont="1" applyFill="1" applyBorder="1" applyAlignment="1">
      <alignment vertical="center" wrapText="1"/>
    </xf>
    <xf numFmtId="0" fontId="104" fillId="0" borderId="95" xfId="0" applyFont="1" applyFill="1" applyBorder="1" applyAlignment="1">
      <alignment vertical="center" wrapText="1"/>
    </xf>
    <xf numFmtId="0" fontId="103" fillId="76" borderId="85" xfId="0" applyFont="1" applyFill="1" applyBorder="1" applyAlignment="1">
      <alignment horizontal="center" vertical="center"/>
    </xf>
    <xf numFmtId="0" fontId="103" fillId="76" borderId="86" xfId="0" applyFont="1" applyFill="1" applyBorder="1" applyAlignment="1">
      <alignment horizontal="center" vertical="center"/>
    </xf>
    <xf numFmtId="0" fontId="103" fillId="76" borderId="87" xfId="0" applyFont="1" applyFill="1" applyBorder="1" applyAlignment="1">
      <alignment horizontal="center" vertical="center"/>
    </xf>
    <xf numFmtId="0" fontId="104" fillId="3" borderId="97" xfId="0" applyFont="1" applyFill="1" applyBorder="1" applyAlignment="1">
      <alignment horizontal="left" vertical="center" wrapText="1"/>
    </xf>
    <xf numFmtId="0" fontId="104" fillId="3" borderId="95" xfId="0" applyFont="1" applyFill="1" applyBorder="1" applyAlignment="1">
      <alignment horizontal="left" vertical="center" wrapText="1"/>
    </xf>
    <xf numFmtId="0" fontId="104" fillId="0" borderId="75" xfId="0" applyFont="1" applyFill="1" applyBorder="1" applyAlignment="1">
      <alignment horizontal="left" vertical="center" wrapText="1"/>
    </xf>
    <xf numFmtId="0" fontId="104" fillId="0" borderId="76" xfId="0" applyFont="1" applyFill="1" applyBorder="1" applyAlignment="1">
      <alignment horizontal="left" vertical="center" wrapText="1"/>
    </xf>
    <xf numFmtId="0" fontId="103" fillId="76" borderId="71" xfId="0" applyFont="1" applyFill="1" applyBorder="1" applyAlignment="1">
      <alignment horizontal="center" vertical="center" wrapText="1"/>
    </xf>
    <xf numFmtId="0" fontId="103" fillId="76" borderId="72" xfId="0" applyFont="1" applyFill="1" applyBorder="1" applyAlignment="1">
      <alignment horizontal="center" vertical="center" wrapText="1"/>
    </xf>
    <xf numFmtId="0" fontId="103" fillId="76" borderId="73" xfId="0" applyFont="1" applyFill="1" applyBorder="1" applyAlignment="1">
      <alignment horizontal="center" vertical="center" wrapText="1"/>
    </xf>
    <xf numFmtId="0" fontId="104" fillId="0" borderId="52" xfId="0" applyFont="1" applyFill="1" applyBorder="1" applyAlignment="1">
      <alignment horizontal="left" vertical="center" wrapText="1"/>
    </xf>
    <xf numFmtId="0" fontId="104" fillId="0" borderId="11" xfId="0" applyFont="1" applyFill="1" applyBorder="1" applyAlignment="1">
      <alignment horizontal="left" vertical="center" wrapText="1"/>
    </xf>
    <xf numFmtId="0" fontId="104" fillId="82" borderId="97" xfId="0" applyFont="1" applyFill="1" applyBorder="1" applyAlignment="1">
      <alignment vertical="center" wrapText="1"/>
    </xf>
    <xf numFmtId="0" fontId="104" fillId="82" borderId="95" xfId="0" applyFont="1" applyFill="1" applyBorder="1" applyAlignment="1">
      <alignment vertical="center" wrapText="1"/>
    </xf>
    <xf numFmtId="0" fontId="104" fillId="82" borderId="138" xfId="0" applyFont="1" applyFill="1" applyBorder="1" applyAlignment="1">
      <alignment horizontal="left" vertical="center" wrapText="1"/>
    </xf>
    <xf numFmtId="0" fontId="104" fillId="82" borderId="139" xfId="0" applyFont="1" applyFill="1" applyBorder="1" applyAlignment="1">
      <alignment horizontal="left" vertical="center" wrapText="1"/>
    </xf>
    <xf numFmtId="0" fontId="104" fillId="82" borderId="140" xfId="0" applyFont="1" applyFill="1" applyBorder="1" applyAlignment="1">
      <alignment horizontal="left" vertical="center" wrapText="1"/>
    </xf>
    <xf numFmtId="0" fontId="104" fillId="3" borderId="75" xfId="0" applyFont="1" applyFill="1" applyBorder="1" applyAlignment="1">
      <alignment horizontal="left" vertical="center" wrapText="1"/>
    </xf>
    <xf numFmtId="0" fontId="104" fillId="3" borderId="76" xfId="0" applyFont="1" applyFill="1" applyBorder="1" applyAlignment="1">
      <alignment horizontal="left" vertical="center" wrapText="1"/>
    </xf>
    <xf numFmtId="0" fontId="104" fillId="82" borderId="78" xfId="0" applyFont="1" applyFill="1" applyBorder="1" applyAlignment="1">
      <alignment horizontal="left" vertical="center" wrapText="1"/>
    </xf>
    <xf numFmtId="0" fontId="104" fillId="82" borderId="79" xfId="0" applyFont="1" applyFill="1" applyBorder="1" applyAlignment="1">
      <alignment horizontal="left" vertical="center" wrapText="1"/>
    </xf>
    <xf numFmtId="0" fontId="104" fillId="82" borderId="52" xfId="0" applyFont="1" applyFill="1" applyBorder="1" applyAlignment="1">
      <alignment vertical="center" wrapText="1"/>
    </xf>
    <xf numFmtId="0" fontId="104" fillId="82" borderId="11" xfId="0" applyFont="1" applyFill="1" applyBorder="1" applyAlignment="1">
      <alignment vertical="center" wrapText="1"/>
    </xf>
    <xf numFmtId="0" fontId="104" fillId="3" borderId="97" xfId="0" applyFont="1" applyFill="1" applyBorder="1" applyAlignment="1">
      <alignment vertical="center" wrapText="1"/>
    </xf>
    <xf numFmtId="0" fontId="104" fillId="3" borderId="95" xfId="0" applyFont="1" applyFill="1" applyBorder="1" applyAlignment="1">
      <alignment vertical="center" wrapText="1"/>
    </xf>
    <xf numFmtId="0" fontId="103" fillId="0" borderId="68" xfId="0" applyFont="1" applyFill="1" applyBorder="1" applyAlignment="1">
      <alignment horizontal="center" vertical="center"/>
    </xf>
    <xf numFmtId="0" fontId="103" fillId="0" borderId="69" xfId="0" applyFont="1" applyFill="1" applyBorder="1" applyAlignment="1">
      <alignment horizontal="center" vertical="center"/>
    </xf>
    <xf numFmtId="0" fontId="103" fillId="0" borderId="70" xfId="0" applyFont="1" applyFill="1" applyBorder="1" applyAlignment="1">
      <alignment horizontal="center" vertical="center"/>
    </xf>
    <xf numFmtId="0" fontId="104" fillId="0" borderId="96" xfId="0" applyFont="1" applyFill="1" applyBorder="1" applyAlignment="1">
      <alignment horizontal="left" vertical="center" wrapText="1"/>
    </xf>
    <xf numFmtId="0" fontId="124" fillId="3" borderId="97" xfId="0" applyFont="1" applyFill="1" applyBorder="1" applyAlignment="1">
      <alignment vertical="center" wrapText="1"/>
    </xf>
    <xf numFmtId="0" fontId="124" fillId="3" borderId="95" xfId="0" applyFont="1" applyFill="1" applyBorder="1" applyAlignment="1">
      <alignment vertical="center" wrapText="1"/>
    </xf>
    <xf numFmtId="0" fontId="104" fillId="0" borderId="97" xfId="0" applyFont="1" applyFill="1" applyBorder="1" applyAlignment="1">
      <alignment horizontal="left"/>
    </xf>
    <xf numFmtId="0" fontId="104" fillId="0" borderId="95" xfId="0" applyFont="1" applyFill="1" applyBorder="1" applyAlignment="1">
      <alignment horizontal="left"/>
    </xf>
  </cellXfs>
  <cellStyles count="21415">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23" xfId="21414"/>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showGridLines="0" tabSelected="1" zoomScale="85" zoomScaleNormal="85" workbookViewId="0">
      <pane xSplit="1" ySplit="7" topLeftCell="B8" activePane="bottomRight" state="frozen"/>
      <selection pane="topRight" activeCell="B1" sqref="B1"/>
      <selection pane="bottomLeft" activeCell="A8" sqref="A8"/>
      <selection pane="bottomRight" activeCell="B1" sqref="B1"/>
    </sheetView>
  </sheetViews>
  <sheetFormatPr defaultRowHeight="15"/>
  <cols>
    <col min="1" max="1" width="10.28515625" style="2" customWidth="1"/>
    <col min="2" max="2" width="153" bestFit="1" customWidth="1"/>
    <col min="3" max="3" width="39.42578125" customWidth="1"/>
    <col min="7" max="7" width="25" customWidth="1"/>
  </cols>
  <sheetData>
    <row r="1" spans="1:3" ht="15.75">
      <c r="A1" s="9"/>
      <c r="B1" s="127" t="s">
        <v>159</v>
      </c>
      <c r="C1" s="55"/>
    </row>
    <row r="2" spans="1:3" s="124" customFormat="1" ht="15.75">
      <c r="A2" s="168">
        <v>1</v>
      </c>
      <c r="B2" s="125" t="s">
        <v>160</v>
      </c>
      <c r="C2" s="634" t="s">
        <v>959</v>
      </c>
    </row>
    <row r="3" spans="1:3" s="124" customFormat="1" ht="15.75">
      <c r="A3" s="168">
        <v>2</v>
      </c>
      <c r="B3" s="126" t="s">
        <v>161</v>
      </c>
      <c r="C3" s="634" t="s">
        <v>960</v>
      </c>
    </row>
    <row r="4" spans="1:3" s="124" customFormat="1" ht="15.75">
      <c r="A4" s="168">
        <v>3</v>
      </c>
      <c r="B4" s="126" t="s">
        <v>162</v>
      </c>
      <c r="C4" s="634" t="s">
        <v>961</v>
      </c>
    </row>
    <row r="5" spans="1:3" s="124" customFormat="1" ht="15.75">
      <c r="A5" s="169">
        <v>4</v>
      </c>
      <c r="B5" s="129" t="s">
        <v>163</v>
      </c>
      <c r="C5" s="635" t="s">
        <v>962</v>
      </c>
    </row>
    <row r="6" spans="1:3" s="128" customFormat="1" ht="65.25" customHeight="1">
      <c r="A6" s="830" t="s">
        <v>321</v>
      </c>
      <c r="B6" s="831"/>
      <c r="C6" s="831"/>
    </row>
    <row r="7" spans="1:3">
      <c r="A7" s="265" t="s">
        <v>251</v>
      </c>
      <c r="B7" s="266" t="s">
        <v>164</v>
      </c>
    </row>
    <row r="8" spans="1:3">
      <c r="A8" s="267">
        <v>1</v>
      </c>
      <c r="B8" s="263" t="s">
        <v>139</v>
      </c>
    </row>
    <row r="9" spans="1:3">
      <c r="A9" s="267">
        <v>2</v>
      </c>
      <c r="B9" s="263" t="s">
        <v>165</v>
      </c>
    </row>
    <row r="10" spans="1:3">
      <c r="A10" s="267">
        <v>3</v>
      </c>
      <c r="B10" s="263" t="s">
        <v>166</v>
      </c>
    </row>
    <row r="11" spans="1:3">
      <c r="A11" s="267">
        <v>4</v>
      </c>
      <c r="B11" s="263" t="s">
        <v>167</v>
      </c>
      <c r="C11" s="123"/>
    </row>
    <row r="12" spans="1:3">
      <c r="A12" s="267">
        <v>5</v>
      </c>
      <c r="B12" s="263" t="s">
        <v>107</v>
      </c>
    </row>
    <row r="13" spans="1:3">
      <c r="A13" s="267">
        <v>6</v>
      </c>
      <c r="B13" s="268" t="s">
        <v>91</v>
      </c>
    </row>
    <row r="14" spans="1:3">
      <c r="A14" s="267">
        <v>7</v>
      </c>
      <c r="B14" s="263" t="s">
        <v>168</v>
      </c>
    </row>
    <row r="15" spans="1:3">
      <c r="A15" s="267">
        <v>8</v>
      </c>
      <c r="B15" s="263" t="s">
        <v>171</v>
      </c>
    </row>
    <row r="16" spans="1:3">
      <c r="A16" s="267">
        <v>9</v>
      </c>
      <c r="B16" s="263" t="s">
        <v>85</v>
      </c>
    </row>
    <row r="17" spans="1:2">
      <c r="A17" s="269" t="s">
        <v>378</v>
      </c>
      <c r="B17" s="263" t="s">
        <v>358</v>
      </c>
    </row>
    <row r="18" spans="1:2">
      <c r="A18" s="267">
        <v>10</v>
      </c>
      <c r="B18" s="263" t="s">
        <v>172</v>
      </c>
    </row>
    <row r="19" spans="1:2">
      <c r="A19" s="267">
        <v>11</v>
      </c>
      <c r="B19" s="268" t="s">
        <v>155</v>
      </c>
    </row>
    <row r="20" spans="1:2">
      <c r="A20" s="267">
        <v>12</v>
      </c>
      <c r="B20" s="268" t="s">
        <v>152</v>
      </c>
    </row>
    <row r="21" spans="1:2">
      <c r="A21" s="267">
        <v>13</v>
      </c>
      <c r="B21" s="270" t="s">
        <v>297</v>
      </c>
    </row>
    <row r="22" spans="1:2">
      <c r="A22" s="267">
        <v>14</v>
      </c>
      <c r="B22" s="263" t="s">
        <v>351</v>
      </c>
    </row>
    <row r="23" spans="1:2">
      <c r="A23" s="271">
        <v>15</v>
      </c>
      <c r="B23" s="263" t="s">
        <v>74</v>
      </c>
    </row>
    <row r="24" spans="1:2">
      <c r="A24" s="271">
        <v>15.1</v>
      </c>
      <c r="B24" s="263" t="s">
        <v>387</v>
      </c>
    </row>
    <row r="25" spans="1:2">
      <c r="A25" s="271">
        <v>16</v>
      </c>
      <c r="B25" s="263" t="s">
        <v>453</v>
      </c>
    </row>
    <row r="26" spans="1:2">
      <c r="A26" s="271">
        <v>17</v>
      </c>
      <c r="B26" s="263" t="s">
        <v>677</v>
      </c>
    </row>
    <row r="27" spans="1:2">
      <c r="A27" s="271">
        <v>18</v>
      </c>
      <c r="B27" s="263" t="s">
        <v>938</v>
      </c>
    </row>
    <row r="28" spans="1:2">
      <c r="A28" s="271">
        <v>19</v>
      </c>
      <c r="B28" s="263" t="s">
        <v>939</v>
      </c>
    </row>
    <row r="29" spans="1:2">
      <c r="A29" s="271">
        <v>20</v>
      </c>
      <c r="B29" s="263" t="s">
        <v>940</v>
      </c>
    </row>
    <row r="30" spans="1:2">
      <c r="A30" s="271">
        <v>21</v>
      </c>
      <c r="B30" s="263" t="s">
        <v>546</v>
      </c>
    </row>
    <row r="31" spans="1:2">
      <c r="A31" s="271">
        <v>22</v>
      </c>
      <c r="B31" s="263" t="s">
        <v>941</v>
      </c>
    </row>
    <row r="32" spans="1:2" ht="25.5">
      <c r="A32" s="271">
        <v>23</v>
      </c>
      <c r="B32" s="630" t="s">
        <v>937</v>
      </c>
    </row>
    <row r="33" spans="1:2">
      <c r="A33" s="271">
        <v>24</v>
      </c>
      <c r="B33" s="263" t="s">
        <v>942</v>
      </c>
    </row>
    <row r="34" spans="1:2">
      <c r="A34" s="271">
        <v>25</v>
      </c>
      <c r="B34" s="263" t="s">
        <v>943</v>
      </c>
    </row>
    <row r="35" spans="1:2">
      <c r="A35" s="267">
        <v>26</v>
      </c>
      <c r="B35" s="263" t="s">
        <v>723</v>
      </c>
    </row>
  </sheetData>
  <mergeCells count="1">
    <mergeCell ref="A6:C6"/>
  </mergeCells>
  <hyperlinks>
    <hyperlink ref="B8" location="'1. key ratios'!A1" display="ცხრილი 1: ძირითადი მაჩვენებლები"/>
    <hyperlink ref="B9" location="'2. SOFP'!A1" display="საბალანსო უწყისი"/>
    <hyperlink ref="B10" location="'3. SOPL'!A1" display="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6"/>
  <sheetViews>
    <sheetView showGridLines="0" zoomScaleNormal="100" workbookViewId="0">
      <pane xSplit="1" ySplit="5" topLeftCell="B6" activePane="bottomRight" state="frozen"/>
      <selection pane="topRight" activeCell="B1" sqref="B1"/>
      <selection pane="bottomLeft" activeCell="A5" sqref="A5"/>
      <selection pane="bottomRight" activeCell="B4" sqref="B4"/>
    </sheetView>
  </sheetViews>
  <sheetFormatPr defaultRowHeight="15"/>
  <cols>
    <col min="1" max="1" width="9.5703125" style="5" bestFit="1" customWidth="1"/>
    <col min="2" max="2" width="132.42578125" style="2" customWidth="1"/>
    <col min="3" max="3" width="18.42578125" style="2" customWidth="1"/>
  </cols>
  <sheetData>
    <row r="1" spans="1:6" ht="15.75">
      <c r="A1" s="17" t="s">
        <v>108</v>
      </c>
      <c r="B1" s="636" t="str">
        <f>'1. key ratios'!B1</f>
        <v>სს იშბანკი საქართველო</v>
      </c>
      <c r="D1" s="2"/>
      <c r="E1" s="2"/>
      <c r="F1" s="2"/>
    </row>
    <row r="2" spans="1:6" s="21" customFormat="1" ht="15.75" customHeight="1">
      <c r="A2" s="21" t="s">
        <v>109</v>
      </c>
      <c r="B2" s="637">
        <f>'1. key ratios'!B2</f>
        <v>45016</v>
      </c>
    </row>
    <row r="3" spans="1:6" s="21" customFormat="1" ht="15.75" customHeight="1"/>
    <row r="4" spans="1:6" ht="15.75" thickBot="1">
      <c r="A4" s="5" t="s">
        <v>257</v>
      </c>
      <c r="B4" s="30" t="s">
        <v>85</v>
      </c>
    </row>
    <row r="5" spans="1:6">
      <c r="A5" s="88" t="s">
        <v>25</v>
      </c>
      <c r="B5" s="89"/>
      <c r="C5" s="90" t="s">
        <v>26</v>
      </c>
    </row>
    <row r="6" spans="1:6">
      <c r="A6" s="91">
        <v>1</v>
      </c>
      <c r="B6" s="51" t="s">
        <v>27</v>
      </c>
      <c r="C6" s="175">
        <f>SUM(C7:C11)</f>
        <v>121673908.25732723</v>
      </c>
    </row>
    <row r="7" spans="1:6">
      <c r="A7" s="91">
        <v>2</v>
      </c>
      <c r="B7" s="48" t="s">
        <v>28</v>
      </c>
      <c r="C7" s="176">
        <f>'2. SOFP'!E55</f>
        <v>69161600</v>
      </c>
    </row>
    <row r="8" spans="1:6">
      <c r="A8" s="91">
        <v>3</v>
      </c>
      <c r="B8" s="42" t="s">
        <v>29</v>
      </c>
      <c r="C8" s="176"/>
    </row>
    <row r="9" spans="1:6">
      <c r="A9" s="91">
        <v>4</v>
      </c>
      <c r="B9" s="42" t="s">
        <v>30</v>
      </c>
      <c r="C9" s="176"/>
    </row>
    <row r="10" spans="1:6">
      <c r="A10" s="91">
        <v>5</v>
      </c>
      <c r="B10" s="42" t="s">
        <v>31</v>
      </c>
      <c r="C10" s="176"/>
    </row>
    <row r="11" spans="1:6">
      <c r="A11" s="91">
        <v>6</v>
      </c>
      <c r="B11" s="49" t="s">
        <v>32</v>
      </c>
      <c r="C11" s="176">
        <f>'2. SOFP'!E67</f>
        <v>52512308.257327221</v>
      </c>
    </row>
    <row r="12" spans="1:6" s="4" customFormat="1">
      <c r="A12" s="91">
        <v>7</v>
      </c>
      <c r="B12" s="51" t="s">
        <v>33</v>
      </c>
      <c r="C12" s="177">
        <f>SUM(C13:C28)</f>
        <v>200414.37000000002</v>
      </c>
    </row>
    <row r="13" spans="1:6" s="4" customFormat="1">
      <c r="A13" s="91">
        <v>8</v>
      </c>
      <c r="B13" s="50" t="s">
        <v>34</v>
      </c>
      <c r="C13" s="178"/>
    </row>
    <row r="14" spans="1:6" s="4" customFormat="1" ht="25.5">
      <c r="A14" s="91">
        <v>9</v>
      </c>
      <c r="B14" s="43" t="s">
        <v>35</v>
      </c>
      <c r="C14" s="178"/>
    </row>
    <row r="15" spans="1:6" s="4" customFormat="1">
      <c r="A15" s="91">
        <v>10</v>
      </c>
      <c r="B15" s="44" t="s">
        <v>36</v>
      </c>
      <c r="C15" s="178">
        <f>'2. SOFP'!E27</f>
        <v>200414.37000000002</v>
      </c>
    </row>
    <row r="16" spans="1:6" s="4" customFormat="1">
      <c r="A16" s="91">
        <v>11</v>
      </c>
      <c r="B16" s="45" t="s">
        <v>37</v>
      </c>
      <c r="C16" s="178"/>
    </row>
    <row r="17" spans="1:3" s="4" customFormat="1">
      <c r="A17" s="91">
        <v>12</v>
      </c>
      <c r="B17" s="44" t="s">
        <v>38</v>
      </c>
      <c r="C17" s="178"/>
    </row>
    <row r="18" spans="1:3" s="4" customFormat="1">
      <c r="A18" s="91">
        <v>13</v>
      </c>
      <c r="B18" s="44" t="s">
        <v>39</v>
      </c>
      <c r="C18" s="178"/>
    </row>
    <row r="19" spans="1:3" s="4" customFormat="1">
      <c r="A19" s="91">
        <v>14</v>
      </c>
      <c r="B19" s="44" t="s">
        <v>40</v>
      </c>
      <c r="C19" s="178"/>
    </row>
    <row r="20" spans="1:3" s="4" customFormat="1" ht="25.5">
      <c r="A20" s="91">
        <v>15</v>
      </c>
      <c r="B20" s="44" t="s">
        <v>41</v>
      </c>
      <c r="C20" s="178"/>
    </row>
    <row r="21" spans="1:3" s="4" customFormat="1" ht="25.5">
      <c r="A21" s="91">
        <v>16</v>
      </c>
      <c r="B21" s="43" t="s">
        <v>42</v>
      </c>
      <c r="C21" s="178"/>
    </row>
    <row r="22" spans="1:3" s="4" customFormat="1">
      <c r="A22" s="91">
        <v>17</v>
      </c>
      <c r="B22" s="92" t="s">
        <v>43</v>
      </c>
      <c r="C22" s="178"/>
    </row>
    <row r="23" spans="1:3" s="4" customFormat="1">
      <c r="A23" s="91">
        <v>18</v>
      </c>
      <c r="B23" s="631" t="s">
        <v>726</v>
      </c>
      <c r="C23" s="407"/>
    </row>
    <row r="24" spans="1:3" s="4" customFormat="1" ht="25.5">
      <c r="A24" s="91">
        <v>19</v>
      </c>
      <c r="B24" s="43" t="s">
        <v>44</v>
      </c>
      <c r="C24" s="178"/>
    </row>
    <row r="25" spans="1:3" s="4" customFormat="1" ht="25.5">
      <c r="A25" s="91">
        <v>20</v>
      </c>
      <c r="B25" s="43" t="s">
        <v>45</v>
      </c>
      <c r="C25" s="178"/>
    </row>
    <row r="26" spans="1:3" s="4" customFormat="1" ht="25.5">
      <c r="A26" s="91">
        <v>21</v>
      </c>
      <c r="B26" s="46" t="s">
        <v>46</v>
      </c>
      <c r="C26" s="178"/>
    </row>
    <row r="27" spans="1:3" s="4" customFormat="1">
      <c r="A27" s="91">
        <v>22</v>
      </c>
      <c r="B27" s="46" t="s">
        <v>47</v>
      </c>
      <c r="C27" s="178"/>
    </row>
    <row r="28" spans="1:3" s="4" customFormat="1" ht="25.5">
      <c r="A28" s="91">
        <v>23</v>
      </c>
      <c r="B28" s="46" t="s">
        <v>48</v>
      </c>
      <c r="C28" s="178"/>
    </row>
    <row r="29" spans="1:3" s="4" customFormat="1">
      <c r="A29" s="91">
        <v>24</v>
      </c>
      <c r="B29" s="52" t="s">
        <v>22</v>
      </c>
      <c r="C29" s="177">
        <f>C6-C12</f>
        <v>121473493.88732722</v>
      </c>
    </row>
    <row r="30" spans="1:3" s="4" customFormat="1">
      <c r="A30" s="93"/>
      <c r="B30" s="47"/>
      <c r="C30" s="178"/>
    </row>
    <row r="31" spans="1:3" s="4" customFormat="1">
      <c r="A31" s="93">
        <v>25</v>
      </c>
      <c r="B31" s="52" t="s">
        <v>49</v>
      </c>
      <c r="C31" s="177">
        <f>C32+C35</f>
        <v>0</v>
      </c>
    </row>
    <row r="32" spans="1:3" s="4" customFormat="1">
      <c r="A32" s="93">
        <v>26</v>
      </c>
      <c r="B32" s="42" t="s">
        <v>50</v>
      </c>
      <c r="C32" s="179">
        <f>C33+C34</f>
        <v>0</v>
      </c>
    </row>
    <row r="33" spans="1:3" s="4" customFormat="1">
      <c r="A33" s="93">
        <v>27</v>
      </c>
      <c r="B33" s="121" t="s">
        <v>51</v>
      </c>
      <c r="C33" s="178"/>
    </row>
    <row r="34" spans="1:3" s="4" customFormat="1">
      <c r="A34" s="93">
        <v>28</v>
      </c>
      <c r="B34" s="121" t="s">
        <v>52</v>
      </c>
      <c r="C34" s="178"/>
    </row>
    <row r="35" spans="1:3" s="4" customFormat="1">
      <c r="A35" s="93">
        <v>29</v>
      </c>
      <c r="B35" s="42" t="s">
        <v>53</v>
      </c>
      <c r="C35" s="178"/>
    </row>
    <row r="36" spans="1:3" s="4" customFormat="1">
      <c r="A36" s="93">
        <v>30</v>
      </c>
      <c r="B36" s="52" t="s">
        <v>54</v>
      </c>
      <c r="C36" s="177">
        <f>SUM(C37:C41)</f>
        <v>0</v>
      </c>
    </row>
    <row r="37" spans="1:3" s="4" customFormat="1">
      <c r="A37" s="93">
        <v>31</v>
      </c>
      <c r="B37" s="43" t="s">
        <v>55</v>
      </c>
      <c r="C37" s="178"/>
    </row>
    <row r="38" spans="1:3" s="4" customFormat="1">
      <c r="A38" s="93">
        <v>32</v>
      </c>
      <c r="B38" s="44" t="s">
        <v>56</v>
      </c>
      <c r="C38" s="178"/>
    </row>
    <row r="39" spans="1:3" s="4" customFormat="1" ht="25.5">
      <c r="A39" s="93">
        <v>33</v>
      </c>
      <c r="B39" s="43" t="s">
        <v>57</v>
      </c>
      <c r="C39" s="178"/>
    </row>
    <row r="40" spans="1:3" s="4" customFormat="1" ht="25.5">
      <c r="A40" s="93">
        <v>34</v>
      </c>
      <c r="B40" s="43" t="s">
        <v>45</v>
      </c>
      <c r="C40" s="178"/>
    </row>
    <row r="41" spans="1:3" s="4" customFormat="1" ht="25.5">
      <c r="A41" s="93">
        <v>35</v>
      </c>
      <c r="B41" s="46" t="s">
        <v>58</v>
      </c>
      <c r="C41" s="178"/>
    </row>
    <row r="42" spans="1:3" s="4" customFormat="1">
      <c r="A42" s="93">
        <v>36</v>
      </c>
      <c r="B42" s="52" t="s">
        <v>23</v>
      </c>
      <c r="C42" s="177">
        <f>C31-C36</f>
        <v>0</v>
      </c>
    </row>
    <row r="43" spans="1:3" s="4" customFormat="1">
      <c r="A43" s="93"/>
      <c r="B43" s="47"/>
      <c r="C43" s="178"/>
    </row>
    <row r="44" spans="1:3" s="4" customFormat="1">
      <c r="A44" s="93">
        <v>37</v>
      </c>
      <c r="B44" s="53" t="s">
        <v>59</v>
      </c>
      <c r="C44" s="177">
        <f>SUM(C45:C47)</f>
        <v>0</v>
      </c>
    </row>
    <row r="45" spans="1:3" s="4" customFormat="1">
      <c r="A45" s="93">
        <v>38</v>
      </c>
      <c r="B45" s="42" t="s">
        <v>60</v>
      </c>
      <c r="C45" s="178"/>
    </row>
    <row r="46" spans="1:3" s="4" customFormat="1">
      <c r="A46" s="93">
        <v>39</v>
      </c>
      <c r="B46" s="42" t="s">
        <v>61</v>
      </c>
      <c r="C46" s="178"/>
    </row>
    <row r="47" spans="1:3" s="4" customFormat="1">
      <c r="A47" s="93">
        <v>40</v>
      </c>
      <c r="B47" s="632" t="s">
        <v>725</v>
      </c>
      <c r="C47" s="178"/>
    </row>
    <row r="48" spans="1:3" s="4" customFormat="1">
      <c r="A48" s="93">
        <v>41</v>
      </c>
      <c r="B48" s="53" t="s">
        <v>62</v>
      </c>
      <c r="C48" s="177">
        <f>SUM(C49:C52)</f>
        <v>0</v>
      </c>
    </row>
    <row r="49" spans="1:3" s="4" customFormat="1">
      <c r="A49" s="93">
        <v>42</v>
      </c>
      <c r="B49" s="43" t="s">
        <v>63</v>
      </c>
      <c r="C49" s="178"/>
    </row>
    <row r="50" spans="1:3" s="4" customFormat="1">
      <c r="A50" s="93">
        <v>43</v>
      </c>
      <c r="B50" s="44" t="s">
        <v>64</v>
      </c>
      <c r="C50" s="178"/>
    </row>
    <row r="51" spans="1:3" s="4" customFormat="1" ht="25.5">
      <c r="A51" s="93">
        <v>44</v>
      </c>
      <c r="B51" s="43" t="s">
        <v>65</v>
      </c>
      <c r="C51" s="178"/>
    </row>
    <row r="52" spans="1:3" s="4" customFormat="1" ht="25.5">
      <c r="A52" s="93">
        <v>45</v>
      </c>
      <c r="B52" s="43" t="s">
        <v>45</v>
      </c>
      <c r="C52" s="178"/>
    </row>
    <row r="53" spans="1:3" s="4" customFormat="1" ht="15.75" thickBot="1">
      <c r="A53" s="93">
        <v>46</v>
      </c>
      <c r="B53" s="94" t="s">
        <v>24</v>
      </c>
      <c r="C53" s="180">
        <f>C44-C48</f>
        <v>0</v>
      </c>
    </row>
    <row r="56" spans="1:3">
      <c r="B56" s="2" t="s">
        <v>141</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showGridLines="0" workbookViewId="0">
      <selection activeCell="B1" sqref="B1:B2"/>
    </sheetView>
  </sheetViews>
  <sheetFormatPr defaultColWidth="9.140625" defaultRowHeight="12.75"/>
  <cols>
    <col min="1" max="1" width="10.85546875" style="222" bestFit="1" customWidth="1"/>
    <col min="2" max="2" width="59" style="222" customWidth="1"/>
    <col min="3" max="3" width="16.7109375" style="222" bestFit="1" customWidth="1"/>
    <col min="4" max="4" width="13.140625" style="222" bestFit="1" customWidth="1"/>
    <col min="5" max="16384" width="9.140625" style="222"/>
  </cols>
  <sheetData>
    <row r="1" spans="1:4" ht="15">
      <c r="A1" s="17" t="s">
        <v>108</v>
      </c>
      <c r="B1" s="636" t="str">
        <f>'1. key ratios'!B1</f>
        <v>სს იშბანკი საქართველო</v>
      </c>
    </row>
    <row r="2" spans="1:4" s="21" customFormat="1" ht="15.75" customHeight="1">
      <c r="A2" s="21" t="s">
        <v>109</v>
      </c>
      <c r="B2" s="637">
        <f>'1. key ratios'!B2</f>
        <v>45016</v>
      </c>
    </row>
    <row r="3" spans="1:4" s="21" customFormat="1" ht="15.75" customHeight="1"/>
    <row r="4" spans="1:4" ht="13.5" thickBot="1">
      <c r="A4" s="223" t="s">
        <v>357</v>
      </c>
      <c r="B4" s="252" t="s">
        <v>358</v>
      </c>
    </row>
    <row r="5" spans="1:4" s="253" customFormat="1">
      <c r="A5" s="866" t="s">
        <v>359</v>
      </c>
      <c r="B5" s="867"/>
      <c r="C5" s="242" t="s">
        <v>360</v>
      </c>
      <c r="D5" s="243" t="s">
        <v>361</v>
      </c>
    </row>
    <row r="6" spans="1:4" s="254" customFormat="1">
      <c r="A6" s="244">
        <v>1</v>
      </c>
      <c r="B6" s="245" t="s">
        <v>362</v>
      </c>
      <c r="C6" s="245"/>
      <c r="D6" s="246"/>
    </row>
    <row r="7" spans="1:4" s="254" customFormat="1">
      <c r="A7" s="247" t="s">
        <v>363</v>
      </c>
      <c r="B7" s="248" t="s">
        <v>364</v>
      </c>
      <c r="C7" s="299">
        <v>4.4999999999999998E-2</v>
      </c>
      <c r="D7" s="713">
        <f>C7*'5. RWA'!$C$13</f>
        <v>20965636.467471614</v>
      </c>
    </row>
    <row r="8" spans="1:4" s="254" customFormat="1">
      <c r="A8" s="247" t="s">
        <v>365</v>
      </c>
      <c r="B8" s="248" t="s">
        <v>366</v>
      </c>
      <c r="C8" s="300">
        <v>0.06</v>
      </c>
      <c r="D8" s="713">
        <f>C8*'5. RWA'!$C$13</f>
        <v>27954181.956628818</v>
      </c>
    </row>
    <row r="9" spans="1:4" s="254" customFormat="1">
      <c r="A9" s="247" t="s">
        <v>367</v>
      </c>
      <c r="B9" s="248" t="s">
        <v>368</v>
      </c>
      <c r="C9" s="300">
        <v>0.08</v>
      </c>
      <c r="D9" s="713">
        <f>C9*'5. RWA'!$C$13</f>
        <v>37272242.608838424</v>
      </c>
    </row>
    <row r="10" spans="1:4" s="254" customFormat="1">
      <c r="A10" s="244" t="s">
        <v>369</v>
      </c>
      <c r="B10" s="245" t="s">
        <v>370</v>
      </c>
      <c r="C10" s="301"/>
      <c r="D10" s="714"/>
    </row>
    <row r="11" spans="1:4" s="255" customFormat="1">
      <c r="A11" s="249" t="s">
        <v>371</v>
      </c>
      <c r="B11" s="250" t="s">
        <v>433</v>
      </c>
      <c r="C11" s="712">
        <v>7.4999999999999997E-3</v>
      </c>
      <c r="D11" s="715">
        <f>C11*'5. RWA'!$C$13</f>
        <v>3494272.7445786023</v>
      </c>
    </row>
    <row r="12" spans="1:4" s="255" customFormat="1">
      <c r="A12" s="249" t="s">
        <v>372</v>
      </c>
      <c r="B12" s="250" t="s">
        <v>373</v>
      </c>
      <c r="C12" s="712">
        <v>0</v>
      </c>
      <c r="D12" s="715">
        <f>C12*'5. RWA'!$C$13</f>
        <v>0</v>
      </c>
    </row>
    <row r="13" spans="1:4" s="255" customFormat="1">
      <c r="A13" s="249" t="s">
        <v>374</v>
      </c>
      <c r="B13" s="250" t="s">
        <v>375</v>
      </c>
      <c r="C13" s="302"/>
      <c r="D13" s="715">
        <f>C13*'5. RWA'!$C$13</f>
        <v>0</v>
      </c>
    </row>
    <row r="14" spans="1:4" s="254" customFormat="1">
      <c r="A14" s="244" t="s">
        <v>376</v>
      </c>
      <c r="B14" s="245" t="s">
        <v>431</v>
      </c>
      <c r="C14" s="303"/>
      <c r="D14" s="714"/>
    </row>
    <row r="15" spans="1:4" s="254" customFormat="1">
      <c r="A15" s="264" t="s">
        <v>379</v>
      </c>
      <c r="B15" s="250" t="s">
        <v>432</v>
      </c>
      <c r="C15" s="712">
        <v>6.4733475984024097E-2</v>
      </c>
      <c r="D15" s="715">
        <f>C15*'5. RWA'!$C$13</f>
        <v>30159522.772374522</v>
      </c>
    </row>
    <row r="16" spans="1:4" s="254" customFormat="1">
      <c r="A16" s="264" t="s">
        <v>380</v>
      </c>
      <c r="B16" s="250" t="s">
        <v>382</v>
      </c>
      <c r="C16" s="712">
        <v>8.2667599375503609E-2</v>
      </c>
      <c r="D16" s="715">
        <f>C16*'5. RWA'!$C$13</f>
        <v>38515085.247675382</v>
      </c>
    </row>
    <row r="17" spans="1:6" s="254" customFormat="1">
      <c r="A17" s="264" t="s">
        <v>381</v>
      </c>
      <c r="B17" s="250" t="s">
        <v>429</v>
      </c>
      <c r="C17" s="712">
        <v>0.10626513015376618</v>
      </c>
      <c r="D17" s="715">
        <f>C17*'5. RWA'!$C$13</f>
        <v>49509246.399387062</v>
      </c>
    </row>
    <row r="18" spans="1:6" s="253" customFormat="1">
      <c r="A18" s="868" t="s">
        <v>430</v>
      </c>
      <c r="B18" s="869"/>
      <c r="C18" s="304" t="s">
        <v>360</v>
      </c>
      <c r="D18" s="298" t="s">
        <v>361</v>
      </c>
    </row>
    <row r="19" spans="1:6" s="254" customFormat="1">
      <c r="A19" s="251">
        <v>4</v>
      </c>
      <c r="B19" s="250" t="s">
        <v>22</v>
      </c>
      <c r="C19" s="302">
        <f>C7+C11+C12+C13+C15</f>
        <v>0.11723347598402409</v>
      </c>
      <c r="D19" s="713">
        <f>C19*'5. RWA'!$C$13</f>
        <v>54619431.984424733</v>
      </c>
    </row>
    <row r="20" spans="1:6" s="254" customFormat="1">
      <c r="A20" s="251">
        <v>5</v>
      </c>
      <c r="B20" s="250" t="s">
        <v>86</v>
      </c>
      <c r="C20" s="302">
        <f>C8+C11+C12+C13+C16</f>
        <v>0.15016759937550361</v>
      </c>
      <c r="D20" s="713">
        <f>C20*'5. RWA'!$C$13</f>
        <v>69963539.948882803</v>
      </c>
    </row>
    <row r="21" spans="1:6" s="254" customFormat="1" ht="13.5" thickBot="1">
      <c r="A21" s="256" t="s">
        <v>377</v>
      </c>
      <c r="B21" s="257" t="s">
        <v>85</v>
      </c>
      <c r="C21" s="305">
        <f>C9+C11+C12+C13+C17</f>
        <v>0.19376513015376617</v>
      </c>
      <c r="D21" s="716">
        <f>C21*'5. RWA'!$C$13</f>
        <v>90275761.752804086</v>
      </c>
    </row>
    <row r="22" spans="1:6">
      <c r="F22" s="223"/>
    </row>
    <row r="23" spans="1:6" ht="63.75">
      <c r="B23" s="23" t="s">
        <v>434</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8"/>
  <sheetViews>
    <sheetView showGridLines="0" zoomScale="80" zoomScaleNormal="80" workbookViewId="0">
      <pane xSplit="1" ySplit="5" topLeftCell="B6" activePane="bottomRight" state="frozen"/>
      <selection pane="topRight" activeCell="B1" sqref="B1"/>
      <selection pane="bottomLeft" activeCell="A5" sqref="A5"/>
      <selection pane="bottomRight" activeCell="B1" sqref="B1:B2"/>
    </sheetView>
  </sheetViews>
  <sheetFormatPr defaultRowHeight="15.75"/>
  <cols>
    <col min="1" max="1" width="10.7109375" style="39" customWidth="1"/>
    <col min="2" max="2" width="91.85546875" style="39" customWidth="1"/>
    <col min="3" max="3" width="53.140625" style="39" customWidth="1"/>
    <col min="4" max="4" width="32.28515625" style="39" customWidth="1"/>
    <col min="5" max="5" width="9.42578125" customWidth="1"/>
  </cols>
  <sheetData>
    <row r="1" spans="1:6">
      <c r="A1" s="17" t="s">
        <v>108</v>
      </c>
      <c r="B1" s="636" t="str">
        <f>'1. key ratios'!B1</f>
        <v>სს იშბანკი საქართველო</v>
      </c>
      <c r="E1" s="2"/>
      <c r="F1" s="2"/>
    </row>
    <row r="2" spans="1:6" s="21" customFormat="1" ht="15.75" customHeight="1">
      <c r="A2" s="21" t="s">
        <v>109</v>
      </c>
      <c r="B2" s="637">
        <f>'1. key ratios'!B2</f>
        <v>45016</v>
      </c>
    </row>
    <row r="3" spans="1:6" s="21" customFormat="1" ht="15.75" customHeight="1">
      <c r="A3" s="26"/>
    </row>
    <row r="4" spans="1:6" s="21" customFormat="1" ht="15.75" customHeight="1" thickBot="1">
      <c r="A4" s="21" t="s">
        <v>258</v>
      </c>
      <c r="B4" s="144" t="s">
        <v>172</v>
      </c>
      <c r="D4" s="146" t="s">
        <v>87</v>
      </c>
    </row>
    <row r="5" spans="1:6" ht="25.5">
      <c r="A5" s="95" t="s">
        <v>25</v>
      </c>
      <c r="B5" s="96" t="s">
        <v>144</v>
      </c>
      <c r="C5" s="97" t="s">
        <v>858</v>
      </c>
      <c r="D5" s="145" t="s">
        <v>173</v>
      </c>
    </row>
    <row r="6" spans="1:6" ht="15">
      <c r="A6" s="456">
        <v>1</v>
      </c>
      <c r="B6" s="410" t="s">
        <v>843</v>
      </c>
      <c r="C6" s="717">
        <f>SUM(C7:C9)</f>
        <v>119414026.2415123</v>
      </c>
      <c r="D6" s="718"/>
      <c r="E6" s="7"/>
    </row>
    <row r="7" spans="1:6" ht="15">
      <c r="A7" s="456">
        <v>1.1000000000000001</v>
      </c>
      <c r="B7" s="411" t="s">
        <v>96</v>
      </c>
      <c r="C7" s="719">
        <f>'7. LI1'!C9</f>
        <v>2880754.8200000003</v>
      </c>
      <c r="D7" s="720"/>
      <c r="E7" s="7"/>
    </row>
    <row r="8" spans="1:6" ht="15">
      <c r="A8" s="456">
        <v>1.2</v>
      </c>
      <c r="B8" s="411" t="s">
        <v>97</v>
      </c>
      <c r="C8" s="719">
        <f>'7. LI1'!C10</f>
        <v>42788938.292609908</v>
      </c>
      <c r="D8" s="720"/>
      <c r="E8" s="7"/>
    </row>
    <row r="9" spans="1:6" ht="15">
      <c r="A9" s="456">
        <v>1.3</v>
      </c>
      <c r="B9" s="411" t="s">
        <v>98</v>
      </c>
      <c r="C9" s="719">
        <f>'7. LI1'!C11</f>
        <v>73744333.128902391</v>
      </c>
      <c r="D9" s="721"/>
      <c r="E9" s="7"/>
    </row>
    <row r="10" spans="1:6" ht="15">
      <c r="A10" s="456">
        <v>2</v>
      </c>
      <c r="B10" s="412" t="s">
        <v>730</v>
      </c>
      <c r="C10" s="722">
        <f>C11</f>
        <v>0</v>
      </c>
      <c r="D10" s="721"/>
      <c r="E10" s="7"/>
    </row>
    <row r="11" spans="1:6" ht="15">
      <c r="A11" s="456">
        <v>2.1</v>
      </c>
      <c r="B11" s="413" t="s">
        <v>731</v>
      </c>
      <c r="C11" s="719">
        <f>'7. LI1'!C13</f>
        <v>0</v>
      </c>
      <c r="D11" s="723"/>
      <c r="E11" s="8"/>
    </row>
    <row r="12" spans="1:6" ht="23.45" customHeight="1">
      <c r="A12" s="456">
        <v>3</v>
      </c>
      <c r="B12" s="414" t="s">
        <v>732</v>
      </c>
      <c r="C12" s="719">
        <f>'7. LI1'!C14</f>
        <v>0</v>
      </c>
      <c r="D12" s="723"/>
      <c r="E12" s="8"/>
    </row>
    <row r="13" spans="1:6" ht="23.1" customHeight="1">
      <c r="A13" s="456">
        <v>4</v>
      </c>
      <c r="B13" s="415" t="s">
        <v>733</v>
      </c>
      <c r="C13" s="719">
        <f>'7. LI1'!C15</f>
        <v>0</v>
      </c>
      <c r="D13" s="723"/>
      <c r="E13" s="8"/>
    </row>
    <row r="14" spans="1:6" ht="15">
      <c r="A14" s="456">
        <v>5</v>
      </c>
      <c r="B14" s="415" t="s">
        <v>734</v>
      </c>
      <c r="C14" s="724">
        <f>SUM(C15:C17)</f>
        <v>1422190.4432785469</v>
      </c>
      <c r="D14" s="723"/>
      <c r="E14" s="8"/>
    </row>
    <row r="15" spans="1:6" ht="15">
      <c r="A15" s="456">
        <v>5.0999999999999996</v>
      </c>
      <c r="B15" s="416" t="s">
        <v>735</v>
      </c>
      <c r="C15" s="719">
        <f>'7. LI1'!C17</f>
        <v>0</v>
      </c>
      <c r="D15" s="723"/>
      <c r="E15" s="7"/>
    </row>
    <row r="16" spans="1:6" ht="15">
      <c r="A16" s="456">
        <v>5.2</v>
      </c>
      <c r="B16" s="416" t="s">
        <v>569</v>
      </c>
      <c r="C16" s="719">
        <f>'7. LI1'!C18</f>
        <v>1422190.4432785469</v>
      </c>
      <c r="D16" s="721"/>
      <c r="E16" s="7"/>
    </row>
    <row r="17" spans="1:5" ht="15">
      <c r="A17" s="456">
        <v>5.3</v>
      </c>
      <c r="B17" s="416" t="s">
        <v>736</v>
      </c>
      <c r="C17" s="719">
        <f>'7. LI1'!C19</f>
        <v>0</v>
      </c>
      <c r="D17" s="721"/>
      <c r="E17" s="7"/>
    </row>
    <row r="18" spans="1:5" ht="15">
      <c r="A18" s="456">
        <v>6</v>
      </c>
      <c r="B18" s="414" t="s">
        <v>737</v>
      </c>
      <c r="C18" s="725">
        <f>SUM(C19:C20)</f>
        <v>300605841.32773679</v>
      </c>
      <c r="D18" s="721"/>
      <c r="E18" s="7"/>
    </row>
    <row r="19" spans="1:5" ht="15">
      <c r="A19" s="456">
        <v>6.1</v>
      </c>
      <c r="B19" s="416" t="s">
        <v>569</v>
      </c>
      <c r="C19" s="719">
        <f>'7. LI1'!C21</f>
        <v>0</v>
      </c>
      <c r="D19" s="721"/>
      <c r="E19" s="7"/>
    </row>
    <row r="20" spans="1:5" ht="15">
      <c r="A20" s="456">
        <v>6.2</v>
      </c>
      <c r="B20" s="416" t="s">
        <v>736</v>
      </c>
      <c r="C20" s="719">
        <f>'7. LI1'!C22</f>
        <v>300605841.32773679</v>
      </c>
      <c r="D20" s="721"/>
      <c r="E20" s="7"/>
    </row>
    <row r="21" spans="1:5" ht="15">
      <c r="A21" s="456">
        <v>7</v>
      </c>
      <c r="B21" s="417" t="s">
        <v>738</v>
      </c>
      <c r="C21" s="719">
        <f>'7. LI1'!C23</f>
        <v>0</v>
      </c>
      <c r="D21" s="721"/>
      <c r="E21" s="7"/>
    </row>
    <row r="22" spans="1:5" ht="15">
      <c r="A22" s="456">
        <v>8</v>
      </c>
      <c r="B22" s="418" t="s">
        <v>739</v>
      </c>
      <c r="C22" s="719">
        <f>'7. LI1'!C24</f>
        <v>0</v>
      </c>
      <c r="D22" s="721"/>
      <c r="E22" s="7"/>
    </row>
    <row r="23" spans="1:5" ht="15">
      <c r="A23" s="456">
        <v>9</v>
      </c>
      <c r="B23" s="415" t="s">
        <v>740</v>
      </c>
      <c r="C23" s="725">
        <f>SUM(C24:C25)</f>
        <v>6433233.8899999978</v>
      </c>
      <c r="D23" s="726"/>
      <c r="E23" s="7"/>
    </row>
    <row r="24" spans="1:5" ht="15">
      <c r="A24" s="456">
        <v>9.1</v>
      </c>
      <c r="B24" s="419" t="s">
        <v>741</v>
      </c>
      <c r="C24" s="719">
        <f>'7. LI1'!C26</f>
        <v>6433233.8899999978</v>
      </c>
      <c r="D24" s="727"/>
      <c r="E24" s="7"/>
    </row>
    <row r="25" spans="1:5" ht="15">
      <c r="A25" s="456">
        <v>9.1999999999999993</v>
      </c>
      <c r="B25" s="419" t="s">
        <v>742</v>
      </c>
      <c r="C25" s="719">
        <f>'7. LI1'!C27</f>
        <v>0</v>
      </c>
      <c r="D25" s="728"/>
      <c r="E25" s="6"/>
    </row>
    <row r="26" spans="1:5">
      <c r="A26" s="456">
        <v>10</v>
      </c>
      <c r="B26" s="415" t="s">
        <v>36</v>
      </c>
      <c r="C26" s="729">
        <f>SUM(C27:C28)</f>
        <v>200414.37000000002</v>
      </c>
      <c r="D26" s="730" t="s">
        <v>981</v>
      </c>
      <c r="E26" s="7"/>
    </row>
    <row r="27" spans="1:5" ht="15">
      <c r="A27" s="456">
        <v>10.1</v>
      </c>
      <c r="B27" s="419" t="s">
        <v>743</v>
      </c>
      <c r="C27" s="719">
        <f>'7. LI1'!C29</f>
        <v>0</v>
      </c>
      <c r="D27" s="720"/>
      <c r="E27" s="7"/>
    </row>
    <row r="28" spans="1:5" ht="15">
      <c r="A28" s="456">
        <v>10.199999999999999</v>
      </c>
      <c r="B28" s="419" t="s">
        <v>744</v>
      </c>
      <c r="C28" s="719">
        <f>'7. LI1'!C30</f>
        <v>200414.37000000002</v>
      </c>
      <c r="D28" s="720"/>
      <c r="E28" s="7"/>
    </row>
    <row r="29" spans="1:5" ht="15">
      <c r="A29" s="456">
        <v>11</v>
      </c>
      <c r="B29" s="415" t="s">
        <v>745</v>
      </c>
      <c r="C29" s="722">
        <f>SUM(C30:C31)</f>
        <v>1748352</v>
      </c>
      <c r="D29" s="720"/>
      <c r="E29" s="7"/>
    </row>
    <row r="30" spans="1:5" ht="15">
      <c r="A30" s="456">
        <v>11.1</v>
      </c>
      <c r="B30" s="419" t="s">
        <v>746</v>
      </c>
      <c r="C30" s="719">
        <f>'7. LI1'!C32</f>
        <v>1748352</v>
      </c>
      <c r="D30" s="720"/>
      <c r="E30" s="7"/>
    </row>
    <row r="31" spans="1:5" ht="15">
      <c r="A31" s="456">
        <v>11.2</v>
      </c>
      <c r="B31" s="419" t="s">
        <v>747</v>
      </c>
      <c r="C31" s="719">
        <f>'7. LI1'!C33</f>
        <v>0</v>
      </c>
      <c r="D31" s="720"/>
      <c r="E31" s="7"/>
    </row>
    <row r="32" spans="1:5" ht="15">
      <c r="A32" s="456">
        <v>13</v>
      </c>
      <c r="B32" s="415" t="s">
        <v>99</v>
      </c>
      <c r="C32" s="719">
        <f>'7. LI1'!C34</f>
        <v>3296362.7706485195</v>
      </c>
      <c r="D32" s="720"/>
      <c r="E32" s="7"/>
    </row>
    <row r="33" spans="1:5" ht="15">
      <c r="A33" s="456">
        <v>13.1</v>
      </c>
      <c r="B33" s="420" t="s">
        <v>748</v>
      </c>
      <c r="C33" s="719">
        <f>'7. LI1'!C35</f>
        <v>1349093.18</v>
      </c>
      <c r="D33" s="720"/>
      <c r="E33" s="7"/>
    </row>
    <row r="34" spans="1:5" ht="15">
      <c r="A34" s="456">
        <v>13.2</v>
      </c>
      <c r="B34" s="420" t="s">
        <v>749</v>
      </c>
      <c r="C34" s="719">
        <f>'7. LI1'!C36</f>
        <v>0</v>
      </c>
      <c r="D34" s="731"/>
      <c r="E34" s="7"/>
    </row>
    <row r="35" spans="1:5" ht="15">
      <c r="A35" s="456">
        <v>14</v>
      </c>
      <c r="B35" s="421" t="s">
        <v>750</v>
      </c>
      <c r="C35" s="732">
        <f>SUM(C6,C10,C12,C13,C14,C18,C21,C22,C23,C26,C29,C32)</f>
        <v>433120421.04317617</v>
      </c>
      <c r="D35" s="731"/>
      <c r="E35" s="7"/>
    </row>
    <row r="36" spans="1:5" ht="15">
      <c r="A36" s="456"/>
      <c r="B36" s="422" t="s">
        <v>104</v>
      </c>
      <c r="C36" s="733"/>
      <c r="D36" s="734"/>
      <c r="E36" s="7"/>
    </row>
    <row r="37" spans="1:5" ht="15">
      <c r="A37" s="456">
        <v>15</v>
      </c>
      <c r="B37" s="423" t="s">
        <v>751</v>
      </c>
      <c r="C37" s="735">
        <f>C38</f>
        <v>0</v>
      </c>
      <c r="D37" s="728"/>
      <c r="E37" s="6"/>
    </row>
    <row r="38" spans="1:5" ht="15">
      <c r="A38" s="456">
        <v>15.1</v>
      </c>
      <c r="B38" s="426" t="s">
        <v>731</v>
      </c>
      <c r="C38" s="736">
        <f>'2. SOFP'!E39</f>
        <v>0</v>
      </c>
      <c r="D38" s="720"/>
      <c r="E38" s="7"/>
    </row>
    <row r="39" spans="1:5" ht="21">
      <c r="A39" s="456">
        <v>16</v>
      </c>
      <c r="B39" s="417" t="s">
        <v>752</v>
      </c>
      <c r="C39" s="736">
        <f>'2. SOFP'!E40</f>
        <v>0</v>
      </c>
      <c r="D39" s="720"/>
      <c r="E39" s="7"/>
    </row>
    <row r="40" spans="1:5" ht="15">
      <c r="A40" s="456">
        <v>17</v>
      </c>
      <c r="B40" s="417" t="s">
        <v>753</v>
      </c>
      <c r="C40" s="722">
        <f>SUM(C41:C44)</f>
        <v>306658845.71999997</v>
      </c>
      <c r="D40" s="720"/>
      <c r="E40" s="7"/>
    </row>
    <row r="41" spans="1:5" ht="15">
      <c r="A41" s="456">
        <v>17.100000000000001</v>
      </c>
      <c r="B41" s="427" t="s">
        <v>754</v>
      </c>
      <c r="C41" s="736">
        <f>'2. SOFP'!E42</f>
        <v>248017595.07999995</v>
      </c>
      <c r="D41" s="720"/>
      <c r="E41" s="7"/>
    </row>
    <row r="42" spans="1:5" ht="15">
      <c r="A42" s="470">
        <v>17.2</v>
      </c>
      <c r="B42" s="471" t="s">
        <v>100</v>
      </c>
      <c r="C42" s="736">
        <f>'2. SOFP'!E43</f>
        <v>53766384.670000002</v>
      </c>
      <c r="D42" s="720"/>
      <c r="E42" s="7"/>
    </row>
    <row r="43" spans="1:5" ht="15">
      <c r="A43" s="456">
        <v>17.3</v>
      </c>
      <c r="B43" s="472" t="s">
        <v>755</v>
      </c>
      <c r="C43" s="736">
        <f>'2. SOFP'!E44</f>
        <v>0</v>
      </c>
      <c r="D43" s="731"/>
      <c r="E43" s="7"/>
    </row>
    <row r="44" spans="1:5" ht="15">
      <c r="A44" s="456">
        <v>17.399999999999999</v>
      </c>
      <c r="B44" s="472" t="s">
        <v>756</v>
      </c>
      <c r="C44" s="736">
        <f>'2. SOFP'!E45</f>
        <v>4874865.97</v>
      </c>
      <c r="D44" s="738"/>
      <c r="E44" s="7"/>
    </row>
    <row r="45" spans="1:5" ht="15">
      <c r="A45" s="456">
        <v>18</v>
      </c>
      <c r="B45" s="473" t="s">
        <v>757</v>
      </c>
      <c r="C45" s="736">
        <f>'2. SOFP'!E46</f>
        <v>400682.58869108884</v>
      </c>
      <c r="D45" s="739"/>
      <c r="E45" s="6"/>
    </row>
    <row r="46" spans="1:5" ht="15">
      <c r="A46" s="456">
        <v>19</v>
      </c>
      <c r="B46" s="473" t="s">
        <v>758</v>
      </c>
      <c r="C46" s="737">
        <f>SUM(C47:C48)</f>
        <v>2311576.29</v>
      </c>
      <c r="D46" s="740"/>
    </row>
    <row r="47" spans="1:5" ht="15">
      <c r="A47" s="456">
        <v>19.100000000000001</v>
      </c>
      <c r="B47" s="474" t="s">
        <v>759</v>
      </c>
      <c r="C47" s="736">
        <f>'2. SOFP'!E48</f>
        <v>2311576.29</v>
      </c>
      <c r="D47" s="740"/>
    </row>
    <row r="48" spans="1:5" ht="15">
      <c r="A48" s="456">
        <v>19.2</v>
      </c>
      <c r="B48" s="474" t="s">
        <v>760</v>
      </c>
      <c r="C48" s="736">
        <f>'2. SOFP'!E49</f>
        <v>0</v>
      </c>
      <c r="D48" s="740"/>
    </row>
    <row r="49" spans="1:4" ht="15">
      <c r="A49" s="456">
        <v>20</v>
      </c>
      <c r="B49" s="432" t="s">
        <v>101</v>
      </c>
      <c r="C49" s="736">
        <f>'2. SOFP'!E50</f>
        <v>0</v>
      </c>
      <c r="D49" s="740"/>
    </row>
    <row r="50" spans="1:4" ht="15">
      <c r="A50" s="456">
        <v>21</v>
      </c>
      <c r="B50" s="433" t="s">
        <v>89</v>
      </c>
      <c r="C50" s="736">
        <f>'2. SOFP'!E51</f>
        <v>2075407.6600000001</v>
      </c>
      <c r="D50" s="740"/>
    </row>
    <row r="51" spans="1:4" ht="15">
      <c r="A51" s="456">
        <v>21.1</v>
      </c>
      <c r="B51" s="428" t="s">
        <v>761</v>
      </c>
      <c r="C51" s="736">
        <f>'2. SOFP'!E52</f>
        <v>0</v>
      </c>
      <c r="D51" s="740"/>
    </row>
    <row r="52" spans="1:4" ht="15">
      <c r="A52" s="456">
        <v>22</v>
      </c>
      <c r="B52" s="432" t="s">
        <v>762</v>
      </c>
      <c r="C52" s="732">
        <f>SUM(C37,C39,C40,C45,C46,C49,C50)</f>
        <v>311446512.25869113</v>
      </c>
      <c r="D52" s="740"/>
    </row>
    <row r="53" spans="1:4" ht="15">
      <c r="A53" s="456"/>
      <c r="B53" s="434" t="s">
        <v>763</v>
      </c>
      <c r="C53" s="741"/>
      <c r="D53" s="740"/>
    </row>
    <row r="54" spans="1:4">
      <c r="A54" s="456">
        <v>23</v>
      </c>
      <c r="B54" s="432" t="s">
        <v>105</v>
      </c>
      <c r="C54" s="736">
        <f>'2. SOFP'!E55</f>
        <v>69161600</v>
      </c>
      <c r="D54" s="730" t="s">
        <v>982</v>
      </c>
    </row>
    <row r="55" spans="1:4" ht="15">
      <c r="A55" s="456">
        <v>24</v>
      </c>
      <c r="B55" s="432" t="s">
        <v>764</v>
      </c>
      <c r="C55" s="736">
        <f>'2. SOFP'!E56</f>
        <v>0</v>
      </c>
      <c r="D55" s="740"/>
    </row>
    <row r="56" spans="1:4" ht="15">
      <c r="A56" s="456">
        <v>25</v>
      </c>
      <c r="B56" s="435" t="s">
        <v>102</v>
      </c>
      <c r="C56" s="736">
        <f>'2. SOFP'!E57</f>
        <v>0</v>
      </c>
      <c r="D56" s="740"/>
    </row>
    <row r="57" spans="1:4" ht="15">
      <c r="A57" s="456">
        <v>26</v>
      </c>
      <c r="B57" s="473" t="s">
        <v>765</v>
      </c>
      <c r="C57" s="736">
        <f>'2. SOFP'!E58</f>
        <v>0</v>
      </c>
      <c r="D57" s="740"/>
    </row>
    <row r="58" spans="1:4" ht="15">
      <c r="A58" s="456">
        <v>27</v>
      </c>
      <c r="B58" s="473" t="s">
        <v>766</v>
      </c>
      <c r="C58" s="742">
        <f>SUM(C59:C60)</f>
        <v>0</v>
      </c>
      <c r="D58" s="740"/>
    </row>
    <row r="59" spans="1:4" ht="15">
      <c r="A59" s="456">
        <v>27.1</v>
      </c>
      <c r="B59" s="475" t="s">
        <v>767</v>
      </c>
      <c r="C59" s="736">
        <f>'2. SOFP'!E60</f>
        <v>0</v>
      </c>
      <c r="D59" s="740"/>
    </row>
    <row r="60" spans="1:4" ht="15">
      <c r="A60" s="456">
        <v>27.2</v>
      </c>
      <c r="B60" s="472" t="s">
        <v>768</v>
      </c>
      <c r="C60" s="736">
        <f>'2. SOFP'!E61</f>
        <v>0</v>
      </c>
      <c r="D60" s="740"/>
    </row>
    <row r="61" spans="1:4" ht="15">
      <c r="A61" s="456">
        <v>28</v>
      </c>
      <c r="B61" s="433" t="s">
        <v>769</v>
      </c>
      <c r="C61" s="736">
        <f>'2. SOFP'!E62</f>
        <v>0</v>
      </c>
      <c r="D61" s="740"/>
    </row>
    <row r="62" spans="1:4" ht="15">
      <c r="A62" s="456">
        <v>29</v>
      </c>
      <c r="B62" s="473" t="s">
        <v>770</v>
      </c>
      <c r="C62" s="742">
        <f>SUM(C63:C65)</f>
        <v>0</v>
      </c>
      <c r="D62" s="740"/>
    </row>
    <row r="63" spans="1:4" ht="15">
      <c r="A63" s="456">
        <v>29.1</v>
      </c>
      <c r="B63" s="476" t="s">
        <v>771</v>
      </c>
      <c r="C63" s="736">
        <f>'2. SOFP'!E64</f>
        <v>0</v>
      </c>
      <c r="D63" s="740"/>
    </row>
    <row r="64" spans="1:4" ht="24" customHeight="1">
      <c r="A64" s="456">
        <v>29.2</v>
      </c>
      <c r="B64" s="475" t="s">
        <v>772</v>
      </c>
      <c r="C64" s="736">
        <f>'2. SOFP'!E65</f>
        <v>0</v>
      </c>
      <c r="D64" s="740"/>
    </row>
    <row r="65" spans="1:4" ht="21.95" customHeight="1">
      <c r="A65" s="456">
        <v>29.3</v>
      </c>
      <c r="B65" s="477" t="s">
        <v>773</v>
      </c>
      <c r="C65" s="736">
        <f>'2. SOFP'!E66</f>
        <v>0</v>
      </c>
      <c r="D65" s="740"/>
    </row>
    <row r="66" spans="1:4">
      <c r="A66" s="456">
        <v>30</v>
      </c>
      <c r="B66" s="438" t="s">
        <v>103</v>
      </c>
      <c r="C66" s="736">
        <f>'2. SOFP'!E67</f>
        <v>52512308.257327221</v>
      </c>
      <c r="D66" s="730" t="s">
        <v>983</v>
      </c>
    </row>
    <row r="67" spans="1:4" ht="15">
      <c r="A67" s="456">
        <v>31</v>
      </c>
      <c r="B67" s="437" t="s">
        <v>774</v>
      </c>
      <c r="C67" s="732">
        <f>SUM(C54,C55,C56,C57,C58,C61,C62,C66)</f>
        <v>121673908.25732723</v>
      </c>
      <c r="D67" s="740"/>
    </row>
    <row r="68" spans="1:4" thickBot="1">
      <c r="A68" s="456">
        <v>32</v>
      </c>
      <c r="B68" s="438" t="s">
        <v>775</v>
      </c>
      <c r="C68" s="743">
        <f>SUM(C52,C67)</f>
        <v>433120420.51601839</v>
      </c>
      <c r="D68" s="74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showGridLines="0" workbookViewId="0">
      <pane xSplit="2" ySplit="7" topLeftCell="L8" activePane="bottomRight" state="frozen"/>
      <selection pane="topRight" activeCell="C1" sqref="C1"/>
      <selection pane="bottomLeft" activeCell="A8" sqref="A8"/>
      <selection pane="bottomRight" activeCell="B1" sqref="B1:B2"/>
    </sheetView>
  </sheetViews>
  <sheetFormatPr defaultColWidth="9.140625" defaultRowHeight="12.75"/>
  <cols>
    <col min="1" max="1" width="10.5703125" style="2" bestFit="1" customWidth="1"/>
    <col min="2" max="2" width="97" style="2" bestFit="1" customWidth="1"/>
    <col min="3" max="3" width="12.85546875" style="2" bestFit="1" customWidth="1"/>
    <col min="4" max="4" width="13.42578125" style="2" bestFit="1" customWidth="1"/>
    <col min="5" max="5" width="12.85546875" style="2" bestFit="1" customWidth="1"/>
    <col min="6" max="6" width="13.42578125" style="2" bestFit="1" customWidth="1"/>
    <col min="7" max="7" width="9.5703125" style="2" bestFit="1" customWidth="1"/>
    <col min="8" max="8" width="13.42578125" style="2" bestFit="1" customWidth="1"/>
    <col min="9" max="9" width="14" style="2" bestFit="1" customWidth="1"/>
    <col min="10" max="10" width="13.42578125" style="2" bestFit="1" customWidth="1"/>
    <col min="11" max="11" width="9.5703125" style="2" bestFit="1" customWidth="1"/>
    <col min="12" max="12" width="13.42578125" style="2" bestFit="1" customWidth="1"/>
    <col min="13" max="13" width="15" style="2" bestFit="1" customWidth="1"/>
    <col min="14" max="14" width="14" style="2" bestFit="1" customWidth="1"/>
    <col min="15" max="15" width="9.5703125" style="2" bestFit="1" customWidth="1"/>
    <col min="16" max="16" width="13.42578125" style="2" bestFit="1" customWidth="1"/>
    <col min="17" max="17" width="9.5703125" style="2" bestFit="1" customWidth="1"/>
    <col min="18" max="18" width="13.42578125" style="2" bestFit="1" customWidth="1"/>
    <col min="19" max="19" width="31.7109375" style="2" bestFit="1" customWidth="1"/>
    <col min="20" max="16384" width="9.140625" style="12"/>
  </cols>
  <sheetData>
    <row r="1" spans="1:19">
      <c r="A1" s="2" t="s">
        <v>108</v>
      </c>
      <c r="B1" s="636" t="str">
        <f>'1. key ratios'!B1</f>
        <v>სს იშბანკი საქართველო</v>
      </c>
    </row>
    <row r="2" spans="1:19">
      <c r="A2" s="2" t="s">
        <v>109</v>
      </c>
      <c r="B2" s="637">
        <f>'1. key ratios'!B2</f>
        <v>45016</v>
      </c>
    </row>
    <row r="4" spans="1:19" ht="26.25" thickBot="1">
      <c r="A4" s="38" t="s">
        <v>259</v>
      </c>
      <c r="B4" s="195" t="s">
        <v>294</v>
      </c>
    </row>
    <row r="5" spans="1:19">
      <c r="A5" s="85"/>
      <c r="B5" s="87"/>
      <c r="C5" s="79" t="s">
        <v>0</v>
      </c>
      <c r="D5" s="79" t="s">
        <v>1</v>
      </c>
      <c r="E5" s="79" t="s">
        <v>2</v>
      </c>
      <c r="F5" s="79" t="s">
        <v>3</v>
      </c>
      <c r="G5" s="79" t="s">
        <v>4</v>
      </c>
      <c r="H5" s="79" t="s">
        <v>5</v>
      </c>
      <c r="I5" s="79" t="s">
        <v>145</v>
      </c>
      <c r="J5" s="79" t="s">
        <v>146</v>
      </c>
      <c r="K5" s="79" t="s">
        <v>147</v>
      </c>
      <c r="L5" s="79" t="s">
        <v>148</v>
      </c>
      <c r="M5" s="79" t="s">
        <v>149</v>
      </c>
      <c r="N5" s="79" t="s">
        <v>150</v>
      </c>
      <c r="O5" s="79" t="s">
        <v>281</v>
      </c>
      <c r="P5" s="79" t="s">
        <v>282</v>
      </c>
      <c r="Q5" s="79" t="s">
        <v>283</v>
      </c>
      <c r="R5" s="190" t="s">
        <v>284</v>
      </c>
      <c r="S5" s="80" t="s">
        <v>285</v>
      </c>
    </row>
    <row r="6" spans="1:19" ht="46.5" customHeight="1">
      <c r="A6" s="99"/>
      <c r="B6" s="874" t="s">
        <v>286</v>
      </c>
      <c r="C6" s="872">
        <v>0</v>
      </c>
      <c r="D6" s="873"/>
      <c r="E6" s="872">
        <v>0.2</v>
      </c>
      <c r="F6" s="873"/>
      <c r="G6" s="872">
        <v>0.35</v>
      </c>
      <c r="H6" s="873"/>
      <c r="I6" s="872">
        <v>0.5</v>
      </c>
      <c r="J6" s="873"/>
      <c r="K6" s="872">
        <v>0.75</v>
      </c>
      <c r="L6" s="873"/>
      <c r="M6" s="872">
        <v>1</v>
      </c>
      <c r="N6" s="873"/>
      <c r="O6" s="872">
        <v>1.5</v>
      </c>
      <c r="P6" s="873"/>
      <c r="Q6" s="872">
        <v>2.5</v>
      </c>
      <c r="R6" s="873"/>
      <c r="S6" s="870" t="s">
        <v>156</v>
      </c>
    </row>
    <row r="7" spans="1:19">
      <c r="A7" s="99"/>
      <c r="B7" s="875"/>
      <c r="C7" s="194" t="s">
        <v>279</v>
      </c>
      <c r="D7" s="194" t="s">
        <v>280</v>
      </c>
      <c r="E7" s="194" t="s">
        <v>279</v>
      </c>
      <c r="F7" s="194" t="s">
        <v>280</v>
      </c>
      <c r="G7" s="194" t="s">
        <v>279</v>
      </c>
      <c r="H7" s="194" t="s">
        <v>280</v>
      </c>
      <c r="I7" s="194" t="s">
        <v>279</v>
      </c>
      <c r="J7" s="194" t="s">
        <v>280</v>
      </c>
      <c r="K7" s="194" t="s">
        <v>279</v>
      </c>
      <c r="L7" s="194" t="s">
        <v>280</v>
      </c>
      <c r="M7" s="194" t="s">
        <v>279</v>
      </c>
      <c r="N7" s="194" t="s">
        <v>280</v>
      </c>
      <c r="O7" s="194" t="s">
        <v>279</v>
      </c>
      <c r="P7" s="194" t="s">
        <v>280</v>
      </c>
      <c r="Q7" s="194" t="s">
        <v>279</v>
      </c>
      <c r="R7" s="194" t="s">
        <v>280</v>
      </c>
      <c r="S7" s="871"/>
    </row>
    <row r="8" spans="1:19" s="102" customFormat="1">
      <c r="A8" s="83">
        <v>1</v>
      </c>
      <c r="B8" s="120" t="s">
        <v>134</v>
      </c>
      <c r="C8" s="746">
        <v>1779498.14</v>
      </c>
      <c r="D8" s="746"/>
      <c r="E8" s="746"/>
      <c r="F8" s="746"/>
      <c r="G8" s="746"/>
      <c r="H8" s="746"/>
      <c r="I8" s="746"/>
      <c r="J8" s="746"/>
      <c r="K8" s="746"/>
      <c r="L8" s="746"/>
      <c r="M8" s="746">
        <v>42466056.282363184</v>
      </c>
      <c r="N8" s="746"/>
      <c r="O8" s="746"/>
      <c r="P8" s="746"/>
      <c r="Q8" s="746"/>
      <c r="R8" s="746"/>
      <c r="S8" s="747">
        <f>$C$6*SUM(C8:D8)+$E$6*SUM(E8:F8)+$G$6*SUM(G8:H8)+$I$6*SUM(I8:J8)+$K$6*SUM(K8:L8)+$M$6*SUM(M8:N8)+$O$6*SUM(O8:P8)+$Q$6*SUM(Q8:R8)</f>
        <v>42466056.282363184</v>
      </c>
    </row>
    <row r="9" spans="1:19" s="102" customFormat="1">
      <c r="A9" s="83">
        <v>2</v>
      </c>
      <c r="B9" s="120" t="s">
        <v>135</v>
      </c>
      <c r="C9" s="746"/>
      <c r="D9" s="746"/>
      <c r="E9" s="746"/>
      <c r="F9" s="746"/>
      <c r="G9" s="746"/>
      <c r="H9" s="746"/>
      <c r="I9" s="746"/>
      <c r="J9" s="746"/>
      <c r="K9" s="746"/>
      <c r="L9" s="746"/>
      <c r="M9" s="746"/>
      <c r="N9" s="746"/>
      <c r="O9" s="746"/>
      <c r="P9" s="746"/>
      <c r="Q9" s="746"/>
      <c r="R9" s="746"/>
      <c r="S9" s="747">
        <f t="shared" ref="S9:S21" si="0">$C$6*SUM(C9:D9)+$E$6*SUM(E9:F9)+$G$6*SUM(G9:H9)+$I$6*SUM(I9:J9)+$K$6*SUM(K9:L9)+$M$6*SUM(M9:N9)+$O$6*SUM(O9:P9)+$Q$6*SUM(Q9:R9)</f>
        <v>0</v>
      </c>
    </row>
    <row r="10" spans="1:19" s="102" customFormat="1">
      <c r="A10" s="83">
        <v>3</v>
      </c>
      <c r="B10" s="120" t="s">
        <v>136</v>
      </c>
      <c r="C10" s="746"/>
      <c r="D10" s="746"/>
      <c r="E10" s="746"/>
      <c r="F10" s="746"/>
      <c r="G10" s="746"/>
      <c r="H10" s="746"/>
      <c r="I10" s="746"/>
      <c r="J10" s="746"/>
      <c r="K10" s="746"/>
      <c r="L10" s="746"/>
      <c r="M10" s="746"/>
      <c r="N10" s="746"/>
      <c r="O10" s="746"/>
      <c r="P10" s="746"/>
      <c r="Q10" s="746"/>
      <c r="R10" s="746"/>
      <c r="S10" s="747">
        <f t="shared" si="0"/>
        <v>0</v>
      </c>
    </row>
    <row r="11" spans="1:19" s="102" customFormat="1">
      <c r="A11" s="83">
        <v>4</v>
      </c>
      <c r="B11" s="120" t="s">
        <v>137</v>
      </c>
      <c r="C11" s="746"/>
      <c r="D11" s="746"/>
      <c r="E11" s="746"/>
      <c r="F11" s="746"/>
      <c r="G11" s="746"/>
      <c r="H11" s="746"/>
      <c r="I11" s="746"/>
      <c r="J11" s="746"/>
      <c r="K11" s="746"/>
      <c r="L11" s="746"/>
      <c r="M11" s="746"/>
      <c r="N11" s="746"/>
      <c r="O11" s="746"/>
      <c r="P11" s="746"/>
      <c r="Q11" s="746"/>
      <c r="R11" s="746"/>
      <c r="S11" s="747">
        <f t="shared" si="0"/>
        <v>0</v>
      </c>
    </row>
    <row r="12" spans="1:19" s="102" customFormat="1">
      <c r="A12" s="83">
        <v>5</v>
      </c>
      <c r="B12" s="120" t="s">
        <v>948</v>
      </c>
      <c r="C12" s="746"/>
      <c r="D12" s="746"/>
      <c r="E12" s="746"/>
      <c r="F12" s="746"/>
      <c r="G12" s="746"/>
      <c r="H12" s="746"/>
      <c r="I12" s="746"/>
      <c r="J12" s="746"/>
      <c r="K12" s="746"/>
      <c r="L12" s="746"/>
      <c r="M12" s="746"/>
      <c r="N12" s="746"/>
      <c r="O12" s="746"/>
      <c r="P12" s="746"/>
      <c r="Q12" s="746"/>
      <c r="R12" s="746"/>
      <c r="S12" s="747">
        <f t="shared" si="0"/>
        <v>0</v>
      </c>
    </row>
    <row r="13" spans="1:19" s="102" customFormat="1">
      <c r="A13" s="83">
        <v>6</v>
      </c>
      <c r="B13" s="120" t="s">
        <v>138</v>
      </c>
      <c r="C13" s="746"/>
      <c r="D13" s="746"/>
      <c r="E13" s="746">
        <v>1508702.68</v>
      </c>
      <c r="F13" s="746"/>
      <c r="G13" s="746"/>
      <c r="H13" s="746"/>
      <c r="I13" s="746">
        <v>90467012.000036001</v>
      </c>
      <c r="J13" s="746">
        <v>9795048.5299999993</v>
      </c>
      <c r="K13" s="746"/>
      <c r="L13" s="746"/>
      <c r="M13" s="746">
        <v>9353970.7691770494</v>
      </c>
      <c r="N13" s="746">
        <v>28555762.715</v>
      </c>
      <c r="O13" s="746"/>
      <c r="P13" s="746"/>
      <c r="Q13" s="746"/>
      <c r="R13" s="746"/>
      <c r="S13" s="747">
        <f t="shared" si="0"/>
        <v>88342504.285195053</v>
      </c>
    </row>
    <row r="14" spans="1:19" s="102" customFormat="1">
      <c r="A14" s="83">
        <v>7</v>
      </c>
      <c r="B14" s="120" t="s">
        <v>71</v>
      </c>
      <c r="C14" s="746"/>
      <c r="D14" s="746"/>
      <c r="E14" s="746"/>
      <c r="F14" s="746"/>
      <c r="G14" s="746"/>
      <c r="H14" s="746"/>
      <c r="I14" s="746"/>
      <c r="J14" s="746"/>
      <c r="K14" s="746"/>
      <c r="L14" s="746"/>
      <c r="M14" s="746">
        <v>267379096.25523424</v>
      </c>
      <c r="N14" s="746">
        <v>19517401.454999994</v>
      </c>
      <c r="O14" s="746"/>
      <c r="P14" s="746"/>
      <c r="Q14" s="746"/>
      <c r="R14" s="746"/>
      <c r="S14" s="747">
        <f t="shared" si="0"/>
        <v>286896497.71023422</v>
      </c>
    </row>
    <row r="15" spans="1:19" s="102" customFormat="1">
      <c r="A15" s="83">
        <v>8</v>
      </c>
      <c r="B15" s="120" t="s">
        <v>72</v>
      </c>
      <c r="C15" s="746"/>
      <c r="D15" s="746"/>
      <c r="E15" s="746"/>
      <c r="F15" s="746"/>
      <c r="G15" s="746"/>
      <c r="H15" s="746"/>
      <c r="I15" s="746"/>
      <c r="J15" s="746"/>
      <c r="K15" s="746"/>
      <c r="L15" s="746"/>
      <c r="M15" s="746"/>
      <c r="N15" s="746">
        <v>34785.71</v>
      </c>
      <c r="O15" s="746"/>
      <c r="P15" s="746"/>
      <c r="Q15" s="746"/>
      <c r="R15" s="746"/>
      <c r="S15" s="747">
        <f t="shared" si="0"/>
        <v>34785.71</v>
      </c>
    </row>
    <row r="16" spans="1:19" s="102" customFormat="1">
      <c r="A16" s="83">
        <v>9</v>
      </c>
      <c r="B16" s="120" t="s">
        <v>949</v>
      </c>
      <c r="C16" s="746"/>
      <c r="D16" s="746"/>
      <c r="E16" s="746"/>
      <c r="F16" s="746"/>
      <c r="G16" s="746"/>
      <c r="H16" s="746"/>
      <c r="I16" s="746"/>
      <c r="J16" s="746"/>
      <c r="K16" s="746"/>
      <c r="L16" s="746"/>
      <c r="M16" s="746"/>
      <c r="N16" s="746"/>
      <c r="O16" s="746"/>
      <c r="P16" s="746"/>
      <c r="Q16" s="746"/>
      <c r="R16" s="746"/>
      <c r="S16" s="747">
        <f t="shared" si="0"/>
        <v>0</v>
      </c>
    </row>
    <row r="17" spans="1:19" s="102" customFormat="1">
      <c r="A17" s="83">
        <v>10</v>
      </c>
      <c r="B17" s="120" t="s">
        <v>67</v>
      </c>
      <c r="C17" s="746"/>
      <c r="D17" s="746"/>
      <c r="E17" s="746"/>
      <c r="F17" s="746"/>
      <c r="G17" s="746"/>
      <c r="H17" s="746"/>
      <c r="I17" s="746"/>
      <c r="J17" s="746"/>
      <c r="K17" s="746"/>
      <c r="L17" s="746"/>
      <c r="M17" s="746">
        <v>405050.73000000004</v>
      </c>
      <c r="N17" s="746"/>
      <c r="O17" s="746"/>
      <c r="P17" s="746"/>
      <c r="Q17" s="746"/>
      <c r="R17" s="746"/>
      <c r="S17" s="747">
        <f t="shared" si="0"/>
        <v>405050.73000000004</v>
      </c>
    </row>
    <row r="18" spans="1:19" s="102" customFormat="1">
      <c r="A18" s="83">
        <v>11</v>
      </c>
      <c r="B18" s="120" t="s">
        <v>68</v>
      </c>
      <c r="C18" s="746"/>
      <c r="D18" s="746"/>
      <c r="E18" s="746"/>
      <c r="F18" s="746"/>
      <c r="G18" s="746"/>
      <c r="H18" s="746"/>
      <c r="I18" s="746"/>
      <c r="J18" s="746"/>
      <c r="K18" s="746"/>
      <c r="L18" s="746"/>
      <c r="M18" s="746"/>
      <c r="N18" s="746"/>
      <c r="O18" s="746"/>
      <c r="P18" s="746"/>
      <c r="Q18" s="746"/>
      <c r="R18" s="746"/>
      <c r="S18" s="747">
        <f t="shared" si="0"/>
        <v>0</v>
      </c>
    </row>
    <row r="19" spans="1:19" s="102" customFormat="1">
      <c r="A19" s="83">
        <v>12</v>
      </c>
      <c r="B19" s="120" t="s">
        <v>69</v>
      </c>
      <c r="C19" s="746"/>
      <c r="D19" s="746"/>
      <c r="E19" s="746"/>
      <c r="F19" s="746"/>
      <c r="G19" s="746"/>
      <c r="H19" s="746"/>
      <c r="I19" s="746"/>
      <c r="J19" s="746"/>
      <c r="K19" s="746"/>
      <c r="L19" s="746"/>
      <c r="M19" s="746"/>
      <c r="N19" s="746"/>
      <c r="O19" s="746"/>
      <c r="P19" s="746"/>
      <c r="Q19" s="746"/>
      <c r="R19" s="746"/>
      <c r="S19" s="747">
        <f t="shared" si="0"/>
        <v>0</v>
      </c>
    </row>
    <row r="20" spans="1:19" s="102" customFormat="1">
      <c r="A20" s="83">
        <v>13</v>
      </c>
      <c r="B20" s="120" t="s">
        <v>70</v>
      </c>
      <c r="C20" s="746"/>
      <c r="D20" s="746"/>
      <c r="E20" s="746"/>
      <c r="F20" s="746"/>
      <c r="G20" s="746"/>
      <c r="H20" s="746"/>
      <c r="I20" s="746"/>
      <c r="J20" s="746"/>
      <c r="K20" s="746"/>
      <c r="L20" s="746"/>
      <c r="M20" s="746"/>
      <c r="N20" s="746"/>
      <c r="O20" s="746"/>
      <c r="P20" s="746"/>
      <c r="Q20" s="746"/>
      <c r="R20" s="746"/>
      <c r="S20" s="747">
        <f t="shared" si="0"/>
        <v>0</v>
      </c>
    </row>
    <row r="21" spans="1:19" s="102" customFormat="1">
      <c r="A21" s="83">
        <v>14</v>
      </c>
      <c r="B21" s="120" t="s">
        <v>154</v>
      </c>
      <c r="C21" s="746">
        <v>2880754.8200000003</v>
      </c>
      <c r="D21" s="746"/>
      <c r="E21" s="746"/>
      <c r="F21" s="746"/>
      <c r="G21" s="746"/>
      <c r="H21" s="746"/>
      <c r="I21" s="746"/>
      <c r="J21" s="746"/>
      <c r="K21" s="746"/>
      <c r="L21" s="746"/>
      <c r="M21" s="746">
        <v>17777849.79064852</v>
      </c>
      <c r="N21" s="746"/>
      <c r="O21" s="746"/>
      <c r="P21" s="746"/>
      <c r="Q21" s="746"/>
      <c r="R21" s="746"/>
      <c r="S21" s="747">
        <f t="shared" si="0"/>
        <v>17777849.79064852</v>
      </c>
    </row>
    <row r="22" spans="1:19" ht="13.5" thickBot="1">
      <c r="A22" s="65"/>
      <c r="B22" s="104" t="s">
        <v>66</v>
      </c>
      <c r="C22" s="748">
        <f>SUM(C8:C21)</f>
        <v>4660252.96</v>
      </c>
      <c r="D22" s="748">
        <f t="shared" ref="D22:S22" si="1">SUM(D8:D21)</f>
        <v>0</v>
      </c>
      <c r="E22" s="748">
        <f t="shared" si="1"/>
        <v>1508702.68</v>
      </c>
      <c r="F22" s="748">
        <f t="shared" si="1"/>
        <v>0</v>
      </c>
      <c r="G22" s="748">
        <f t="shared" si="1"/>
        <v>0</v>
      </c>
      <c r="H22" s="748">
        <f t="shared" si="1"/>
        <v>0</v>
      </c>
      <c r="I22" s="748">
        <f t="shared" si="1"/>
        <v>90467012.000036001</v>
      </c>
      <c r="J22" s="748">
        <f t="shared" si="1"/>
        <v>9795048.5299999993</v>
      </c>
      <c r="K22" s="748">
        <f t="shared" si="1"/>
        <v>0</v>
      </c>
      <c r="L22" s="748">
        <f t="shared" si="1"/>
        <v>0</v>
      </c>
      <c r="M22" s="748">
        <f t="shared" si="1"/>
        <v>337382023.82742304</v>
      </c>
      <c r="N22" s="748">
        <f t="shared" si="1"/>
        <v>48107949.879999995</v>
      </c>
      <c r="O22" s="748">
        <f t="shared" si="1"/>
        <v>0</v>
      </c>
      <c r="P22" s="748">
        <f t="shared" si="1"/>
        <v>0</v>
      </c>
      <c r="Q22" s="748">
        <f t="shared" si="1"/>
        <v>0</v>
      </c>
      <c r="R22" s="748">
        <f t="shared" si="1"/>
        <v>0</v>
      </c>
      <c r="S22" s="749">
        <f t="shared" si="1"/>
        <v>435922744.50844097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showGridLines="0" workbookViewId="0">
      <pane xSplit="2" ySplit="6" topLeftCell="Q7" activePane="bottomRight" state="frozen"/>
      <selection pane="topRight" activeCell="C1" sqref="C1"/>
      <selection pane="bottomLeft" activeCell="A6" sqref="A6"/>
      <selection pane="bottomRight" activeCell="B1" sqref="B1:B2"/>
    </sheetView>
  </sheetViews>
  <sheetFormatPr defaultColWidth="9.140625" defaultRowHeight="12.75"/>
  <cols>
    <col min="1" max="1" width="10.5703125" style="2" bestFit="1" customWidth="1"/>
    <col min="2" max="2" width="97" style="2" bestFit="1"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2"/>
  </cols>
  <sheetData>
    <row r="1" spans="1:22">
      <c r="A1" s="2" t="s">
        <v>108</v>
      </c>
      <c r="B1" s="636" t="str">
        <f>'1. key ratios'!B1</f>
        <v>სს იშბანკი საქართველო</v>
      </c>
    </row>
    <row r="2" spans="1:22">
      <c r="A2" s="2" t="s">
        <v>109</v>
      </c>
      <c r="B2" s="637">
        <f>'1. key ratios'!B2</f>
        <v>45016</v>
      </c>
    </row>
    <row r="4" spans="1:22" ht="27.75" thickBot="1">
      <c r="A4" s="2" t="s">
        <v>260</v>
      </c>
      <c r="B4" s="196" t="s">
        <v>295</v>
      </c>
      <c r="V4" s="146" t="s">
        <v>87</v>
      </c>
    </row>
    <row r="5" spans="1:22">
      <c r="A5" s="63"/>
      <c r="B5" s="64"/>
      <c r="C5" s="876" t="s">
        <v>116</v>
      </c>
      <c r="D5" s="877"/>
      <c r="E5" s="877"/>
      <c r="F5" s="877"/>
      <c r="G5" s="877"/>
      <c r="H5" s="877"/>
      <c r="I5" s="877"/>
      <c r="J5" s="877"/>
      <c r="K5" s="877"/>
      <c r="L5" s="878"/>
      <c r="M5" s="876" t="s">
        <v>117</v>
      </c>
      <c r="N5" s="877"/>
      <c r="O5" s="877"/>
      <c r="P5" s="877"/>
      <c r="Q5" s="877"/>
      <c r="R5" s="877"/>
      <c r="S5" s="878"/>
      <c r="T5" s="881" t="s">
        <v>293</v>
      </c>
      <c r="U5" s="881" t="s">
        <v>292</v>
      </c>
      <c r="V5" s="879" t="s">
        <v>118</v>
      </c>
    </row>
    <row r="6" spans="1:22" s="38" customFormat="1" ht="127.5">
      <c r="A6" s="81"/>
      <c r="B6" s="122"/>
      <c r="C6" s="61" t="s">
        <v>119</v>
      </c>
      <c r="D6" s="60" t="s">
        <v>120</v>
      </c>
      <c r="E6" s="57" t="s">
        <v>121</v>
      </c>
      <c r="F6" s="197" t="s">
        <v>287</v>
      </c>
      <c r="G6" s="60" t="s">
        <v>122</v>
      </c>
      <c r="H6" s="60" t="s">
        <v>123</v>
      </c>
      <c r="I6" s="60" t="s">
        <v>124</v>
      </c>
      <c r="J6" s="60" t="s">
        <v>153</v>
      </c>
      <c r="K6" s="60" t="s">
        <v>125</v>
      </c>
      <c r="L6" s="62" t="s">
        <v>126</v>
      </c>
      <c r="M6" s="61" t="s">
        <v>127</v>
      </c>
      <c r="N6" s="60" t="s">
        <v>128</v>
      </c>
      <c r="O6" s="60" t="s">
        <v>129</v>
      </c>
      <c r="P6" s="60" t="s">
        <v>130</v>
      </c>
      <c r="Q6" s="60" t="s">
        <v>131</v>
      </c>
      <c r="R6" s="60" t="s">
        <v>132</v>
      </c>
      <c r="S6" s="62" t="s">
        <v>133</v>
      </c>
      <c r="T6" s="882"/>
      <c r="U6" s="882"/>
      <c r="V6" s="880"/>
    </row>
    <row r="7" spans="1:22" s="102" customFormat="1">
      <c r="A7" s="103">
        <v>1</v>
      </c>
      <c r="B7" s="120" t="s">
        <v>134</v>
      </c>
      <c r="C7" s="750"/>
      <c r="D7" s="745"/>
      <c r="E7" s="745"/>
      <c r="F7" s="745"/>
      <c r="G7" s="745"/>
      <c r="H7" s="745"/>
      <c r="I7" s="745"/>
      <c r="J7" s="745"/>
      <c r="K7" s="745"/>
      <c r="L7" s="751"/>
      <c r="M7" s="750"/>
      <c r="N7" s="745"/>
      <c r="O7" s="745"/>
      <c r="P7" s="745"/>
      <c r="Q7" s="745"/>
      <c r="R7" s="745"/>
      <c r="S7" s="751"/>
      <c r="T7" s="752"/>
      <c r="U7" s="752"/>
      <c r="V7" s="753">
        <f>SUM(C7:S7)</f>
        <v>0</v>
      </c>
    </row>
    <row r="8" spans="1:22" s="102" customFormat="1">
      <c r="A8" s="103">
        <v>2</v>
      </c>
      <c r="B8" s="120" t="s">
        <v>135</v>
      </c>
      <c r="C8" s="750"/>
      <c r="D8" s="745"/>
      <c r="E8" s="745"/>
      <c r="F8" s="745"/>
      <c r="G8" s="745"/>
      <c r="H8" s="745"/>
      <c r="I8" s="745"/>
      <c r="J8" s="745"/>
      <c r="K8" s="745"/>
      <c r="L8" s="751"/>
      <c r="M8" s="750"/>
      <c r="N8" s="745"/>
      <c r="O8" s="745"/>
      <c r="P8" s="745"/>
      <c r="Q8" s="745"/>
      <c r="R8" s="745"/>
      <c r="S8" s="751"/>
      <c r="T8" s="752"/>
      <c r="U8" s="752"/>
      <c r="V8" s="753">
        <f t="shared" ref="V8:V20" si="0">SUM(C8:S8)</f>
        <v>0</v>
      </c>
    </row>
    <row r="9" spans="1:22" s="102" customFormat="1">
      <c r="A9" s="103">
        <v>3</v>
      </c>
      <c r="B9" s="120" t="s">
        <v>136</v>
      </c>
      <c r="C9" s="750"/>
      <c r="D9" s="745"/>
      <c r="E9" s="745"/>
      <c r="F9" s="745"/>
      <c r="G9" s="745"/>
      <c r="H9" s="745"/>
      <c r="I9" s="745"/>
      <c r="J9" s="745"/>
      <c r="K9" s="745"/>
      <c r="L9" s="751"/>
      <c r="M9" s="750"/>
      <c r="N9" s="745"/>
      <c r="O9" s="745"/>
      <c r="P9" s="745"/>
      <c r="Q9" s="745"/>
      <c r="R9" s="745"/>
      <c r="S9" s="751"/>
      <c r="T9" s="752"/>
      <c r="U9" s="752"/>
      <c r="V9" s="753">
        <f>SUM(C9:S9)</f>
        <v>0</v>
      </c>
    </row>
    <row r="10" spans="1:22" s="102" customFormat="1">
      <c r="A10" s="103">
        <v>4</v>
      </c>
      <c r="B10" s="120" t="s">
        <v>137</v>
      </c>
      <c r="C10" s="750"/>
      <c r="D10" s="745"/>
      <c r="E10" s="745"/>
      <c r="F10" s="745"/>
      <c r="G10" s="745"/>
      <c r="H10" s="745"/>
      <c r="I10" s="745"/>
      <c r="J10" s="745"/>
      <c r="K10" s="745"/>
      <c r="L10" s="751"/>
      <c r="M10" s="750"/>
      <c r="N10" s="745"/>
      <c r="O10" s="745"/>
      <c r="P10" s="745"/>
      <c r="Q10" s="745"/>
      <c r="R10" s="745"/>
      <c r="S10" s="751"/>
      <c r="T10" s="752"/>
      <c r="U10" s="752"/>
      <c r="V10" s="753">
        <f t="shared" si="0"/>
        <v>0</v>
      </c>
    </row>
    <row r="11" spans="1:22" s="102" customFormat="1">
      <c r="A11" s="103">
        <v>5</v>
      </c>
      <c r="B11" s="120" t="s">
        <v>948</v>
      </c>
      <c r="C11" s="750"/>
      <c r="D11" s="745"/>
      <c r="E11" s="745"/>
      <c r="F11" s="745"/>
      <c r="G11" s="745"/>
      <c r="H11" s="745"/>
      <c r="I11" s="745"/>
      <c r="J11" s="745"/>
      <c r="K11" s="745"/>
      <c r="L11" s="751"/>
      <c r="M11" s="750"/>
      <c r="N11" s="745"/>
      <c r="O11" s="745"/>
      <c r="P11" s="745"/>
      <c r="Q11" s="745"/>
      <c r="R11" s="745"/>
      <c r="S11" s="751"/>
      <c r="T11" s="752"/>
      <c r="U11" s="752"/>
      <c r="V11" s="753">
        <f t="shared" si="0"/>
        <v>0</v>
      </c>
    </row>
    <row r="12" spans="1:22" s="102" customFormat="1">
      <c r="A12" s="103">
        <v>6</v>
      </c>
      <c r="B12" s="120" t="s">
        <v>138</v>
      </c>
      <c r="C12" s="750"/>
      <c r="D12" s="745"/>
      <c r="E12" s="745"/>
      <c r="F12" s="745"/>
      <c r="G12" s="745"/>
      <c r="H12" s="745"/>
      <c r="I12" s="745"/>
      <c r="J12" s="745"/>
      <c r="K12" s="745"/>
      <c r="L12" s="751"/>
      <c r="M12" s="750"/>
      <c r="N12" s="745"/>
      <c r="O12" s="745"/>
      <c r="P12" s="745"/>
      <c r="Q12" s="745"/>
      <c r="R12" s="745"/>
      <c r="S12" s="751"/>
      <c r="T12" s="752"/>
      <c r="U12" s="752"/>
      <c r="V12" s="753">
        <f t="shared" si="0"/>
        <v>0</v>
      </c>
    </row>
    <row r="13" spans="1:22" s="102" customFormat="1">
      <c r="A13" s="103">
        <v>7</v>
      </c>
      <c r="B13" s="120" t="s">
        <v>71</v>
      </c>
      <c r="C13" s="750"/>
      <c r="D13" s="745">
        <f>14230940.99+153624+1472581.89</f>
        <v>15857146.880000001</v>
      </c>
      <c r="E13" s="745"/>
      <c r="F13" s="745"/>
      <c r="G13" s="745"/>
      <c r="H13" s="745"/>
      <c r="I13" s="745"/>
      <c r="J13" s="745"/>
      <c r="K13" s="745"/>
      <c r="L13" s="751"/>
      <c r="M13" s="750"/>
      <c r="N13" s="745"/>
      <c r="O13" s="745"/>
      <c r="P13" s="745"/>
      <c r="Q13" s="745"/>
      <c r="R13" s="745"/>
      <c r="S13" s="751"/>
      <c r="T13" s="752">
        <v>14230940.99</v>
      </c>
      <c r="U13" s="752">
        <f>153624+1472581.89</f>
        <v>1626205.89</v>
      </c>
      <c r="V13" s="753">
        <f t="shared" si="0"/>
        <v>15857146.880000001</v>
      </c>
    </row>
    <row r="14" spans="1:22" s="102" customFormat="1">
      <c r="A14" s="103">
        <v>8</v>
      </c>
      <c r="B14" s="120" t="s">
        <v>72</v>
      </c>
      <c r="C14" s="750"/>
      <c r="D14" s="745"/>
      <c r="E14" s="745"/>
      <c r="F14" s="745"/>
      <c r="G14" s="745"/>
      <c r="H14" s="745"/>
      <c r="I14" s="745"/>
      <c r="J14" s="745"/>
      <c r="K14" s="745"/>
      <c r="L14" s="751"/>
      <c r="M14" s="750"/>
      <c r="N14" s="745"/>
      <c r="O14" s="745"/>
      <c r="P14" s="745"/>
      <c r="Q14" s="745"/>
      <c r="R14" s="745"/>
      <c r="S14" s="751"/>
      <c r="T14" s="752"/>
      <c r="U14" s="752"/>
      <c r="V14" s="753">
        <f t="shared" si="0"/>
        <v>0</v>
      </c>
    </row>
    <row r="15" spans="1:22" s="102" customFormat="1">
      <c r="A15" s="103">
        <v>9</v>
      </c>
      <c r="B15" s="120" t="s">
        <v>949</v>
      </c>
      <c r="C15" s="750"/>
      <c r="D15" s="745"/>
      <c r="E15" s="745"/>
      <c r="F15" s="745"/>
      <c r="G15" s="745"/>
      <c r="H15" s="745"/>
      <c r="I15" s="745"/>
      <c r="J15" s="745"/>
      <c r="K15" s="745"/>
      <c r="L15" s="751"/>
      <c r="M15" s="750"/>
      <c r="N15" s="745"/>
      <c r="O15" s="745"/>
      <c r="P15" s="745"/>
      <c r="Q15" s="745"/>
      <c r="R15" s="745"/>
      <c r="S15" s="751"/>
      <c r="T15" s="752"/>
      <c r="U15" s="752"/>
      <c r="V15" s="753">
        <f t="shared" si="0"/>
        <v>0</v>
      </c>
    </row>
    <row r="16" spans="1:22" s="102" customFormat="1">
      <c r="A16" s="103">
        <v>10</v>
      </c>
      <c r="B16" s="120" t="s">
        <v>67</v>
      </c>
      <c r="C16" s="750"/>
      <c r="D16" s="745"/>
      <c r="E16" s="745"/>
      <c r="F16" s="745"/>
      <c r="G16" s="745"/>
      <c r="H16" s="745"/>
      <c r="I16" s="745"/>
      <c r="J16" s="745"/>
      <c r="K16" s="745"/>
      <c r="L16" s="751"/>
      <c r="M16" s="750"/>
      <c r="N16" s="745"/>
      <c r="O16" s="745"/>
      <c r="P16" s="745"/>
      <c r="Q16" s="745"/>
      <c r="R16" s="745"/>
      <c r="S16" s="751"/>
      <c r="T16" s="752"/>
      <c r="U16" s="752"/>
      <c r="V16" s="753">
        <f t="shared" si="0"/>
        <v>0</v>
      </c>
    </row>
    <row r="17" spans="1:22" s="102" customFormat="1">
      <c r="A17" s="103">
        <v>11</v>
      </c>
      <c r="B17" s="120" t="s">
        <v>68</v>
      </c>
      <c r="C17" s="750"/>
      <c r="D17" s="745"/>
      <c r="E17" s="745"/>
      <c r="F17" s="745"/>
      <c r="G17" s="745"/>
      <c r="H17" s="745"/>
      <c r="I17" s="745"/>
      <c r="J17" s="745"/>
      <c r="K17" s="745"/>
      <c r="L17" s="751"/>
      <c r="M17" s="750"/>
      <c r="N17" s="745"/>
      <c r="O17" s="745"/>
      <c r="P17" s="745"/>
      <c r="Q17" s="745"/>
      <c r="R17" s="745"/>
      <c r="S17" s="751"/>
      <c r="T17" s="752"/>
      <c r="U17" s="752"/>
      <c r="V17" s="753">
        <f t="shared" si="0"/>
        <v>0</v>
      </c>
    </row>
    <row r="18" spans="1:22" s="102" customFormat="1">
      <c r="A18" s="103">
        <v>12</v>
      </c>
      <c r="B18" s="120" t="s">
        <v>69</v>
      </c>
      <c r="C18" s="750"/>
      <c r="D18" s="745"/>
      <c r="E18" s="745"/>
      <c r="F18" s="745"/>
      <c r="G18" s="745"/>
      <c r="H18" s="745"/>
      <c r="I18" s="745"/>
      <c r="J18" s="745"/>
      <c r="K18" s="745"/>
      <c r="L18" s="751"/>
      <c r="M18" s="750"/>
      <c r="N18" s="745"/>
      <c r="O18" s="745"/>
      <c r="P18" s="745"/>
      <c r="Q18" s="745"/>
      <c r="R18" s="745"/>
      <c r="S18" s="751"/>
      <c r="T18" s="752"/>
      <c r="U18" s="752"/>
      <c r="V18" s="753">
        <f t="shared" si="0"/>
        <v>0</v>
      </c>
    </row>
    <row r="19" spans="1:22" s="102" customFormat="1">
      <c r="A19" s="103">
        <v>13</v>
      </c>
      <c r="B19" s="120" t="s">
        <v>70</v>
      </c>
      <c r="C19" s="750"/>
      <c r="D19" s="745"/>
      <c r="E19" s="745"/>
      <c r="F19" s="745"/>
      <c r="G19" s="745"/>
      <c r="H19" s="745"/>
      <c r="I19" s="745"/>
      <c r="J19" s="745"/>
      <c r="K19" s="745"/>
      <c r="L19" s="751"/>
      <c r="M19" s="750"/>
      <c r="N19" s="745"/>
      <c r="O19" s="745"/>
      <c r="P19" s="745"/>
      <c r="Q19" s="745"/>
      <c r="R19" s="745"/>
      <c r="S19" s="751"/>
      <c r="T19" s="752"/>
      <c r="U19" s="752"/>
      <c r="V19" s="753">
        <f t="shared" si="0"/>
        <v>0</v>
      </c>
    </row>
    <row r="20" spans="1:22" s="102" customFormat="1">
      <c r="A20" s="103">
        <v>14</v>
      </c>
      <c r="B20" s="120" t="s">
        <v>154</v>
      </c>
      <c r="C20" s="750"/>
      <c r="D20" s="745">
        <v>219913.8761060063</v>
      </c>
      <c r="E20" s="745"/>
      <c r="F20" s="745"/>
      <c r="G20" s="745"/>
      <c r="H20" s="745"/>
      <c r="I20" s="745"/>
      <c r="J20" s="745"/>
      <c r="K20" s="745"/>
      <c r="L20" s="751"/>
      <c r="M20" s="750"/>
      <c r="N20" s="745"/>
      <c r="O20" s="745"/>
      <c r="P20" s="745"/>
      <c r="Q20" s="745"/>
      <c r="R20" s="745"/>
      <c r="S20" s="751"/>
      <c r="T20" s="752">
        <v>219913.8761060063</v>
      </c>
      <c r="U20" s="752"/>
      <c r="V20" s="753">
        <f t="shared" si="0"/>
        <v>219913.8761060063</v>
      </c>
    </row>
    <row r="21" spans="1:22" ht="13.5" thickBot="1">
      <c r="A21" s="65"/>
      <c r="B21" s="66" t="s">
        <v>66</v>
      </c>
      <c r="C21" s="754">
        <f>SUM(C7:C20)</f>
        <v>0</v>
      </c>
      <c r="D21" s="755">
        <f t="shared" ref="D21:V21" si="1">SUM(D7:D20)</f>
        <v>16077060.756106008</v>
      </c>
      <c r="E21" s="755">
        <f t="shared" si="1"/>
        <v>0</v>
      </c>
      <c r="F21" s="755">
        <f t="shared" si="1"/>
        <v>0</v>
      </c>
      <c r="G21" s="755">
        <f t="shared" si="1"/>
        <v>0</v>
      </c>
      <c r="H21" s="755">
        <f t="shared" si="1"/>
        <v>0</v>
      </c>
      <c r="I21" s="755">
        <f t="shared" si="1"/>
        <v>0</v>
      </c>
      <c r="J21" s="755">
        <f t="shared" si="1"/>
        <v>0</v>
      </c>
      <c r="K21" s="755">
        <f t="shared" si="1"/>
        <v>0</v>
      </c>
      <c r="L21" s="756">
        <f t="shared" si="1"/>
        <v>0</v>
      </c>
      <c r="M21" s="754">
        <f t="shared" si="1"/>
        <v>0</v>
      </c>
      <c r="N21" s="755">
        <f t="shared" si="1"/>
        <v>0</v>
      </c>
      <c r="O21" s="755">
        <f t="shared" si="1"/>
        <v>0</v>
      </c>
      <c r="P21" s="755">
        <f t="shared" si="1"/>
        <v>0</v>
      </c>
      <c r="Q21" s="755">
        <f t="shared" si="1"/>
        <v>0</v>
      </c>
      <c r="R21" s="755">
        <f t="shared" si="1"/>
        <v>0</v>
      </c>
      <c r="S21" s="756">
        <f t="shared" si="1"/>
        <v>0</v>
      </c>
      <c r="T21" s="756">
        <f>SUM(T7:T20)</f>
        <v>14450854.866106007</v>
      </c>
      <c r="U21" s="756">
        <f t="shared" si="1"/>
        <v>1626205.89</v>
      </c>
      <c r="V21" s="757">
        <f t="shared" si="1"/>
        <v>16077060.756106008</v>
      </c>
    </row>
    <row r="24" spans="1:22">
      <c r="A24" s="18"/>
      <c r="B24" s="18"/>
      <c r="C24" s="41"/>
      <c r="D24" s="41"/>
      <c r="E24" s="41"/>
    </row>
    <row r="25" spans="1:22">
      <c r="A25" s="58"/>
      <c r="B25" s="58"/>
      <c r="C25" s="18"/>
      <c r="D25" s="41"/>
      <c r="E25" s="41"/>
    </row>
    <row r="26" spans="1:22">
      <c r="A26" s="58"/>
      <c r="B26" s="59"/>
      <c r="C26" s="18"/>
      <c r="D26" s="41"/>
      <c r="E26" s="41"/>
    </row>
    <row r="27" spans="1:22">
      <c r="A27" s="58"/>
      <c r="B27" s="58"/>
      <c r="C27" s="18"/>
      <c r="D27" s="41"/>
      <c r="E27" s="41"/>
    </row>
    <row r="28" spans="1:22">
      <c r="A28" s="58"/>
      <c r="B28" s="59"/>
      <c r="C28" s="18"/>
      <c r="D28" s="41"/>
      <c r="E28" s="4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showGridLines="0" zoomScaleNormal="100" workbookViewId="0">
      <pane xSplit="1" ySplit="7" topLeftCell="B8" activePane="bottomRight" state="frozen"/>
      <selection activeCell="L18" sqref="L18"/>
      <selection pane="topRight" activeCell="L18" sqref="L18"/>
      <selection pane="bottomLeft" activeCell="L18" sqref="L18"/>
      <selection pane="bottomRight" activeCell="B1" sqref="B1:B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2"/>
  </cols>
  <sheetData>
    <row r="1" spans="1:9">
      <c r="A1" s="2" t="s">
        <v>108</v>
      </c>
      <c r="B1" s="636" t="str">
        <f>'1. key ratios'!B1</f>
        <v>სს იშბანკი საქართველო</v>
      </c>
    </row>
    <row r="2" spans="1:9">
      <c r="A2" s="2" t="s">
        <v>109</v>
      </c>
      <c r="B2" s="637">
        <f>'1. key ratios'!B2</f>
        <v>45016</v>
      </c>
    </row>
    <row r="4" spans="1:9" ht="13.5" thickBot="1">
      <c r="A4" s="2" t="s">
        <v>261</v>
      </c>
      <c r="B4" s="193" t="s">
        <v>296</v>
      </c>
    </row>
    <row r="5" spans="1:9">
      <c r="A5" s="63"/>
      <c r="B5" s="100"/>
      <c r="C5" s="105" t="s">
        <v>0</v>
      </c>
      <c r="D5" s="105" t="s">
        <v>1</v>
      </c>
      <c r="E5" s="105" t="s">
        <v>2</v>
      </c>
      <c r="F5" s="105" t="s">
        <v>3</v>
      </c>
      <c r="G5" s="191" t="s">
        <v>4</v>
      </c>
      <c r="H5" s="106" t="s">
        <v>5</v>
      </c>
      <c r="I5" s="24"/>
    </row>
    <row r="6" spans="1:9" ht="15" customHeight="1">
      <c r="A6" s="99"/>
      <c r="B6" s="22"/>
      <c r="C6" s="883" t="s">
        <v>288</v>
      </c>
      <c r="D6" s="887" t="s">
        <v>309</v>
      </c>
      <c r="E6" s="888"/>
      <c r="F6" s="883" t="s">
        <v>315</v>
      </c>
      <c r="G6" s="883" t="s">
        <v>316</v>
      </c>
      <c r="H6" s="885" t="s">
        <v>290</v>
      </c>
      <c r="I6" s="24"/>
    </row>
    <row r="7" spans="1:9" ht="63.75">
      <c r="A7" s="99"/>
      <c r="B7" s="22"/>
      <c r="C7" s="884"/>
      <c r="D7" s="192" t="s">
        <v>291</v>
      </c>
      <c r="E7" s="192" t="s">
        <v>289</v>
      </c>
      <c r="F7" s="884"/>
      <c r="G7" s="884"/>
      <c r="H7" s="886"/>
      <c r="I7" s="24"/>
    </row>
    <row r="8" spans="1:9">
      <c r="A8" s="54">
        <v>1</v>
      </c>
      <c r="B8" s="120" t="s">
        <v>134</v>
      </c>
      <c r="C8" s="758">
        <f>'11. CRWA'!C8+'11. CRWA'!E8+'11. CRWA'!G8+'11. CRWA'!I8+'11. CRWA'!K8+'11. CRWA'!M8+'11. CRWA'!O8+'11. CRWA'!Q8</f>
        <v>44245554.422363184</v>
      </c>
      <c r="D8" s="758">
        <f>'11. CRWA'!D8+'11. CRWA'!F8+'11. CRWA'!H8+'11. CRWA'!J8+'11. CRWA'!L8+'11. CRWA'!N8+'11. CRWA'!P8+'11. CRWA'!R8</f>
        <v>0</v>
      </c>
      <c r="E8" s="758">
        <f>'11. CRWA'!D8+'11. CRWA'!F8+'11. CRWA'!H8+'11. CRWA'!J8+'11. CRWA'!L8+'11. CRWA'!N8+'11. CRWA'!P8+'11. CRWA'!R8</f>
        <v>0</v>
      </c>
      <c r="F8" s="758">
        <f>'11. CRWA'!S8</f>
        <v>42466056.282363184</v>
      </c>
      <c r="G8" s="759">
        <f>F8-'12. CRM'!V7</f>
        <v>42466056.282363184</v>
      </c>
      <c r="H8" s="760">
        <f>IFERROR(G8/(C8+E8),0)</f>
        <v>0.95978131219663088</v>
      </c>
    </row>
    <row r="9" spans="1:9" ht="15" customHeight="1">
      <c r="A9" s="54">
        <v>2</v>
      </c>
      <c r="B9" s="120" t="s">
        <v>135</v>
      </c>
      <c r="C9" s="758">
        <f>'11. CRWA'!C9+'11. CRWA'!E9+'11. CRWA'!G9+'11. CRWA'!I9+'11. CRWA'!K9+'11. CRWA'!M9+'11. CRWA'!O9+'11. CRWA'!Q9</f>
        <v>0</v>
      </c>
      <c r="D9" s="758">
        <f>'11. CRWA'!D9+'11. CRWA'!F9+'11. CRWA'!H9+'11. CRWA'!J9+'11. CRWA'!L9+'11. CRWA'!N9+'11. CRWA'!P9+'11. CRWA'!R9</f>
        <v>0</v>
      </c>
      <c r="E9" s="758">
        <f>'11. CRWA'!D9+'11. CRWA'!F9+'11. CRWA'!H9+'11. CRWA'!J9+'11. CRWA'!L9+'11. CRWA'!N9+'11. CRWA'!P9+'11. CRWA'!R9</f>
        <v>0</v>
      </c>
      <c r="F9" s="758">
        <f>'11. CRWA'!S9</f>
        <v>0</v>
      </c>
      <c r="G9" s="759">
        <f>F9-'12. CRM'!V8</f>
        <v>0</v>
      </c>
      <c r="H9" s="760">
        <f t="shared" ref="H9:H21" si="0">IFERROR(G9/(C9+E9),0)</f>
        <v>0</v>
      </c>
    </row>
    <row r="10" spans="1:9">
      <c r="A10" s="54">
        <v>3</v>
      </c>
      <c r="B10" s="120" t="s">
        <v>136</v>
      </c>
      <c r="C10" s="758">
        <f>'11. CRWA'!C10+'11. CRWA'!E10+'11. CRWA'!G10+'11. CRWA'!I10+'11. CRWA'!K10+'11. CRWA'!M10+'11. CRWA'!O10+'11. CRWA'!Q10</f>
        <v>0</v>
      </c>
      <c r="D10" s="758">
        <f>'11. CRWA'!D10+'11. CRWA'!F10+'11. CRWA'!H10+'11. CRWA'!J10+'11. CRWA'!L10+'11. CRWA'!N10+'11. CRWA'!P10+'11. CRWA'!R10</f>
        <v>0</v>
      </c>
      <c r="E10" s="758">
        <f>'11. CRWA'!D10+'11. CRWA'!F10+'11. CRWA'!H10+'11. CRWA'!J10+'11. CRWA'!L10+'11. CRWA'!N10+'11. CRWA'!P10+'11. CRWA'!R10</f>
        <v>0</v>
      </c>
      <c r="F10" s="758">
        <f>'11. CRWA'!S10</f>
        <v>0</v>
      </c>
      <c r="G10" s="759">
        <f>F10-'12. CRM'!V9</f>
        <v>0</v>
      </c>
      <c r="H10" s="760">
        <f t="shared" si="0"/>
        <v>0</v>
      </c>
    </row>
    <row r="11" spans="1:9">
      <c r="A11" s="54">
        <v>4</v>
      </c>
      <c r="B11" s="120" t="s">
        <v>137</v>
      </c>
      <c r="C11" s="758">
        <f>'11. CRWA'!C11+'11. CRWA'!E11+'11. CRWA'!G11+'11. CRWA'!I11+'11. CRWA'!K11+'11. CRWA'!M11+'11. CRWA'!O11+'11. CRWA'!Q11</f>
        <v>0</v>
      </c>
      <c r="D11" s="758">
        <f>'11. CRWA'!D11+'11. CRWA'!F11+'11. CRWA'!H11+'11. CRWA'!J11+'11. CRWA'!L11+'11. CRWA'!N11+'11. CRWA'!P11+'11. CRWA'!R11</f>
        <v>0</v>
      </c>
      <c r="E11" s="758">
        <f>'11. CRWA'!D11+'11. CRWA'!F11+'11. CRWA'!H11+'11. CRWA'!J11+'11. CRWA'!L11+'11. CRWA'!N11+'11. CRWA'!P11+'11. CRWA'!R11</f>
        <v>0</v>
      </c>
      <c r="F11" s="758">
        <f>'11. CRWA'!S11</f>
        <v>0</v>
      </c>
      <c r="G11" s="759">
        <f>F11-'12. CRM'!V10</f>
        <v>0</v>
      </c>
      <c r="H11" s="760">
        <f t="shared" si="0"/>
        <v>0</v>
      </c>
    </row>
    <row r="12" spans="1:9">
      <c r="A12" s="54">
        <v>5</v>
      </c>
      <c r="B12" s="120" t="s">
        <v>948</v>
      </c>
      <c r="C12" s="758">
        <f>'11. CRWA'!C12+'11. CRWA'!E12+'11. CRWA'!G12+'11. CRWA'!I12+'11. CRWA'!K12+'11. CRWA'!M12+'11. CRWA'!O12+'11. CRWA'!Q12</f>
        <v>0</v>
      </c>
      <c r="D12" s="758">
        <f>'11. CRWA'!D12+'11. CRWA'!F12+'11. CRWA'!H12+'11. CRWA'!J12+'11. CRWA'!L12+'11. CRWA'!N12+'11. CRWA'!P12+'11. CRWA'!R12</f>
        <v>0</v>
      </c>
      <c r="E12" s="758">
        <f>'11. CRWA'!D12+'11. CRWA'!F12+'11. CRWA'!H12+'11. CRWA'!J12+'11. CRWA'!L12+'11. CRWA'!N12+'11. CRWA'!P12+'11. CRWA'!R12</f>
        <v>0</v>
      </c>
      <c r="F12" s="758">
        <f>'11. CRWA'!S12</f>
        <v>0</v>
      </c>
      <c r="G12" s="759">
        <f>F12-'12. CRM'!V11</f>
        <v>0</v>
      </c>
      <c r="H12" s="760">
        <f t="shared" si="0"/>
        <v>0</v>
      </c>
    </row>
    <row r="13" spans="1:9">
      <c r="A13" s="54">
        <v>6</v>
      </c>
      <c r="B13" s="120" t="s">
        <v>138</v>
      </c>
      <c r="C13" s="758">
        <f>'11. CRWA'!C13+'11. CRWA'!E13+'11. CRWA'!G13+'11. CRWA'!I13+'11. CRWA'!K13+'11. CRWA'!M13+'11. CRWA'!O13+'11. CRWA'!Q13</f>
        <v>101329685.44921306</v>
      </c>
      <c r="D13" s="758">
        <f>'11. CRWA'!D13+'11. CRWA'!F13+'11. CRWA'!H13+'11. CRWA'!J13+'11. CRWA'!L13+'11. CRWA'!N13+'11. CRWA'!P13+'11. CRWA'!R13</f>
        <v>38350811.244999997</v>
      </c>
      <c r="E13" s="758">
        <f>'11. CRWA'!D13+'11. CRWA'!F13+'11. CRWA'!H13+'11. CRWA'!J13+'11. CRWA'!L13+'11. CRWA'!N13+'11. CRWA'!P13+'11. CRWA'!R13</f>
        <v>38350811.244999997</v>
      </c>
      <c r="F13" s="758">
        <f>'11. CRWA'!S13</f>
        <v>88342504.285195053</v>
      </c>
      <c r="G13" s="759">
        <f>F13-'12. CRM'!V12</f>
        <v>88342504.285195053</v>
      </c>
      <c r="H13" s="760">
        <f t="shared" si="0"/>
        <v>0.63246126965451344</v>
      </c>
    </row>
    <row r="14" spans="1:9">
      <c r="A14" s="54">
        <v>7</v>
      </c>
      <c r="B14" s="120" t="s">
        <v>71</v>
      </c>
      <c r="C14" s="758">
        <f>'11. CRWA'!C14+'11. CRWA'!E14+'11. CRWA'!G14+'11. CRWA'!I14+'11. CRWA'!K14+'11. CRWA'!M14+'11. CRWA'!O14+'11. CRWA'!Q14</f>
        <v>267379096.25523424</v>
      </c>
      <c r="D14" s="758">
        <f>'11. CRWA'!D14+'11. CRWA'!F14+'11. CRWA'!H14+'11. CRWA'!J14+'11. CRWA'!L14+'11. CRWA'!N14+'11. CRWA'!P14+'11. CRWA'!R14</f>
        <v>19517401.454999994</v>
      </c>
      <c r="E14" s="758">
        <f>'11. CRWA'!D14+'11. CRWA'!F14+'11. CRWA'!H14+'11. CRWA'!J14+'11. CRWA'!L14+'11. CRWA'!N14+'11. CRWA'!P14+'11. CRWA'!R14</f>
        <v>19517401.454999994</v>
      </c>
      <c r="F14" s="758">
        <f>'11. CRWA'!S14</f>
        <v>286896497.71023422</v>
      </c>
      <c r="G14" s="759">
        <f>F14-'12. CRM'!V13</f>
        <v>271039350.83023423</v>
      </c>
      <c r="H14" s="760">
        <f t="shared" si="0"/>
        <v>0.94472868436332136</v>
      </c>
    </row>
    <row r="15" spans="1:9">
      <c r="A15" s="54">
        <v>8</v>
      </c>
      <c r="B15" s="120" t="s">
        <v>72</v>
      </c>
      <c r="C15" s="758">
        <f>'11. CRWA'!C15+'11. CRWA'!E15+'11. CRWA'!G15+'11. CRWA'!I15+'11. CRWA'!K15+'11. CRWA'!M15+'11. CRWA'!O15+'11. CRWA'!Q15</f>
        <v>0</v>
      </c>
      <c r="D15" s="758">
        <f>'11. CRWA'!D15+'11. CRWA'!F15+'11. CRWA'!H15+'11. CRWA'!J15+'11. CRWA'!L15+'11. CRWA'!N15+'11. CRWA'!P15+'11. CRWA'!R15</f>
        <v>34785.71</v>
      </c>
      <c r="E15" s="758">
        <f>'11. CRWA'!D15+'11. CRWA'!F15+'11. CRWA'!H15+'11. CRWA'!J15+'11. CRWA'!L15+'11. CRWA'!N15+'11. CRWA'!P15+'11. CRWA'!R15</f>
        <v>34785.71</v>
      </c>
      <c r="F15" s="758">
        <f>'11. CRWA'!S15</f>
        <v>34785.71</v>
      </c>
      <c r="G15" s="759">
        <f>F15-'12. CRM'!V14</f>
        <v>34785.71</v>
      </c>
      <c r="H15" s="760">
        <f t="shared" si="0"/>
        <v>1</v>
      </c>
    </row>
    <row r="16" spans="1:9">
      <c r="A16" s="54">
        <v>9</v>
      </c>
      <c r="B16" s="120" t="s">
        <v>949</v>
      </c>
      <c r="C16" s="758">
        <f>'11. CRWA'!C16+'11. CRWA'!E16+'11. CRWA'!G16+'11. CRWA'!I16+'11. CRWA'!K16+'11. CRWA'!M16+'11. CRWA'!O16+'11. CRWA'!Q16</f>
        <v>0</v>
      </c>
      <c r="D16" s="758">
        <f>'11. CRWA'!D16+'11. CRWA'!F16+'11. CRWA'!H16+'11. CRWA'!J16+'11. CRWA'!L16+'11. CRWA'!N16+'11. CRWA'!P16+'11. CRWA'!R16</f>
        <v>0</v>
      </c>
      <c r="E16" s="758">
        <f>'11. CRWA'!D16+'11. CRWA'!F16+'11. CRWA'!H16+'11. CRWA'!J16+'11. CRWA'!L16+'11. CRWA'!N16+'11. CRWA'!P16+'11. CRWA'!R16</f>
        <v>0</v>
      </c>
      <c r="F16" s="758">
        <f>'11. CRWA'!S16</f>
        <v>0</v>
      </c>
      <c r="G16" s="759">
        <f>F16-'12. CRM'!V15</f>
        <v>0</v>
      </c>
      <c r="H16" s="760">
        <f t="shared" si="0"/>
        <v>0</v>
      </c>
    </row>
    <row r="17" spans="1:8">
      <c r="A17" s="54">
        <v>10</v>
      </c>
      <c r="B17" s="120" t="s">
        <v>67</v>
      </c>
      <c r="C17" s="758">
        <f>'11. CRWA'!C17+'11. CRWA'!E17+'11. CRWA'!G17+'11. CRWA'!I17+'11. CRWA'!K17+'11. CRWA'!M17+'11. CRWA'!O17+'11. CRWA'!Q17</f>
        <v>405050.73000000004</v>
      </c>
      <c r="D17" s="758">
        <f>'11. CRWA'!D17+'11. CRWA'!F17+'11. CRWA'!H17+'11. CRWA'!J17+'11. CRWA'!L17+'11. CRWA'!N17+'11. CRWA'!P17+'11. CRWA'!R17</f>
        <v>0</v>
      </c>
      <c r="E17" s="758">
        <f>'11. CRWA'!D17+'11. CRWA'!F17+'11. CRWA'!H17+'11. CRWA'!J17+'11. CRWA'!L17+'11. CRWA'!N17+'11. CRWA'!P17+'11. CRWA'!R17</f>
        <v>0</v>
      </c>
      <c r="F17" s="758">
        <f>'11. CRWA'!S17</f>
        <v>405050.73000000004</v>
      </c>
      <c r="G17" s="759">
        <f>F17-'12. CRM'!V16</f>
        <v>405050.73000000004</v>
      </c>
      <c r="H17" s="760">
        <f t="shared" si="0"/>
        <v>1</v>
      </c>
    </row>
    <row r="18" spans="1:8">
      <c r="A18" s="54">
        <v>11</v>
      </c>
      <c r="B18" s="120" t="s">
        <v>68</v>
      </c>
      <c r="C18" s="758">
        <f>'11. CRWA'!C18+'11. CRWA'!E18+'11. CRWA'!G18+'11. CRWA'!I18+'11. CRWA'!K18+'11. CRWA'!M18+'11. CRWA'!O18+'11. CRWA'!Q18</f>
        <v>0</v>
      </c>
      <c r="D18" s="758">
        <f>'11. CRWA'!D18+'11. CRWA'!F18+'11. CRWA'!H18+'11. CRWA'!J18+'11. CRWA'!L18+'11. CRWA'!N18+'11. CRWA'!P18+'11. CRWA'!R18</f>
        <v>0</v>
      </c>
      <c r="E18" s="758">
        <f>'11. CRWA'!D18+'11. CRWA'!F18+'11. CRWA'!H18+'11. CRWA'!J18+'11. CRWA'!L18+'11. CRWA'!N18+'11. CRWA'!P18+'11. CRWA'!R18</f>
        <v>0</v>
      </c>
      <c r="F18" s="758">
        <f>'11. CRWA'!S18</f>
        <v>0</v>
      </c>
      <c r="G18" s="759">
        <f>F18-'12. CRM'!V17</f>
        <v>0</v>
      </c>
      <c r="H18" s="760">
        <f t="shared" si="0"/>
        <v>0</v>
      </c>
    </row>
    <row r="19" spans="1:8">
      <c r="A19" s="54">
        <v>12</v>
      </c>
      <c r="B19" s="120" t="s">
        <v>69</v>
      </c>
      <c r="C19" s="758">
        <f>'11. CRWA'!C19+'11. CRWA'!E19+'11. CRWA'!G19+'11. CRWA'!I19+'11. CRWA'!K19+'11. CRWA'!M19+'11. CRWA'!O19+'11. CRWA'!Q19</f>
        <v>0</v>
      </c>
      <c r="D19" s="758">
        <f>'11. CRWA'!D19+'11. CRWA'!F19+'11. CRWA'!H19+'11. CRWA'!J19+'11. CRWA'!L19+'11. CRWA'!N19+'11. CRWA'!P19+'11. CRWA'!R19</f>
        <v>0</v>
      </c>
      <c r="E19" s="758">
        <f>'11. CRWA'!D19+'11. CRWA'!F19+'11. CRWA'!H19+'11. CRWA'!J19+'11. CRWA'!L19+'11. CRWA'!N19+'11. CRWA'!P19+'11. CRWA'!R19</f>
        <v>0</v>
      </c>
      <c r="F19" s="758">
        <f>'11. CRWA'!S19</f>
        <v>0</v>
      </c>
      <c r="G19" s="759">
        <f>F19-'12. CRM'!V18</f>
        <v>0</v>
      </c>
      <c r="H19" s="760">
        <f t="shared" si="0"/>
        <v>0</v>
      </c>
    </row>
    <row r="20" spans="1:8">
      <c r="A20" s="54">
        <v>13</v>
      </c>
      <c r="B20" s="120" t="s">
        <v>70</v>
      </c>
      <c r="C20" s="758">
        <f>'11. CRWA'!C20+'11. CRWA'!E20+'11. CRWA'!G20+'11. CRWA'!I20+'11. CRWA'!K20+'11. CRWA'!M20+'11. CRWA'!O20+'11. CRWA'!Q20</f>
        <v>0</v>
      </c>
      <c r="D20" s="758">
        <f>'11. CRWA'!D20+'11. CRWA'!F20+'11. CRWA'!H20+'11. CRWA'!J20+'11. CRWA'!L20+'11. CRWA'!N20+'11. CRWA'!P20+'11. CRWA'!R20</f>
        <v>0</v>
      </c>
      <c r="E20" s="758">
        <f>'11. CRWA'!D20+'11. CRWA'!F20+'11. CRWA'!H20+'11. CRWA'!J20+'11. CRWA'!L20+'11. CRWA'!N20+'11. CRWA'!P20+'11. CRWA'!R20</f>
        <v>0</v>
      </c>
      <c r="F20" s="758">
        <f>'11. CRWA'!S20</f>
        <v>0</v>
      </c>
      <c r="G20" s="759">
        <f>F20-'12. CRM'!V19</f>
        <v>0</v>
      </c>
      <c r="H20" s="760">
        <f t="shared" si="0"/>
        <v>0</v>
      </c>
    </row>
    <row r="21" spans="1:8">
      <c r="A21" s="54">
        <v>14</v>
      </c>
      <c r="B21" s="120" t="s">
        <v>154</v>
      </c>
      <c r="C21" s="758">
        <f>'11. CRWA'!C21+'11. CRWA'!E21+'11. CRWA'!G21+'11. CRWA'!I21+'11. CRWA'!K21+'11. CRWA'!M21+'11. CRWA'!O21+'11. CRWA'!Q21</f>
        <v>20658604.61064852</v>
      </c>
      <c r="D21" s="758">
        <f>'11. CRWA'!D21+'11. CRWA'!F21+'11. CRWA'!H21+'11. CRWA'!J21+'11. CRWA'!L21+'11. CRWA'!N21+'11. CRWA'!P21+'11. CRWA'!R21</f>
        <v>0</v>
      </c>
      <c r="E21" s="758">
        <f>'11. CRWA'!D21+'11. CRWA'!F21+'11. CRWA'!H21+'11. CRWA'!J21+'11. CRWA'!L21+'11. CRWA'!N21+'11. CRWA'!P21+'11. CRWA'!R21</f>
        <v>0</v>
      </c>
      <c r="F21" s="758">
        <f>'11. CRWA'!S21</f>
        <v>17777849.79064852</v>
      </c>
      <c r="G21" s="759">
        <f>F21-'12. CRM'!V20</f>
        <v>17557935.914542515</v>
      </c>
      <c r="H21" s="760">
        <f t="shared" si="0"/>
        <v>0.84990909335145703</v>
      </c>
    </row>
    <row r="22" spans="1:8" ht="13.5" thickBot="1">
      <c r="A22" s="101"/>
      <c r="B22" s="107" t="s">
        <v>66</v>
      </c>
      <c r="C22" s="181">
        <f>SUM(C8:C21)</f>
        <v>434017991.46745902</v>
      </c>
      <c r="D22" s="181">
        <f>SUM(D8:D21)</f>
        <v>57902998.409999989</v>
      </c>
      <c r="E22" s="181">
        <f>SUM(E8:E21)</f>
        <v>57902998.409999989</v>
      </c>
      <c r="F22" s="181">
        <f>SUM(F8:F21)</f>
        <v>435922744.50844097</v>
      </c>
      <c r="G22" s="181">
        <f>SUM(G8:G21)</f>
        <v>419845683.75233495</v>
      </c>
      <c r="H22" s="198">
        <f>G22/(C22+E22)</f>
        <v>0.8534819460680495</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showGridLines="0" zoomScale="90" zoomScaleNormal="90" workbookViewId="0">
      <pane xSplit="2" ySplit="6" topLeftCell="C7" activePane="bottomRight" state="frozen"/>
      <selection pane="topRight" activeCell="C1" sqref="C1"/>
      <selection pane="bottomLeft" activeCell="A6" sqref="A6"/>
      <selection pane="bottomRight" activeCell="B1" sqref="B1:B2"/>
    </sheetView>
  </sheetViews>
  <sheetFormatPr defaultColWidth="9.140625" defaultRowHeight="12.75"/>
  <cols>
    <col min="1" max="1" width="10.5703125" style="222" bestFit="1" customWidth="1"/>
    <col min="2" max="2" width="104.140625" style="222" customWidth="1"/>
    <col min="3" max="11" width="12.7109375" style="222" customWidth="1"/>
    <col min="12" max="16384" width="9.140625" style="222"/>
  </cols>
  <sheetData>
    <row r="1" spans="1:11">
      <c r="A1" s="222" t="s">
        <v>108</v>
      </c>
      <c r="B1" s="636" t="str">
        <f>'1. key ratios'!B1</f>
        <v>სს იშბანკი საქართველო</v>
      </c>
    </row>
    <row r="2" spans="1:11">
      <c r="A2" s="222" t="s">
        <v>109</v>
      </c>
      <c r="B2" s="637">
        <f>'1. key ratios'!B2</f>
        <v>45016</v>
      </c>
      <c r="C2" s="223"/>
      <c r="D2" s="223"/>
    </row>
    <row r="3" spans="1:11">
      <c r="B3" s="223"/>
      <c r="C3" s="223"/>
      <c r="D3" s="223"/>
    </row>
    <row r="4" spans="1:11" ht="13.5" thickBot="1">
      <c r="A4" s="222" t="s">
        <v>352</v>
      </c>
      <c r="B4" s="193" t="s">
        <v>351</v>
      </c>
      <c r="C4" s="223"/>
      <c r="D4" s="223"/>
    </row>
    <row r="5" spans="1:11" ht="30" customHeight="1">
      <c r="A5" s="892"/>
      <c r="B5" s="893"/>
      <c r="C5" s="890" t="s">
        <v>384</v>
      </c>
      <c r="D5" s="890"/>
      <c r="E5" s="890"/>
      <c r="F5" s="890" t="s">
        <v>385</v>
      </c>
      <c r="G5" s="890"/>
      <c r="H5" s="890"/>
      <c r="I5" s="890" t="s">
        <v>386</v>
      </c>
      <c r="J5" s="890"/>
      <c r="K5" s="891"/>
    </row>
    <row r="6" spans="1:11">
      <c r="A6" s="220"/>
      <c r="B6" s="221"/>
      <c r="C6" s="224" t="s">
        <v>26</v>
      </c>
      <c r="D6" s="224" t="s">
        <v>90</v>
      </c>
      <c r="E6" s="224" t="s">
        <v>66</v>
      </c>
      <c r="F6" s="224" t="s">
        <v>26</v>
      </c>
      <c r="G6" s="224" t="s">
        <v>90</v>
      </c>
      <c r="H6" s="224" t="s">
        <v>66</v>
      </c>
      <c r="I6" s="224" t="s">
        <v>26</v>
      </c>
      <c r="J6" s="224" t="s">
        <v>90</v>
      </c>
      <c r="K6" s="226" t="s">
        <v>66</v>
      </c>
    </row>
    <row r="7" spans="1:11">
      <c r="A7" s="227" t="s">
        <v>322</v>
      </c>
      <c r="B7" s="219"/>
      <c r="C7" s="761"/>
      <c r="D7" s="762"/>
      <c r="E7" s="228"/>
      <c r="F7" s="761"/>
      <c r="G7" s="762"/>
      <c r="H7" s="228"/>
      <c r="I7" s="762"/>
      <c r="J7" s="762"/>
      <c r="K7" s="228"/>
    </row>
    <row r="8" spans="1:11">
      <c r="A8" s="218">
        <v>1</v>
      </c>
      <c r="B8" s="203" t="s">
        <v>322</v>
      </c>
      <c r="C8" s="629"/>
      <c r="D8" s="201"/>
      <c r="E8" s="202"/>
      <c r="F8" s="763">
        <v>17488505.33477778</v>
      </c>
      <c r="G8" s="764">
        <v>69135204.840777799</v>
      </c>
      <c r="H8" s="765">
        <f>G8+F8</f>
        <v>86623710.175555587</v>
      </c>
      <c r="I8" s="766">
        <v>11561618.514333332</v>
      </c>
      <c r="J8" s="764">
        <v>41821291.245222241</v>
      </c>
      <c r="K8" s="765">
        <f>I8+J8</f>
        <v>53382909.759555571</v>
      </c>
    </row>
    <row r="9" spans="1:11">
      <c r="A9" s="227" t="s">
        <v>323</v>
      </c>
      <c r="B9" s="219"/>
      <c r="C9" s="761"/>
      <c r="D9" s="762"/>
      <c r="E9" s="228"/>
      <c r="F9" s="761"/>
      <c r="G9" s="762"/>
      <c r="H9" s="228"/>
      <c r="I9" s="762"/>
      <c r="J9" s="762"/>
      <c r="K9" s="228"/>
    </row>
    <row r="10" spans="1:11">
      <c r="A10" s="229">
        <v>2</v>
      </c>
      <c r="B10" s="204" t="s">
        <v>324</v>
      </c>
      <c r="C10" s="763">
        <v>3192925.6664444455</v>
      </c>
      <c r="D10" s="767">
        <v>17719298.505044453</v>
      </c>
      <c r="E10" s="765">
        <f>C10+D10</f>
        <v>20912224.1714889</v>
      </c>
      <c r="F10" s="763">
        <v>746801.45127055526</v>
      </c>
      <c r="G10" s="767">
        <v>4529284.6936083306</v>
      </c>
      <c r="H10" s="765">
        <f>G10+F10</f>
        <v>5276086.1448788857</v>
      </c>
      <c r="I10" s="766">
        <v>191311.64553888884</v>
      </c>
      <c r="J10" s="767">
        <v>1269224.3978888888</v>
      </c>
      <c r="K10" s="765">
        <f>I10+J10</f>
        <v>1460536.0434277777</v>
      </c>
    </row>
    <row r="11" spans="1:11">
      <c r="A11" s="229">
        <v>3</v>
      </c>
      <c r="B11" s="204" t="s">
        <v>325</v>
      </c>
      <c r="C11" s="763">
        <v>30505243.684888888</v>
      </c>
      <c r="D11" s="767">
        <v>185118407.67122227</v>
      </c>
      <c r="E11" s="765">
        <f t="shared" ref="E11:E16" si="0">C11+D11</f>
        <v>215623651.35611117</v>
      </c>
      <c r="F11" s="768">
        <v>13745538.923749998</v>
      </c>
      <c r="G11" s="766">
        <v>54433460.452458389</v>
      </c>
      <c r="H11" s="765">
        <f t="shared" ref="H11:H16" si="1">G11+F11</f>
        <v>68178999.376208395</v>
      </c>
      <c r="I11" s="768">
        <v>11899282.887997782</v>
      </c>
      <c r="J11" s="766">
        <v>45088825.282259993</v>
      </c>
      <c r="K11" s="765">
        <f t="shared" ref="K11:K16" si="2">I11+J11</f>
        <v>56988108.170257777</v>
      </c>
    </row>
    <row r="12" spans="1:11">
      <c r="A12" s="229">
        <v>4</v>
      </c>
      <c r="B12" s="204" t="s">
        <v>326</v>
      </c>
      <c r="C12" s="769"/>
      <c r="D12" s="770"/>
      <c r="E12" s="765">
        <f t="shared" si="0"/>
        <v>0</v>
      </c>
      <c r="F12" s="769"/>
      <c r="G12" s="770"/>
      <c r="H12" s="765">
        <f t="shared" si="1"/>
        <v>0</v>
      </c>
      <c r="I12" s="771"/>
      <c r="J12" s="770"/>
      <c r="K12" s="765">
        <f t="shared" si="2"/>
        <v>0</v>
      </c>
    </row>
    <row r="13" spans="1:11">
      <c r="A13" s="229">
        <v>5</v>
      </c>
      <c r="B13" s="204" t="s">
        <v>327</v>
      </c>
      <c r="C13" s="763">
        <v>43453745.40855559</v>
      </c>
      <c r="D13" s="767">
        <v>53729266.312333338</v>
      </c>
      <c r="E13" s="765">
        <f t="shared" si="0"/>
        <v>97183011.720888928</v>
      </c>
      <c r="F13" s="763">
        <v>4349817.2091833334</v>
      </c>
      <c r="G13" s="767">
        <v>5429398.6025388893</v>
      </c>
      <c r="H13" s="765">
        <f t="shared" si="1"/>
        <v>9779215.8117222227</v>
      </c>
      <c r="I13" s="766">
        <v>2172882.7606722224</v>
      </c>
      <c r="J13" s="767">
        <v>2686463.3156166673</v>
      </c>
      <c r="K13" s="765">
        <f t="shared" si="2"/>
        <v>4859346.0762888901</v>
      </c>
    </row>
    <row r="14" spans="1:11">
      <c r="A14" s="229">
        <v>6</v>
      </c>
      <c r="B14" s="204" t="s">
        <v>342</v>
      </c>
      <c r="C14" s="769"/>
      <c r="D14" s="770"/>
      <c r="E14" s="765">
        <f t="shared" si="0"/>
        <v>0</v>
      </c>
      <c r="F14" s="769"/>
      <c r="G14" s="770"/>
      <c r="H14" s="765">
        <f t="shared" si="1"/>
        <v>0</v>
      </c>
      <c r="I14" s="771"/>
      <c r="J14" s="770"/>
      <c r="K14" s="765">
        <f t="shared" si="2"/>
        <v>0</v>
      </c>
    </row>
    <row r="15" spans="1:11">
      <c r="A15" s="229">
        <v>7</v>
      </c>
      <c r="B15" s="204" t="s">
        <v>329</v>
      </c>
      <c r="C15" s="763">
        <v>4287791.656555553</v>
      </c>
      <c r="D15" s="767">
        <v>1373670.3166666671</v>
      </c>
      <c r="E15" s="765">
        <f t="shared" si="0"/>
        <v>5661461.9732222203</v>
      </c>
      <c r="F15" s="763">
        <v>0</v>
      </c>
      <c r="G15" s="767">
        <v>1203.8808888888866</v>
      </c>
      <c r="H15" s="765">
        <f t="shared" si="1"/>
        <v>1203.8808888888866</v>
      </c>
      <c r="I15" s="766">
        <v>0</v>
      </c>
      <c r="J15" s="767">
        <v>0</v>
      </c>
      <c r="K15" s="765">
        <f t="shared" si="2"/>
        <v>0</v>
      </c>
    </row>
    <row r="16" spans="1:11">
      <c r="A16" s="229">
        <v>8</v>
      </c>
      <c r="B16" s="205" t="s">
        <v>330</v>
      </c>
      <c r="C16" s="772">
        <f>SUM(C10:C15)</f>
        <v>81439706.416444466</v>
      </c>
      <c r="D16" s="773">
        <f>SUM(D10:D15)</f>
        <v>257940642.80526674</v>
      </c>
      <c r="E16" s="765">
        <f t="shared" si="0"/>
        <v>339380349.22171122</v>
      </c>
      <c r="F16" s="774">
        <f>SUM(F10:F15)</f>
        <v>18842157.584203888</v>
      </c>
      <c r="G16" s="775">
        <f>SUM(G10:G15)</f>
        <v>64393347.629494496</v>
      </c>
      <c r="H16" s="765">
        <f t="shared" si="1"/>
        <v>83235505.213698387</v>
      </c>
      <c r="I16" s="773">
        <f>SUM(I10:I15)</f>
        <v>14263477.294208894</v>
      </c>
      <c r="J16" s="775">
        <f>SUM(J10:J15)</f>
        <v>49044512.995765552</v>
      </c>
      <c r="K16" s="765">
        <f t="shared" si="2"/>
        <v>63307990.289974444</v>
      </c>
    </row>
    <row r="17" spans="1:11">
      <c r="A17" s="227" t="s">
        <v>331</v>
      </c>
      <c r="B17" s="219"/>
      <c r="C17" s="761"/>
      <c r="D17" s="762"/>
      <c r="E17" s="228"/>
      <c r="F17" s="761"/>
      <c r="G17" s="762"/>
      <c r="H17" s="228"/>
      <c r="I17" s="762"/>
      <c r="J17" s="762"/>
      <c r="K17" s="228"/>
    </row>
    <row r="18" spans="1:11">
      <c r="A18" s="229">
        <v>9</v>
      </c>
      <c r="B18" s="204" t="s">
        <v>332</v>
      </c>
      <c r="C18" s="769"/>
      <c r="D18" s="770"/>
      <c r="E18" s="765">
        <f>C18+D18</f>
        <v>0</v>
      </c>
      <c r="F18" s="769"/>
      <c r="G18" s="770"/>
      <c r="H18" s="765">
        <f>F18+G18</f>
        <v>0</v>
      </c>
      <c r="I18" s="771"/>
      <c r="J18" s="770"/>
      <c r="K18" s="765">
        <f>I18+J18</f>
        <v>0</v>
      </c>
    </row>
    <row r="19" spans="1:11">
      <c r="A19" s="229">
        <v>10</v>
      </c>
      <c r="B19" s="204" t="s">
        <v>333</v>
      </c>
      <c r="C19" s="763">
        <v>129924156.67662896</v>
      </c>
      <c r="D19" s="767">
        <v>144114096.80492032</v>
      </c>
      <c r="E19" s="765">
        <f t="shared" ref="E19:E21" si="3">C19+D19</f>
        <v>274038253.48154926</v>
      </c>
      <c r="F19" s="763">
        <v>26471677.059605476</v>
      </c>
      <c r="G19" s="767">
        <v>7558362.9686110243</v>
      </c>
      <c r="H19" s="765">
        <f t="shared" ref="H19:H21" si="4">F19+G19</f>
        <v>34030040.028216496</v>
      </c>
      <c r="I19" s="766">
        <v>31196226.410723332</v>
      </c>
      <c r="J19" s="767">
        <v>45973804.11964146</v>
      </c>
      <c r="K19" s="765">
        <f t="shared" ref="K19:K21" si="5">I19+J19</f>
        <v>77170030.530364797</v>
      </c>
    </row>
    <row r="20" spans="1:11">
      <c r="A20" s="229">
        <v>11</v>
      </c>
      <c r="B20" s="204" t="s">
        <v>334</v>
      </c>
      <c r="C20" s="768">
        <v>5410997.6142270518</v>
      </c>
      <c r="D20" s="776">
        <v>11397819.125499677</v>
      </c>
      <c r="E20" s="765">
        <f t="shared" si="3"/>
        <v>16808816.73972673</v>
      </c>
      <c r="F20" s="768">
        <v>606763.80753354193</v>
      </c>
      <c r="G20" s="776">
        <v>48355.150269188867</v>
      </c>
      <c r="H20" s="765">
        <f t="shared" si="4"/>
        <v>655118.95780273085</v>
      </c>
      <c r="I20" s="777">
        <v>3770943.7314586323</v>
      </c>
      <c r="J20" s="776">
        <v>217648.93766508898</v>
      </c>
      <c r="K20" s="765">
        <f t="shared" si="5"/>
        <v>3988592.6691237213</v>
      </c>
    </row>
    <row r="21" spans="1:11" ht="13.5" thickBot="1">
      <c r="A21" s="154">
        <v>12</v>
      </c>
      <c r="B21" s="230" t="s">
        <v>335</v>
      </c>
      <c r="C21" s="778">
        <f>SUM(C18:C20)</f>
        <v>135335154.290856</v>
      </c>
      <c r="D21" s="779">
        <f>SUM(D18:D20)</f>
        <v>155511915.93041998</v>
      </c>
      <c r="E21" s="780">
        <f t="shared" si="3"/>
        <v>290847070.22127599</v>
      </c>
      <c r="F21" s="781">
        <f>SUM(F18:F20)</f>
        <v>27078440.867139019</v>
      </c>
      <c r="G21" s="782">
        <f>SUM(G18:G20)</f>
        <v>7606718.1188802132</v>
      </c>
      <c r="H21" s="780">
        <f t="shared" si="4"/>
        <v>34685158.986019231</v>
      </c>
      <c r="I21" s="779">
        <f>SUM(I18:I20)</f>
        <v>34967170.142181963</v>
      </c>
      <c r="J21" s="782">
        <f>SUM(J18:J20)</f>
        <v>46191453.05730655</v>
      </c>
      <c r="K21" s="780">
        <f t="shared" si="5"/>
        <v>81158623.199488521</v>
      </c>
    </row>
    <row r="22" spans="1:11" ht="38.25" customHeight="1" thickBot="1">
      <c r="A22" s="216"/>
      <c r="B22" s="217"/>
      <c r="C22" s="217"/>
      <c r="D22" s="217"/>
      <c r="E22" s="217"/>
      <c r="F22" s="889" t="s">
        <v>336</v>
      </c>
      <c r="G22" s="890"/>
      <c r="H22" s="890"/>
      <c r="I22" s="889" t="s">
        <v>337</v>
      </c>
      <c r="J22" s="890"/>
      <c r="K22" s="891"/>
    </row>
    <row r="23" spans="1:11">
      <c r="A23" s="209">
        <v>13</v>
      </c>
      <c r="B23" s="206" t="s">
        <v>322</v>
      </c>
      <c r="C23" s="215"/>
      <c r="D23" s="215"/>
      <c r="E23" s="215"/>
      <c r="F23" s="783">
        <f>F8</f>
        <v>17488505.33477778</v>
      </c>
      <c r="G23" s="784">
        <f>G8</f>
        <v>69135204.840777799</v>
      </c>
      <c r="H23" s="785">
        <f>F23+G23</f>
        <v>86623710.175555587</v>
      </c>
      <c r="I23" s="783">
        <f>I8</f>
        <v>11561618.514333332</v>
      </c>
      <c r="J23" s="784">
        <f>J8</f>
        <v>41821291.245222241</v>
      </c>
      <c r="K23" s="785">
        <f>I23+J23</f>
        <v>53382909.759555571</v>
      </c>
    </row>
    <row r="24" spans="1:11" ht="13.5" thickBot="1">
      <c r="A24" s="210">
        <v>14</v>
      </c>
      <c r="B24" s="207" t="s">
        <v>338</v>
      </c>
      <c r="C24" s="231"/>
      <c r="D24" s="213"/>
      <c r="E24" s="214"/>
      <c r="F24" s="786">
        <f>F16-MIN(F16*75%,F21)</f>
        <v>4710539.396050971</v>
      </c>
      <c r="G24" s="787">
        <f>G16-MIN(G16*75%,G21)</f>
        <v>56786629.510614283</v>
      </c>
      <c r="H24" s="788">
        <f>F24+G24</f>
        <v>61497168.906665251</v>
      </c>
      <c r="I24" s="786">
        <f>I16-MIN(I16*75%,I21)</f>
        <v>3565869.3235522229</v>
      </c>
      <c r="J24" s="787">
        <f>J16-MIN(J16*75%,J21)</f>
        <v>12261128.248941392</v>
      </c>
      <c r="K24" s="788">
        <f t="shared" ref="K24" si="6">I24+J24</f>
        <v>15826997.572493615</v>
      </c>
    </row>
    <row r="25" spans="1:11" ht="13.5" thickBot="1">
      <c r="A25" s="211">
        <v>15</v>
      </c>
      <c r="B25" s="208" t="s">
        <v>339</v>
      </c>
      <c r="C25" s="212"/>
      <c r="D25" s="212"/>
      <c r="E25" s="212"/>
      <c r="F25" s="789">
        <f t="shared" ref="F25:G25" si="7">F23/F24</f>
        <v>3.7126332813263545</v>
      </c>
      <c r="G25" s="790">
        <f t="shared" si="7"/>
        <v>1.217455683434344</v>
      </c>
      <c r="H25" s="791">
        <f>H23/H24</f>
        <v>1.4085804552568117</v>
      </c>
      <c r="I25" s="789">
        <f t="shared" ref="I25:J25" si="8">I23/I24</f>
        <v>3.2423001140198706</v>
      </c>
      <c r="J25" s="790">
        <f t="shared" si="8"/>
        <v>3.4108844142326813</v>
      </c>
      <c r="K25" s="791">
        <f>K23/K24</f>
        <v>3.3729018732101097</v>
      </c>
    </row>
    <row r="28" spans="1:11" ht="38.25">
      <c r="B28" s="23" t="s">
        <v>383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showGridLines="0" workbookViewId="0">
      <pane xSplit="1" ySplit="5" topLeftCell="B6" activePane="bottomRight" state="frozen"/>
      <selection pane="topRight" activeCell="B1" sqref="B1"/>
      <selection pane="bottomLeft" activeCell="A5" sqref="A5"/>
      <selection pane="bottomRight" activeCell="B1" sqref="B1:B2"/>
    </sheetView>
  </sheetViews>
  <sheetFormatPr defaultColWidth="9.140625" defaultRowHeight="15"/>
  <cols>
    <col min="1" max="1" width="10.5703125" style="39" bestFit="1" customWidth="1"/>
    <col min="2" max="2" width="95" style="39" customWidth="1"/>
    <col min="3" max="3" width="12.5703125" style="39" bestFit="1" customWidth="1"/>
    <col min="4" max="4" width="10" style="39" bestFit="1" customWidth="1"/>
    <col min="5" max="5" width="18.28515625" style="39" bestFit="1" customWidth="1"/>
    <col min="6" max="13" width="10.7109375" style="39" customWidth="1"/>
    <col min="14" max="14" width="31" style="39" bestFit="1" customWidth="1"/>
    <col min="15" max="16384" width="9.140625" style="12"/>
  </cols>
  <sheetData>
    <row r="1" spans="1:14">
      <c r="A1" s="5" t="s">
        <v>108</v>
      </c>
      <c r="B1" s="636" t="str">
        <f>'1. key ratios'!B1</f>
        <v>სს იშბანკი საქართველო</v>
      </c>
    </row>
    <row r="2" spans="1:14" ht="14.25" customHeight="1">
      <c r="A2" s="39" t="s">
        <v>109</v>
      </c>
      <c r="B2" s="637">
        <f>'1. key ratios'!B2</f>
        <v>45016</v>
      </c>
    </row>
    <row r="3" spans="1:14" ht="14.25" customHeight="1"/>
    <row r="4" spans="1:14" ht="15.75" thickBot="1">
      <c r="A4" s="2" t="s">
        <v>262</v>
      </c>
      <c r="B4" s="56" t="s">
        <v>74</v>
      </c>
    </row>
    <row r="5" spans="1:14" s="25" customFormat="1" ht="12.75">
      <c r="A5" s="116"/>
      <c r="B5" s="117"/>
      <c r="C5" s="118" t="s">
        <v>0</v>
      </c>
      <c r="D5" s="118" t="s">
        <v>1</v>
      </c>
      <c r="E5" s="118" t="s">
        <v>2</v>
      </c>
      <c r="F5" s="118" t="s">
        <v>3</v>
      </c>
      <c r="G5" s="118" t="s">
        <v>4</v>
      </c>
      <c r="H5" s="118" t="s">
        <v>5</v>
      </c>
      <c r="I5" s="118" t="s">
        <v>145</v>
      </c>
      <c r="J5" s="118" t="s">
        <v>146</v>
      </c>
      <c r="K5" s="118" t="s">
        <v>147</v>
      </c>
      <c r="L5" s="118" t="s">
        <v>148</v>
      </c>
      <c r="M5" s="118" t="s">
        <v>149</v>
      </c>
      <c r="N5" s="119" t="s">
        <v>150</v>
      </c>
    </row>
    <row r="6" spans="1:14" ht="45">
      <c r="A6" s="108"/>
      <c r="B6" s="68"/>
      <c r="C6" s="69" t="s">
        <v>84</v>
      </c>
      <c r="D6" s="70" t="s">
        <v>73</v>
      </c>
      <c r="E6" s="71" t="s">
        <v>83</v>
      </c>
      <c r="F6" s="72">
        <v>0</v>
      </c>
      <c r="G6" s="72">
        <v>0.2</v>
      </c>
      <c r="H6" s="72">
        <v>0.35</v>
      </c>
      <c r="I6" s="72">
        <v>0.5</v>
      </c>
      <c r="J6" s="72">
        <v>0.75</v>
      </c>
      <c r="K6" s="72">
        <v>1</v>
      </c>
      <c r="L6" s="72">
        <v>1.5</v>
      </c>
      <c r="M6" s="72">
        <v>2.5</v>
      </c>
      <c r="N6" s="109" t="s">
        <v>74</v>
      </c>
    </row>
    <row r="7" spans="1:14">
      <c r="A7" s="110">
        <v>1</v>
      </c>
      <c r="B7" s="73" t="s">
        <v>75</v>
      </c>
      <c r="C7" s="182">
        <f>SUM(C8:C13)</f>
        <v>0</v>
      </c>
      <c r="D7" s="68"/>
      <c r="E7" s="185">
        <f t="shared" ref="E7:M7" si="0">SUM(E8:E13)</f>
        <v>0</v>
      </c>
      <c r="F7" s="182">
        <f>SUM(F8:F13)</f>
        <v>0</v>
      </c>
      <c r="G7" s="182">
        <f t="shared" si="0"/>
        <v>0</v>
      </c>
      <c r="H7" s="182">
        <f t="shared" si="0"/>
        <v>0</v>
      </c>
      <c r="I7" s="182">
        <f t="shared" si="0"/>
        <v>0</v>
      </c>
      <c r="J7" s="182">
        <f t="shared" si="0"/>
        <v>0</v>
      </c>
      <c r="K7" s="182">
        <f t="shared" si="0"/>
        <v>0</v>
      </c>
      <c r="L7" s="182">
        <f t="shared" si="0"/>
        <v>0</v>
      </c>
      <c r="M7" s="182">
        <f t="shared" si="0"/>
        <v>0</v>
      </c>
      <c r="N7" s="111">
        <f>SUM(N8:N13)</f>
        <v>0</v>
      </c>
    </row>
    <row r="8" spans="1:14">
      <c r="A8" s="110">
        <v>1.1000000000000001</v>
      </c>
      <c r="B8" s="74" t="s">
        <v>76</v>
      </c>
      <c r="C8" s="183">
        <v>0</v>
      </c>
      <c r="D8" s="75">
        <v>0.02</v>
      </c>
      <c r="E8" s="185">
        <f>C8*D8</f>
        <v>0</v>
      </c>
      <c r="F8" s="183"/>
      <c r="G8" s="183"/>
      <c r="H8" s="183"/>
      <c r="I8" s="183"/>
      <c r="J8" s="183"/>
      <c r="K8" s="183"/>
      <c r="L8" s="183"/>
      <c r="M8" s="183"/>
      <c r="N8" s="111">
        <f>SUMPRODUCT($F$6:$M$6,F8:M8)</f>
        <v>0</v>
      </c>
    </row>
    <row r="9" spans="1:14">
      <c r="A9" s="110">
        <v>1.2</v>
      </c>
      <c r="B9" s="74" t="s">
        <v>77</v>
      </c>
      <c r="C9" s="183">
        <v>0</v>
      </c>
      <c r="D9" s="75">
        <v>0.05</v>
      </c>
      <c r="E9" s="185">
        <f>C9*D9</f>
        <v>0</v>
      </c>
      <c r="F9" s="183"/>
      <c r="G9" s="183"/>
      <c r="H9" s="183"/>
      <c r="I9" s="183"/>
      <c r="J9" s="183"/>
      <c r="K9" s="183"/>
      <c r="L9" s="183"/>
      <c r="M9" s="183"/>
      <c r="N9" s="111">
        <f t="shared" ref="N9:N12" si="1">SUMPRODUCT($F$6:$M$6,F9:M9)</f>
        <v>0</v>
      </c>
    </row>
    <row r="10" spans="1:14">
      <c r="A10" s="110">
        <v>1.3</v>
      </c>
      <c r="B10" s="74" t="s">
        <v>78</v>
      </c>
      <c r="C10" s="183">
        <v>0</v>
      </c>
      <c r="D10" s="75">
        <v>0.08</v>
      </c>
      <c r="E10" s="185">
        <f>C10*D10</f>
        <v>0</v>
      </c>
      <c r="F10" s="183"/>
      <c r="G10" s="183"/>
      <c r="H10" s="183"/>
      <c r="I10" s="183"/>
      <c r="J10" s="183"/>
      <c r="K10" s="183"/>
      <c r="L10" s="183"/>
      <c r="M10" s="183"/>
      <c r="N10" s="111">
        <f>SUMPRODUCT($F$6:$M$6,F10:M10)</f>
        <v>0</v>
      </c>
    </row>
    <row r="11" spans="1:14">
      <c r="A11" s="110">
        <v>1.4</v>
      </c>
      <c r="B11" s="74" t="s">
        <v>79</v>
      </c>
      <c r="C11" s="183">
        <v>0</v>
      </c>
      <c r="D11" s="75">
        <v>0.11</v>
      </c>
      <c r="E11" s="185">
        <f>C11*D11</f>
        <v>0</v>
      </c>
      <c r="F11" s="183"/>
      <c r="G11" s="183"/>
      <c r="H11" s="183"/>
      <c r="I11" s="183"/>
      <c r="J11" s="183"/>
      <c r="K11" s="183"/>
      <c r="L11" s="183"/>
      <c r="M11" s="183"/>
      <c r="N11" s="111">
        <f t="shared" si="1"/>
        <v>0</v>
      </c>
    </row>
    <row r="12" spans="1:14">
      <c r="A12" s="110">
        <v>1.5</v>
      </c>
      <c r="B12" s="74" t="s">
        <v>80</v>
      </c>
      <c r="C12" s="183">
        <v>0</v>
      </c>
      <c r="D12" s="75">
        <v>0.14000000000000001</v>
      </c>
      <c r="E12" s="185">
        <f>C12*D12</f>
        <v>0</v>
      </c>
      <c r="F12" s="183"/>
      <c r="G12" s="183"/>
      <c r="H12" s="183"/>
      <c r="I12" s="183"/>
      <c r="J12" s="183"/>
      <c r="K12" s="183"/>
      <c r="L12" s="183"/>
      <c r="M12" s="183"/>
      <c r="N12" s="111">
        <f t="shared" si="1"/>
        <v>0</v>
      </c>
    </row>
    <row r="13" spans="1:14">
      <c r="A13" s="110">
        <v>1.6</v>
      </c>
      <c r="B13" s="76" t="s">
        <v>81</v>
      </c>
      <c r="C13" s="183">
        <v>0</v>
      </c>
      <c r="D13" s="77"/>
      <c r="E13" s="183"/>
      <c r="F13" s="183"/>
      <c r="G13" s="183"/>
      <c r="H13" s="183"/>
      <c r="I13" s="183"/>
      <c r="J13" s="183"/>
      <c r="K13" s="183"/>
      <c r="L13" s="183"/>
      <c r="M13" s="183"/>
      <c r="N13" s="111">
        <f>SUMPRODUCT($F$6:$M$6,F13:M13)</f>
        <v>0</v>
      </c>
    </row>
    <row r="14" spans="1:14">
      <c r="A14" s="110">
        <v>2</v>
      </c>
      <c r="B14" s="78" t="s">
        <v>82</v>
      </c>
      <c r="C14" s="182">
        <f>SUM(C15:C20)</f>
        <v>0</v>
      </c>
      <c r="D14" s="68"/>
      <c r="E14" s="185">
        <f t="shared" ref="E14:M14" si="2">SUM(E15:E20)</f>
        <v>0</v>
      </c>
      <c r="F14" s="183">
        <f t="shared" si="2"/>
        <v>0</v>
      </c>
      <c r="G14" s="183">
        <f t="shared" si="2"/>
        <v>0</v>
      </c>
      <c r="H14" s="183">
        <f t="shared" si="2"/>
        <v>0</v>
      </c>
      <c r="I14" s="183">
        <f t="shared" si="2"/>
        <v>0</v>
      </c>
      <c r="J14" s="183">
        <f t="shared" si="2"/>
        <v>0</v>
      </c>
      <c r="K14" s="183">
        <f t="shared" si="2"/>
        <v>0</v>
      </c>
      <c r="L14" s="183">
        <f t="shared" si="2"/>
        <v>0</v>
      </c>
      <c r="M14" s="183">
        <f t="shared" si="2"/>
        <v>0</v>
      </c>
      <c r="N14" s="111">
        <f>SUM(N15:N20)</f>
        <v>0</v>
      </c>
    </row>
    <row r="15" spans="1:14">
      <c r="A15" s="110">
        <v>2.1</v>
      </c>
      <c r="B15" s="76" t="s">
        <v>76</v>
      </c>
      <c r="C15" s="183"/>
      <c r="D15" s="75">
        <v>5.0000000000000001E-3</v>
      </c>
      <c r="E15" s="185">
        <f>C15*D15</f>
        <v>0</v>
      </c>
      <c r="F15" s="183"/>
      <c r="G15" s="183"/>
      <c r="H15" s="183"/>
      <c r="I15" s="183"/>
      <c r="J15" s="183"/>
      <c r="K15" s="183"/>
      <c r="L15" s="183"/>
      <c r="M15" s="183"/>
      <c r="N15" s="111">
        <f>SUMPRODUCT($F$6:$M$6,F15:M15)</f>
        <v>0</v>
      </c>
    </row>
    <row r="16" spans="1:14">
      <c r="A16" s="110">
        <v>2.2000000000000002</v>
      </c>
      <c r="B16" s="76" t="s">
        <v>77</v>
      </c>
      <c r="C16" s="183"/>
      <c r="D16" s="75">
        <v>0.01</v>
      </c>
      <c r="E16" s="185">
        <f>C16*D16</f>
        <v>0</v>
      </c>
      <c r="F16" s="183"/>
      <c r="G16" s="183"/>
      <c r="H16" s="183"/>
      <c r="I16" s="183"/>
      <c r="J16" s="183"/>
      <c r="K16" s="183"/>
      <c r="L16" s="183"/>
      <c r="M16" s="183"/>
      <c r="N16" s="111">
        <f t="shared" ref="N16:N20" si="3">SUMPRODUCT($F$6:$M$6,F16:M16)</f>
        <v>0</v>
      </c>
    </row>
    <row r="17" spans="1:14">
      <c r="A17" s="110">
        <v>2.2999999999999998</v>
      </c>
      <c r="B17" s="76" t="s">
        <v>78</v>
      </c>
      <c r="C17" s="183"/>
      <c r="D17" s="75">
        <v>0.02</v>
      </c>
      <c r="E17" s="185">
        <f>C17*D17</f>
        <v>0</v>
      </c>
      <c r="F17" s="183"/>
      <c r="G17" s="183"/>
      <c r="H17" s="183"/>
      <c r="I17" s="183"/>
      <c r="J17" s="183"/>
      <c r="K17" s="183"/>
      <c r="L17" s="183"/>
      <c r="M17" s="183"/>
      <c r="N17" s="111">
        <f t="shared" si="3"/>
        <v>0</v>
      </c>
    </row>
    <row r="18" spans="1:14">
      <c r="A18" s="110">
        <v>2.4</v>
      </c>
      <c r="B18" s="76" t="s">
        <v>79</v>
      </c>
      <c r="C18" s="183"/>
      <c r="D18" s="75">
        <v>0.03</v>
      </c>
      <c r="E18" s="185">
        <f>C18*D18</f>
        <v>0</v>
      </c>
      <c r="F18" s="183"/>
      <c r="G18" s="183"/>
      <c r="H18" s="183"/>
      <c r="I18" s="183"/>
      <c r="J18" s="183"/>
      <c r="K18" s="183"/>
      <c r="L18" s="183"/>
      <c r="M18" s="183"/>
      <c r="N18" s="111">
        <f t="shared" si="3"/>
        <v>0</v>
      </c>
    </row>
    <row r="19" spans="1:14">
      <c r="A19" s="110">
        <v>2.5</v>
      </c>
      <c r="B19" s="76" t="s">
        <v>80</v>
      </c>
      <c r="C19" s="183"/>
      <c r="D19" s="75">
        <v>0.04</v>
      </c>
      <c r="E19" s="185">
        <f>C19*D19</f>
        <v>0</v>
      </c>
      <c r="F19" s="183"/>
      <c r="G19" s="183"/>
      <c r="H19" s="183"/>
      <c r="I19" s="183"/>
      <c r="J19" s="183"/>
      <c r="K19" s="183"/>
      <c r="L19" s="183"/>
      <c r="M19" s="183"/>
      <c r="N19" s="111">
        <f t="shared" si="3"/>
        <v>0</v>
      </c>
    </row>
    <row r="20" spans="1:14">
      <c r="A20" s="110">
        <v>2.6</v>
      </c>
      <c r="B20" s="76" t="s">
        <v>81</v>
      </c>
      <c r="C20" s="183"/>
      <c r="D20" s="77"/>
      <c r="E20" s="186"/>
      <c r="F20" s="183"/>
      <c r="G20" s="183"/>
      <c r="H20" s="183"/>
      <c r="I20" s="183"/>
      <c r="J20" s="183"/>
      <c r="K20" s="183"/>
      <c r="L20" s="183"/>
      <c r="M20" s="183"/>
      <c r="N20" s="111">
        <f t="shared" si="3"/>
        <v>0</v>
      </c>
    </row>
    <row r="21" spans="1:14" ht="15.75" thickBot="1">
      <c r="A21" s="112">
        <v>3</v>
      </c>
      <c r="B21" s="113" t="s">
        <v>66</v>
      </c>
      <c r="C21" s="184">
        <f>C14+C7</f>
        <v>0</v>
      </c>
      <c r="D21" s="114"/>
      <c r="E21" s="187">
        <f>E14+E7</f>
        <v>0</v>
      </c>
      <c r="F21" s="188">
        <f>F7+F14</f>
        <v>0</v>
      </c>
      <c r="G21" s="188">
        <f t="shared" ref="G21:L21" si="4">G7+G14</f>
        <v>0</v>
      </c>
      <c r="H21" s="188">
        <f t="shared" si="4"/>
        <v>0</v>
      </c>
      <c r="I21" s="188">
        <f t="shared" si="4"/>
        <v>0</v>
      </c>
      <c r="J21" s="188">
        <f t="shared" si="4"/>
        <v>0</v>
      </c>
      <c r="K21" s="188">
        <f t="shared" si="4"/>
        <v>0</v>
      </c>
      <c r="L21" s="188">
        <f t="shared" si="4"/>
        <v>0</v>
      </c>
      <c r="M21" s="188">
        <f>M7+M14</f>
        <v>0</v>
      </c>
      <c r="N21" s="115">
        <f>N14+N7</f>
        <v>0</v>
      </c>
    </row>
    <row r="22" spans="1:14">
      <c r="E22" s="189"/>
      <c r="F22" s="189"/>
      <c r="G22" s="189"/>
      <c r="H22" s="189"/>
      <c r="I22" s="189"/>
      <c r="J22" s="189"/>
      <c r="K22" s="189"/>
      <c r="L22" s="189"/>
      <c r="M22" s="189"/>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showGridLines="0" workbookViewId="0">
      <selection activeCell="B1" sqref="B1:B2"/>
    </sheetView>
  </sheetViews>
  <sheetFormatPr defaultRowHeight="15"/>
  <cols>
    <col min="1" max="1" width="11.42578125" customWidth="1"/>
    <col min="2" max="2" width="76.85546875" style="4" customWidth="1"/>
    <col min="3" max="3" width="22.85546875" customWidth="1"/>
  </cols>
  <sheetData>
    <row r="1" spans="1:3">
      <c r="A1" s="222" t="s">
        <v>108</v>
      </c>
      <c r="B1" s="636" t="str">
        <f>'1. key ratios'!B1</f>
        <v>სს იშბანკი საქართველო</v>
      </c>
    </row>
    <row r="2" spans="1:3">
      <c r="A2" s="222" t="s">
        <v>109</v>
      </c>
      <c r="B2" s="637">
        <f>'1. key ratios'!B2</f>
        <v>45016</v>
      </c>
    </row>
    <row r="3" spans="1:3">
      <c r="A3" s="222"/>
      <c r="B3"/>
    </row>
    <row r="4" spans="1:3">
      <c r="A4" s="222" t="s">
        <v>428</v>
      </c>
      <c r="B4" t="s">
        <v>387</v>
      </c>
    </row>
    <row r="5" spans="1:3">
      <c r="A5" s="273"/>
      <c r="B5" s="273" t="s">
        <v>388</v>
      </c>
      <c r="C5" s="285"/>
    </row>
    <row r="6" spans="1:3">
      <c r="A6" s="274">
        <v>1</v>
      </c>
      <c r="B6" s="286" t="s">
        <v>440</v>
      </c>
      <c r="C6" s="792">
        <v>434218405.64278364</v>
      </c>
    </row>
    <row r="7" spans="1:3">
      <c r="A7" s="274">
        <v>2</v>
      </c>
      <c r="B7" s="286" t="s">
        <v>389</v>
      </c>
      <c r="C7" s="792">
        <v>200414.37000000002</v>
      </c>
    </row>
    <row r="8" spans="1:3">
      <c r="A8" s="275">
        <v>3</v>
      </c>
      <c r="B8" s="288" t="s">
        <v>390</v>
      </c>
      <c r="C8" s="289">
        <f>C6+C7</f>
        <v>434418820.01278365</v>
      </c>
    </row>
    <row r="9" spans="1:3">
      <c r="A9" s="276"/>
      <c r="B9" s="276" t="s">
        <v>391</v>
      </c>
      <c r="C9" s="290"/>
    </row>
    <row r="10" spans="1:3">
      <c r="A10" s="277">
        <v>4</v>
      </c>
      <c r="B10" s="291" t="s">
        <v>392</v>
      </c>
      <c r="C10" s="287"/>
    </row>
    <row r="11" spans="1:3">
      <c r="A11" s="277">
        <v>5</v>
      </c>
      <c r="B11" s="292" t="s">
        <v>393</v>
      </c>
      <c r="C11" s="287"/>
    </row>
    <row r="12" spans="1:3">
      <c r="A12" s="277" t="s">
        <v>394</v>
      </c>
      <c r="B12" s="286" t="s">
        <v>395</v>
      </c>
      <c r="C12" s="289">
        <f>'15. CCR'!E21</f>
        <v>0</v>
      </c>
    </row>
    <row r="13" spans="1:3">
      <c r="A13" s="278">
        <v>6</v>
      </c>
      <c r="B13" s="293" t="s">
        <v>396</v>
      </c>
      <c r="C13" s="287"/>
    </row>
    <row r="14" spans="1:3">
      <c r="A14" s="278">
        <v>7</v>
      </c>
      <c r="B14" s="294" t="s">
        <v>397</v>
      </c>
      <c r="C14" s="287"/>
    </row>
    <row r="15" spans="1:3">
      <c r="A15" s="279">
        <v>8</v>
      </c>
      <c r="B15" s="286" t="s">
        <v>398</v>
      </c>
      <c r="C15" s="287"/>
    </row>
    <row r="16" spans="1:3" ht="24">
      <c r="A16" s="278">
        <v>9</v>
      </c>
      <c r="B16" s="294" t="s">
        <v>399</v>
      </c>
      <c r="C16" s="287"/>
    </row>
    <row r="17" spans="1:3">
      <c r="A17" s="278">
        <v>10</v>
      </c>
      <c r="B17" s="294" t="s">
        <v>400</v>
      </c>
      <c r="C17" s="287"/>
    </row>
    <row r="18" spans="1:3">
      <c r="A18" s="280">
        <v>11</v>
      </c>
      <c r="B18" s="295" t="s">
        <v>401</v>
      </c>
      <c r="C18" s="289">
        <f>SUM(C10:C17)</f>
        <v>0</v>
      </c>
    </row>
    <row r="19" spans="1:3">
      <c r="A19" s="276"/>
      <c r="B19" s="276" t="s">
        <v>402</v>
      </c>
      <c r="C19" s="296"/>
    </row>
    <row r="20" spans="1:3">
      <c r="A20" s="278">
        <v>12</v>
      </c>
      <c r="B20" s="291" t="s">
        <v>403</v>
      </c>
      <c r="C20" s="287"/>
    </row>
    <row r="21" spans="1:3">
      <c r="A21" s="278">
        <v>13</v>
      </c>
      <c r="B21" s="291" t="s">
        <v>404</v>
      </c>
      <c r="C21" s="287"/>
    </row>
    <row r="22" spans="1:3">
      <c r="A22" s="278">
        <v>14</v>
      </c>
      <c r="B22" s="291" t="s">
        <v>405</v>
      </c>
      <c r="C22" s="287"/>
    </row>
    <row r="23" spans="1:3" ht="24">
      <c r="A23" s="278" t="s">
        <v>406</v>
      </c>
      <c r="B23" s="291" t="s">
        <v>407</v>
      </c>
      <c r="C23" s="287"/>
    </row>
    <row r="24" spans="1:3">
      <c r="A24" s="278">
        <v>15</v>
      </c>
      <c r="B24" s="291" t="s">
        <v>408</v>
      </c>
      <c r="C24" s="287"/>
    </row>
    <row r="25" spans="1:3">
      <c r="A25" s="278" t="s">
        <v>409</v>
      </c>
      <c r="B25" s="286" t="s">
        <v>410</v>
      </c>
      <c r="C25" s="287"/>
    </row>
    <row r="26" spans="1:3">
      <c r="A26" s="280">
        <v>16</v>
      </c>
      <c r="B26" s="295" t="s">
        <v>411</v>
      </c>
      <c r="C26" s="289">
        <f>SUM(C20:C25)</f>
        <v>0</v>
      </c>
    </row>
    <row r="27" spans="1:3">
      <c r="A27" s="276"/>
      <c r="B27" s="276" t="s">
        <v>412</v>
      </c>
      <c r="C27" s="290"/>
    </row>
    <row r="28" spans="1:3">
      <c r="A28" s="277">
        <v>17</v>
      </c>
      <c r="B28" s="286" t="s">
        <v>413</v>
      </c>
      <c r="C28" s="287"/>
    </row>
    <row r="29" spans="1:3">
      <c r="A29" s="277">
        <v>18</v>
      </c>
      <c r="B29" s="286" t="s">
        <v>414</v>
      </c>
      <c r="C29" s="287"/>
    </row>
    <row r="30" spans="1:3">
      <c r="A30" s="280">
        <v>19</v>
      </c>
      <c r="B30" s="295" t="s">
        <v>415</v>
      </c>
      <c r="C30" s="289">
        <f>C28+C29</f>
        <v>0</v>
      </c>
    </row>
    <row r="31" spans="1:3">
      <c r="A31" s="281"/>
      <c r="B31" s="276" t="s">
        <v>416</v>
      </c>
      <c r="C31" s="290"/>
    </row>
    <row r="32" spans="1:3">
      <c r="A32" s="277" t="s">
        <v>417</v>
      </c>
      <c r="B32" s="291" t="s">
        <v>418</v>
      </c>
      <c r="C32" s="297"/>
    </row>
    <row r="33" spans="1:3">
      <c r="A33" s="277" t="s">
        <v>419</v>
      </c>
      <c r="B33" s="292" t="s">
        <v>420</v>
      </c>
      <c r="C33" s="297"/>
    </row>
    <row r="34" spans="1:3">
      <c r="A34" s="276"/>
      <c r="B34" s="276" t="s">
        <v>421</v>
      </c>
      <c r="C34" s="290"/>
    </row>
    <row r="35" spans="1:3">
      <c r="A35" s="280">
        <v>20</v>
      </c>
      <c r="B35" s="295" t="s">
        <v>86</v>
      </c>
      <c r="C35" s="289">
        <f>'1. key ratios'!C9</f>
        <v>121473493.88732722</v>
      </c>
    </row>
    <row r="36" spans="1:3">
      <c r="A36" s="280">
        <v>21</v>
      </c>
      <c r="B36" s="295" t="s">
        <v>422</v>
      </c>
      <c r="C36" s="289">
        <f>C8+C18+C26+C30</f>
        <v>434418820.01278365</v>
      </c>
    </row>
    <row r="37" spans="1:3">
      <c r="A37" s="282"/>
      <c r="B37" s="282" t="s">
        <v>387</v>
      </c>
      <c r="C37" s="290"/>
    </row>
    <row r="38" spans="1:3">
      <c r="A38" s="280">
        <v>22</v>
      </c>
      <c r="B38" s="295" t="s">
        <v>387</v>
      </c>
      <c r="C38" s="793">
        <f>IFERROR(C35/C36,0)</f>
        <v>0.27962300041179761</v>
      </c>
    </row>
    <row r="39" spans="1:3">
      <c r="A39" s="282"/>
      <c r="B39" s="282" t="s">
        <v>423</v>
      </c>
      <c r="C39" s="290"/>
    </row>
    <row r="40" spans="1:3">
      <c r="A40" s="283" t="s">
        <v>424</v>
      </c>
      <c r="B40" s="291" t="s">
        <v>425</v>
      </c>
      <c r="C40" s="297"/>
    </row>
    <row r="41" spans="1:3">
      <c r="A41" s="284" t="s">
        <v>426</v>
      </c>
      <c r="B41" s="292" t="s">
        <v>427</v>
      </c>
      <c r="C41" s="297"/>
    </row>
    <row r="43" spans="1:3">
      <c r="B43" s="306" t="s">
        <v>441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showGridLines="0" zoomScale="90" zoomScaleNormal="90" workbookViewId="0">
      <pane xSplit="2" ySplit="6" topLeftCell="C7" activePane="bottomRight" state="frozen"/>
      <selection pane="topRight" activeCell="C1" sqref="C1"/>
      <selection pane="bottomLeft" activeCell="A7" sqref="A7"/>
      <selection pane="bottomRight" activeCell="B1" sqref="B1:B2"/>
    </sheetView>
  </sheetViews>
  <sheetFormatPr defaultRowHeight="15"/>
  <cols>
    <col min="1" max="1" width="9.85546875" style="222" bestFit="1" customWidth="1"/>
    <col min="2" max="2" width="82.5703125" style="23" customWidth="1"/>
    <col min="3" max="7" width="17.5703125" style="222" customWidth="1"/>
  </cols>
  <sheetData>
    <row r="1" spans="1:7">
      <c r="A1" s="222" t="s">
        <v>108</v>
      </c>
      <c r="B1" s="636" t="str">
        <f>'1. key ratios'!B1</f>
        <v>სს იშბანკი საქართველო</v>
      </c>
    </row>
    <row r="2" spans="1:7">
      <c r="A2" s="222" t="s">
        <v>109</v>
      </c>
      <c r="B2" s="637">
        <f>'1. key ratios'!B2</f>
        <v>45016</v>
      </c>
    </row>
    <row r="3" spans="1:7">
      <c r="B3" s="339"/>
    </row>
    <row r="4" spans="1:7" ht="15.75" thickBot="1">
      <c r="A4" s="222" t="s">
        <v>488</v>
      </c>
      <c r="B4" s="342" t="s">
        <v>453</v>
      </c>
    </row>
    <row r="5" spans="1:7">
      <c r="A5" s="343"/>
      <c r="B5" s="344"/>
      <c r="C5" s="894" t="s">
        <v>454</v>
      </c>
      <c r="D5" s="894"/>
      <c r="E5" s="894"/>
      <c r="F5" s="894"/>
      <c r="G5" s="895" t="s">
        <v>455</v>
      </c>
    </row>
    <row r="6" spans="1:7">
      <c r="A6" s="345"/>
      <c r="B6" s="346"/>
      <c r="C6" s="347" t="s">
        <v>456</v>
      </c>
      <c r="D6" s="348" t="s">
        <v>457</v>
      </c>
      <c r="E6" s="348" t="s">
        <v>458</v>
      </c>
      <c r="F6" s="348" t="s">
        <v>459</v>
      </c>
      <c r="G6" s="896"/>
    </row>
    <row r="7" spans="1:7">
      <c r="A7" s="349"/>
      <c r="B7" s="350" t="s">
        <v>460</v>
      </c>
      <c r="C7" s="351"/>
      <c r="D7" s="351"/>
      <c r="E7" s="351"/>
      <c r="F7" s="351"/>
      <c r="G7" s="352"/>
    </row>
    <row r="8" spans="1:7">
      <c r="A8" s="353">
        <v>1</v>
      </c>
      <c r="B8" s="354" t="s">
        <v>461</v>
      </c>
      <c r="C8" s="355">
        <f>SUM(C9:C10)</f>
        <v>121473493.88732722</v>
      </c>
      <c r="D8" s="355">
        <f>SUM(D9:D10)</f>
        <v>0</v>
      </c>
      <c r="E8" s="355">
        <f>SUM(E9:E10)</f>
        <v>0</v>
      </c>
      <c r="F8" s="355">
        <f>SUM(F9:F10)</f>
        <v>52527854.569999993</v>
      </c>
      <c r="G8" s="356">
        <f>SUM(G9:G10)</f>
        <v>174001348.45732722</v>
      </c>
    </row>
    <row r="9" spans="1:7">
      <c r="A9" s="353">
        <v>2</v>
      </c>
      <c r="B9" s="357" t="s">
        <v>85</v>
      </c>
      <c r="C9" s="355">
        <v>121473493.88732722</v>
      </c>
      <c r="D9" s="355"/>
      <c r="E9" s="355"/>
      <c r="F9" s="355"/>
      <c r="G9" s="356">
        <v>121473493.88732722</v>
      </c>
    </row>
    <row r="10" spans="1:7">
      <c r="A10" s="353">
        <v>3</v>
      </c>
      <c r="B10" s="357" t="s">
        <v>462</v>
      </c>
      <c r="C10" s="358"/>
      <c r="D10" s="358"/>
      <c r="E10" s="358"/>
      <c r="F10" s="355">
        <v>52527854.569999993</v>
      </c>
      <c r="G10" s="356">
        <v>52527854.569999993</v>
      </c>
    </row>
    <row r="11" spans="1:7" ht="26.25">
      <c r="A11" s="353">
        <v>4</v>
      </c>
      <c r="B11" s="354" t="s">
        <v>463</v>
      </c>
      <c r="C11" s="355">
        <f t="shared" ref="C11:F11" si="0">SUM(C12:C13)</f>
        <v>3943047.6399999894</v>
      </c>
      <c r="D11" s="355">
        <f t="shared" si="0"/>
        <v>8265266.9800000014</v>
      </c>
      <c r="E11" s="355">
        <f t="shared" si="0"/>
        <v>5213113.88</v>
      </c>
      <c r="F11" s="355">
        <f t="shared" si="0"/>
        <v>2700382.0100000002</v>
      </c>
      <c r="G11" s="356">
        <f>SUM(G12:G13)</f>
        <v>12307304.08499999</v>
      </c>
    </row>
    <row r="12" spans="1:7">
      <c r="A12" s="353">
        <v>5</v>
      </c>
      <c r="B12" s="357" t="s">
        <v>464</v>
      </c>
      <c r="C12" s="355">
        <v>443355.34000000037</v>
      </c>
      <c r="D12" s="359">
        <v>1094455.9500000002</v>
      </c>
      <c r="E12" s="355">
        <v>1467070.8299999998</v>
      </c>
      <c r="F12" s="355">
        <v>1987115.2800000003</v>
      </c>
      <c r="G12" s="356">
        <v>4742397.52999999</v>
      </c>
    </row>
    <row r="13" spans="1:7">
      <c r="A13" s="353">
        <v>6</v>
      </c>
      <c r="B13" s="357" t="s">
        <v>465</v>
      </c>
      <c r="C13" s="355">
        <v>3499692.2999999891</v>
      </c>
      <c r="D13" s="359">
        <v>7170811.0300000012</v>
      </c>
      <c r="E13" s="355">
        <v>3746043.05</v>
      </c>
      <c r="F13" s="355">
        <v>713266.73</v>
      </c>
      <c r="G13" s="356">
        <v>7564906.5549999988</v>
      </c>
    </row>
    <row r="14" spans="1:7">
      <c r="A14" s="353">
        <v>7</v>
      </c>
      <c r="B14" s="354" t="s">
        <v>466</v>
      </c>
      <c r="C14" s="355">
        <f t="shared" ref="C14:F14" si="1">SUM(C15:C16)</f>
        <v>138030279.72999993</v>
      </c>
      <c r="D14" s="355">
        <f t="shared" si="1"/>
        <v>86172201.99000001</v>
      </c>
      <c r="E14" s="355">
        <f t="shared" si="1"/>
        <v>2719196.94</v>
      </c>
      <c r="F14" s="355">
        <f t="shared" si="1"/>
        <v>0</v>
      </c>
      <c r="G14" s="356">
        <f>SUM(G15:G16)</f>
        <v>69925283.849999979</v>
      </c>
    </row>
    <row r="15" spans="1:7" ht="51.75">
      <c r="A15" s="353">
        <v>8</v>
      </c>
      <c r="B15" s="357" t="s">
        <v>467</v>
      </c>
      <c r="C15" s="355">
        <v>118570763.57999994</v>
      </c>
      <c r="D15" s="359">
        <v>18560607.180000003</v>
      </c>
      <c r="E15" s="355">
        <v>717364.2</v>
      </c>
      <c r="F15" s="355">
        <v>0</v>
      </c>
      <c r="G15" s="356">
        <v>68924367.479999974</v>
      </c>
    </row>
    <row r="16" spans="1:7" ht="26.25">
      <c r="A16" s="353">
        <v>9</v>
      </c>
      <c r="B16" s="357" t="s">
        <v>468</v>
      </c>
      <c r="C16" s="355">
        <v>19459516.150000002</v>
      </c>
      <c r="D16" s="359">
        <v>67611594.810000002</v>
      </c>
      <c r="E16" s="355">
        <v>2001832.74</v>
      </c>
      <c r="F16" s="355">
        <v>0</v>
      </c>
      <c r="G16" s="356">
        <v>1000916.37</v>
      </c>
    </row>
    <row r="17" spans="1:7">
      <c r="A17" s="353">
        <v>10</v>
      </c>
      <c r="B17" s="354" t="s">
        <v>469</v>
      </c>
      <c r="C17" s="355"/>
      <c r="D17" s="359"/>
      <c r="E17" s="355"/>
      <c r="F17" s="355"/>
      <c r="G17" s="356"/>
    </row>
    <row r="18" spans="1:7">
      <c r="A18" s="353">
        <v>11</v>
      </c>
      <c r="B18" s="354" t="s">
        <v>89</v>
      </c>
      <c r="C18" s="355">
        <f>SUM(C19:C20)</f>
        <v>11875168.851173665</v>
      </c>
      <c r="D18" s="359">
        <f t="shared" ref="D18:G18" si="2">SUM(D19:D20)</f>
        <v>0</v>
      </c>
      <c r="E18" s="355">
        <f t="shared" si="2"/>
        <v>0</v>
      </c>
      <c r="F18" s="355">
        <f t="shared" si="2"/>
        <v>0</v>
      </c>
      <c r="G18" s="356">
        <f t="shared" si="2"/>
        <v>0</v>
      </c>
    </row>
    <row r="19" spans="1:7">
      <c r="A19" s="353">
        <v>12</v>
      </c>
      <c r="B19" s="357" t="s">
        <v>470</v>
      </c>
      <c r="C19" s="358"/>
      <c r="D19" s="359"/>
      <c r="E19" s="355"/>
      <c r="F19" s="355"/>
      <c r="G19" s="356"/>
    </row>
    <row r="20" spans="1:7" ht="26.25">
      <c r="A20" s="353">
        <v>13</v>
      </c>
      <c r="B20" s="357" t="s">
        <v>471</v>
      </c>
      <c r="C20" s="355">
        <v>11875168.851173665</v>
      </c>
      <c r="D20" s="355"/>
      <c r="E20" s="355"/>
      <c r="F20" s="355"/>
      <c r="G20" s="356"/>
    </row>
    <row r="21" spans="1:7">
      <c r="A21" s="360">
        <v>14</v>
      </c>
      <c r="B21" s="361" t="s">
        <v>472</v>
      </c>
      <c r="C21" s="358"/>
      <c r="D21" s="358"/>
      <c r="E21" s="358"/>
      <c r="F21" s="358"/>
      <c r="G21" s="362">
        <f>SUM(G8,G11,G14,G17,G18)</f>
        <v>256233936.39232719</v>
      </c>
    </row>
    <row r="22" spans="1:7">
      <c r="A22" s="363"/>
      <c r="B22" s="382" t="s">
        <v>473</v>
      </c>
      <c r="C22" s="364"/>
      <c r="D22" s="365"/>
      <c r="E22" s="364"/>
      <c r="F22" s="364"/>
      <c r="G22" s="366"/>
    </row>
    <row r="23" spans="1:7">
      <c r="A23" s="353">
        <v>15</v>
      </c>
      <c r="B23" s="354" t="s">
        <v>322</v>
      </c>
      <c r="C23" s="367">
        <v>146974364.16678607</v>
      </c>
      <c r="D23" s="368">
        <v>0</v>
      </c>
      <c r="E23" s="367">
        <v>0</v>
      </c>
      <c r="F23" s="367">
        <v>0</v>
      </c>
      <c r="G23" s="356">
        <v>5056183.8213141849</v>
      </c>
    </row>
    <row r="24" spans="1:7">
      <c r="A24" s="353">
        <v>16</v>
      </c>
      <c r="B24" s="354" t="s">
        <v>474</v>
      </c>
      <c r="C24" s="355">
        <f>SUM(C25:C27,C29,C31)</f>
        <v>2091165.9301529068</v>
      </c>
      <c r="D24" s="359">
        <f t="shared" ref="D24:G24" si="3">SUM(D25:D27,D29,D31)</f>
        <v>129646878.31561792</v>
      </c>
      <c r="E24" s="355">
        <f t="shared" si="3"/>
        <v>62493131.939232141</v>
      </c>
      <c r="F24" s="355">
        <f t="shared" si="3"/>
        <v>75010600.039879397</v>
      </c>
      <c r="G24" s="356">
        <f t="shared" si="3"/>
        <v>146056876.61808443</v>
      </c>
    </row>
    <row r="25" spans="1:7" ht="26.25">
      <c r="A25" s="353">
        <v>17</v>
      </c>
      <c r="B25" s="357" t="s">
        <v>475</v>
      </c>
      <c r="C25" s="355"/>
      <c r="D25" s="359"/>
      <c r="E25" s="355"/>
      <c r="F25" s="355"/>
      <c r="G25" s="356"/>
    </row>
    <row r="26" spans="1:7" ht="26.25">
      <c r="A26" s="353">
        <v>18</v>
      </c>
      <c r="B26" s="357" t="s">
        <v>476</v>
      </c>
      <c r="C26" s="355">
        <v>2091165.9301529068</v>
      </c>
      <c r="D26" s="359">
        <v>41737316.628522702</v>
      </c>
      <c r="E26" s="355">
        <v>3310757.2233900214</v>
      </c>
      <c r="F26" s="355">
        <v>0</v>
      </c>
      <c r="G26" s="356">
        <v>8229650.9954963513</v>
      </c>
    </row>
    <row r="27" spans="1:7">
      <c r="A27" s="353">
        <v>19</v>
      </c>
      <c r="B27" s="357" t="s">
        <v>477</v>
      </c>
      <c r="C27" s="355">
        <v>0</v>
      </c>
      <c r="D27" s="359">
        <v>87582054.648002684</v>
      </c>
      <c r="E27" s="355">
        <v>58988235.789449438</v>
      </c>
      <c r="F27" s="355">
        <v>48851194.819030583</v>
      </c>
      <c r="G27" s="356">
        <v>115308660.81490198</v>
      </c>
    </row>
    <row r="28" spans="1:7">
      <c r="A28" s="353">
        <v>20</v>
      </c>
      <c r="B28" s="369" t="s">
        <v>478</v>
      </c>
      <c r="C28" s="355"/>
      <c r="D28" s="359"/>
      <c r="E28" s="355"/>
      <c r="F28" s="355"/>
      <c r="G28" s="356"/>
    </row>
    <row r="29" spans="1:7">
      <c r="A29" s="353">
        <v>21</v>
      </c>
      <c r="B29" s="357" t="s">
        <v>479</v>
      </c>
      <c r="C29" s="355">
        <v>0</v>
      </c>
      <c r="D29" s="359">
        <v>327507.03909253969</v>
      </c>
      <c r="E29" s="355">
        <v>194138.92639267858</v>
      </c>
      <c r="F29" s="355">
        <v>3311545.8413712834</v>
      </c>
      <c r="G29" s="356">
        <v>3097884.3351301975</v>
      </c>
    </row>
    <row r="30" spans="1:7">
      <c r="A30" s="353">
        <v>22</v>
      </c>
      <c r="B30" s="369" t="s">
        <v>478</v>
      </c>
      <c r="C30" s="355"/>
      <c r="D30" s="359"/>
      <c r="E30" s="355"/>
      <c r="F30" s="355"/>
      <c r="G30" s="356"/>
    </row>
    <row r="31" spans="1:7" ht="26.25">
      <c r="A31" s="353">
        <v>23</v>
      </c>
      <c r="B31" s="357" t="s">
        <v>480</v>
      </c>
      <c r="C31" s="355"/>
      <c r="D31" s="359"/>
      <c r="E31" s="355"/>
      <c r="F31" s="355">
        <v>22847859.379477531</v>
      </c>
      <c r="G31" s="356">
        <v>19420680.472555902</v>
      </c>
    </row>
    <row r="32" spans="1:7">
      <c r="A32" s="353">
        <v>24</v>
      </c>
      <c r="B32" s="354" t="s">
        <v>481</v>
      </c>
      <c r="C32" s="355">
        <v>0</v>
      </c>
      <c r="D32" s="359"/>
      <c r="E32" s="355"/>
      <c r="F32" s="355"/>
      <c r="G32" s="356">
        <v>0</v>
      </c>
    </row>
    <row r="33" spans="1:7">
      <c r="A33" s="353">
        <v>25</v>
      </c>
      <c r="B33" s="354" t="s">
        <v>99</v>
      </c>
      <c r="C33" s="355">
        <f>SUM(C34:C35)</f>
        <v>11477948.465973178</v>
      </c>
      <c r="D33" s="355">
        <f>SUM(D34:D35)</f>
        <v>0</v>
      </c>
      <c r="E33" s="355">
        <f>SUM(E34:E35)</f>
        <v>1000000</v>
      </c>
      <c r="F33" s="355">
        <f>SUM(F34:F35)</f>
        <v>4302127.3486729646</v>
      </c>
      <c r="G33" s="356">
        <f>SUM(G34:G35)</f>
        <v>15780075.814646143</v>
      </c>
    </row>
    <row r="34" spans="1:7">
      <c r="A34" s="353">
        <v>26</v>
      </c>
      <c r="B34" s="357" t="s">
        <v>482</v>
      </c>
      <c r="C34" s="358"/>
      <c r="D34" s="359"/>
      <c r="E34" s="355"/>
      <c r="F34" s="355"/>
      <c r="G34" s="356"/>
    </row>
    <row r="35" spans="1:7">
      <c r="A35" s="353">
        <v>27</v>
      </c>
      <c r="B35" s="357" t="s">
        <v>483</v>
      </c>
      <c r="C35" s="355">
        <v>11477948.465973178</v>
      </c>
      <c r="D35" s="359">
        <v>0</v>
      </c>
      <c r="E35" s="355">
        <v>1000000</v>
      </c>
      <c r="F35" s="355">
        <v>4302127.3486729646</v>
      </c>
      <c r="G35" s="356">
        <v>15780075.814646143</v>
      </c>
    </row>
    <row r="36" spans="1:7">
      <c r="A36" s="353">
        <v>28</v>
      </c>
      <c r="B36" s="354" t="s">
        <v>484</v>
      </c>
      <c r="C36" s="355">
        <v>53571.419999999991</v>
      </c>
      <c r="D36" s="359">
        <v>11835901.58382065</v>
      </c>
      <c r="E36" s="355">
        <v>46817872.907431521</v>
      </c>
      <c r="F36" s="355">
        <v>42546349.91005674</v>
      </c>
      <c r="G36" s="356">
        <v>12250008.506633729</v>
      </c>
    </row>
    <row r="37" spans="1:7">
      <c r="A37" s="360">
        <v>29</v>
      </c>
      <c r="B37" s="361" t="s">
        <v>485</v>
      </c>
      <c r="C37" s="358"/>
      <c r="D37" s="358"/>
      <c r="E37" s="358"/>
      <c r="F37" s="358"/>
      <c r="G37" s="362">
        <f>SUM(G23:G24,G32:G33,G36)</f>
        <v>179143144.7606785</v>
      </c>
    </row>
    <row r="38" spans="1:7">
      <c r="A38" s="349"/>
      <c r="B38" s="370"/>
      <c r="C38" s="371"/>
      <c r="D38" s="371"/>
      <c r="E38" s="371"/>
      <c r="F38" s="371"/>
      <c r="G38" s="372"/>
    </row>
    <row r="39" spans="1:7" ht="15.75" thickBot="1">
      <c r="A39" s="373">
        <v>30</v>
      </c>
      <c r="B39" s="374" t="s">
        <v>453</v>
      </c>
      <c r="C39" s="231"/>
      <c r="D39" s="213"/>
      <c r="E39" s="213"/>
      <c r="F39" s="375"/>
      <c r="G39" s="376">
        <f>IFERROR(G21/G37,0)</f>
        <v>1.430330681839018</v>
      </c>
    </row>
    <row r="42" spans="1:7" ht="39">
      <c r="B42" s="23" t="s">
        <v>486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51"/>
  <sheetViews>
    <sheetView showGridLines="0" zoomScale="80" zoomScaleNormal="80" workbookViewId="0">
      <pane xSplit="1" ySplit="5" topLeftCell="B6" activePane="bottomRight" state="frozen"/>
      <selection pane="topRight" activeCell="B1" sqref="B1"/>
      <selection pane="bottomLeft" activeCell="A6" sqref="A6"/>
      <selection pane="bottomRight" activeCell="B4" sqref="B4"/>
    </sheetView>
  </sheetViews>
  <sheetFormatPr defaultRowHeight="15.75"/>
  <cols>
    <col min="1" max="1" width="9.5703125" style="19" bestFit="1" customWidth="1"/>
    <col min="2" max="2" width="88.42578125" style="16" customWidth="1"/>
    <col min="3" max="3" width="12.7109375" style="16" customWidth="1"/>
    <col min="4" max="7" width="12.7109375" style="2" customWidth="1"/>
    <col min="8" max="8" width="6.7109375" customWidth="1"/>
    <col min="9" max="12" width="12.42578125" bestFit="1" customWidth="1"/>
    <col min="13" max="13" width="6.7109375" customWidth="1"/>
  </cols>
  <sheetData>
    <row r="1" spans="1:12">
      <c r="A1" s="17" t="s">
        <v>108</v>
      </c>
      <c r="B1" s="636" t="s">
        <v>959</v>
      </c>
    </row>
    <row r="2" spans="1:12">
      <c r="A2" s="17" t="s">
        <v>109</v>
      </c>
      <c r="B2" s="637">
        <v>45016</v>
      </c>
      <c r="C2" s="29"/>
      <c r="D2" s="18"/>
      <c r="E2" s="18"/>
      <c r="F2" s="18"/>
      <c r="G2" s="18"/>
      <c r="H2" s="1"/>
    </row>
    <row r="3" spans="1:12" ht="16.5" thickBot="1">
      <c r="A3" s="17"/>
      <c r="C3" s="29"/>
      <c r="D3" s="18"/>
      <c r="E3" s="18"/>
      <c r="F3" s="18"/>
      <c r="G3" s="18"/>
      <c r="H3" s="1"/>
    </row>
    <row r="4" spans="1:12" ht="16.5" thickBot="1">
      <c r="A4" s="40" t="s">
        <v>252</v>
      </c>
      <c r="B4" s="147" t="s">
        <v>139</v>
      </c>
      <c r="C4" s="148"/>
      <c r="D4" s="832" t="s">
        <v>935</v>
      </c>
      <c r="E4" s="833"/>
      <c r="F4" s="833"/>
      <c r="G4" s="834"/>
      <c r="H4" s="1"/>
      <c r="I4" s="835" t="s">
        <v>936</v>
      </c>
      <c r="J4" s="836"/>
      <c r="K4" s="836"/>
      <c r="L4" s="837"/>
    </row>
    <row r="5" spans="1:12" ht="15">
      <c r="A5" s="199" t="s">
        <v>25</v>
      </c>
      <c r="B5" s="200"/>
      <c r="C5" s="324" t="str">
        <f>INT((MONTH($B$2))/3)&amp;"Q"&amp;"-"&amp;YEAR($B$2)</f>
        <v>1Q-2023</v>
      </c>
      <c r="D5" s="324" t="str">
        <f>IF(INT(MONTH($B$2))=3, "4"&amp;"Q"&amp;"-"&amp;YEAR($B$2)-1, IF(INT(MONTH($B$2))=6, "1"&amp;"Q"&amp;"-"&amp;YEAR($B$2), IF(INT(MONTH($B$2))=9, "2"&amp;"Q"&amp;"-"&amp;YEAR($B$2),IF(INT(MONTH($B$2))=12, "3"&amp;"Q"&amp;"-"&amp;YEAR($B$2), 0))))</f>
        <v>4Q-2022</v>
      </c>
      <c r="E5" s="324" t="str">
        <f>IF(INT(MONTH($B$2))=3, "3"&amp;"Q"&amp;"-"&amp;YEAR($B$2)-1, IF(INT(MONTH($B$2))=6, "4"&amp;"Q"&amp;"-"&amp;YEAR($B$2)-1, IF(INT(MONTH($B$2))=9, "1"&amp;"Q"&amp;"-"&amp;YEAR($B$2),IF(INT(MONTH($B$2))=12, "2"&amp;"Q"&amp;"-"&amp;YEAR($B$2), 0))))</f>
        <v>3Q-2022</v>
      </c>
      <c r="F5" s="324" t="str">
        <f>IF(INT(MONTH($B$2))=3, "2"&amp;"Q"&amp;"-"&amp;YEAR($B$2)-1, IF(INT(MONTH($B$2))=6, "3"&amp;"Q"&amp;"-"&amp;YEAR($B$2)-1, IF(INT(MONTH($B$2))=9, "4"&amp;"Q"&amp;"-"&amp;YEAR($B$2)-1,IF(INT(MONTH($B$2))=12, "1"&amp;"Q"&amp;"-"&amp;YEAR($B$2), 0))))</f>
        <v>2Q-2022</v>
      </c>
      <c r="G5" s="325" t="str">
        <f>IF(INT(MONTH($B$2))=3, "1"&amp;"Q"&amp;"-"&amp;YEAR($B$2)-1, IF(INT(MONTH($B$2))=6, "2"&amp;"Q"&amp;"-"&amp;YEAR($B$2)-1, IF(INT(MONTH($B$2))=9, "3"&amp;"Q"&amp;"-"&amp;YEAR($B$2)-1,IF(INT(MONTH($B$2))=12, "4"&amp;"Q"&amp;"-"&amp;YEAR($B$2)-1, 0))))</f>
        <v>1Q-2022</v>
      </c>
      <c r="I5" s="628" t="str">
        <f>D5</f>
        <v>4Q-2022</v>
      </c>
      <c r="J5" s="324" t="str">
        <f t="shared" ref="J5:L5" si="0">E5</f>
        <v>3Q-2022</v>
      </c>
      <c r="K5" s="324" t="str">
        <f t="shared" si="0"/>
        <v>2Q-2022</v>
      </c>
      <c r="L5" s="325" t="str">
        <f t="shared" si="0"/>
        <v>1Q-2022</v>
      </c>
    </row>
    <row r="6" spans="1:12" ht="15">
      <c r="A6" s="326"/>
      <c r="B6" s="327" t="s">
        <v>106</v>
      </c>
      <c r="C6" s="201"/>
      <c r="D6" s="201"/>
      <c r="E6" s="201"/>
      <c r="F6" s="201"/>
      <c r="G6" s="202"/>
      <c r="I6" s="629"/>
      <c r="J6" s="201"/>
      <c r="K6" s="201"/>
      <c r="L6" s="202"/>
    </row>
    <row r="7" spans="1:12" ht="15">
      <c r="A7" s="326"/>
      <c r="B7" s="328" t="s">
        <v>110</v>
      </c>
      <c r="C7" s="201"/>
      <c r="D7" s="201"/>
      <c r="E7" s="201"/>
      <c r="F7" s="201"/>
      <c r="G7" s="202"/>
      <c r="I7" s="629"/>
      <c r="J7" s="201"/>
      <c r="K7" s="201"/>
      <c r="L7" s="202"/>
    </row>
    <row r="8" spans="1:12" ht="15">
      <c r="A8" s="310">
        <v>1</v>
      </c>
      <c r="B8" s="311" t="s">
        <v>22</v>
      </c>
      <c r="C8" s="638">
        <v>121473493.88732722</v>
      </c>
      <c r="D8" s="329"/>
      <c r="E8" s="329"/>
      <c r="F8" s="329"/>
      <c r="G8" s="330"/>
      <c r="I8" s="648">
        <v>111095599.92396201</v>
      </c>
      <c r="J8" s="649">
        <v>108015685.42111553</v>
      </c>
      <c r="K8" s="649">
        <v>103115610.2218947</v>
      </c>
      <c r="L8" s="650">
        <v>98827281.936013564</v>
      </c>
    </row>
    <row r="9" spans="1:12" ht="15">
      <c r="A9" s="310">
        <v>2</v>
      </c>
      <c r="B9" s="311" t="s">
        <v>86</v>
      </c>
      <c r="C9" s="638">
        <v>121473493.88732722</v>
      </c>
      <c r="D9" s="329"/>
      <c r="E9" s="329"/>
      <c r="F9" s="329"/>
      <c r="G9" s="330"/>
      <c r="I9" s="648">
        <v>111095599.92396201</v>
      </c>
      <c r="J9" s="649">
        <v>108015685.42111553</v>
      </c>
      <c r="K9" s="649">
        <v>103115610.2218947</v>
      </c>
      <c r="L9" s="650">
        <v>98827281.936013564</v>
      </c>
    </row>
    <row r="10" spans="1:12" ht="15">
      <c r="A10" s="310">
        <v>3</v>
      </c>
      <c r="B10" s="311" t="s">
        <v>85</v>
      </c>
      <c r="C10" s="638">
        <v>121473493.88732722</v>
      </c>
      <c r="D10" s="329"/>
      <c r="E10" s="329"/>
      <c r="F10" s="329"/>
      <c r="G10" s="330"/>
      <c r="I10" s="648">
        <v>116172986.11989631</v>
      </c>
      <c r="J10" s="649">
        <v>113349434.0005872</v>
      </c>
      <c r="K10" s="649">
        <v>108155050.23530801</v>
      </c>
      <c r="L10" s="650">
        <v>103889686.47667365</v>
      </c>
    </row>
    <row r="11" spans="1:12" ht="15">
      <c r="A11" s="310">
        <v>4</v>
      </c>
      <c r="B11" s="311" t="s">
        <v>445</v>
      </c>
      <c r="C11" s="638">
        <v>54619431.984424733</v>
      </c>
      <c r="D11" s="329"/>
      <c r="E11" s="329"/>
      <c r="F11" s="329"/>
      <c r="G11" s="330"/>
      <c r="I11" s="648">
        <v>39546178.399916351</v>
      </c>
      <c r="J11" s="649">
        <v>42079324.841049828</v>
      </c>
      <c r="K11" s="649">
        <v>40253514.95966386</v>
      </c>
      <c r="L11" s="650">
        <v>37226442.465223998</v>
      </c>
    </row>
    <row r="12" spans="1:12" ht="15">
      <c r="A12" s="310">
        <v>5</v>
      </c>
      <c r="B12" s="311" t="s">
        <v>446</v>
      </c>
      <c r="C12" s="638">
        <v>69963539.948882803</v>
      </c>
      <c r="D12" s="329"/>
      <c r="E12" s="329"/>
      <c r="F12" s="329"/>
      <c r="G12" s="330"/>
      <c r="I12" s="648">
        <v>52747565.525203176</v>
      </c>
      <c r="J12" s="649">
        <v>56133703.288483441</v>
      </c>
      <c r="K12" s="649">
        <v>53695890.925003864</v>
      </c>
      <c r="L12" s="650">
        <v>49645661.87830551</v>
      </c>
    </row>
    <row r="13" spans="1:12" ht="15">
      <c r="A13" s="310">
        <v>6</v>
      </c>
      <c r="B13" s="311" t="s">
        <v>447</v>
      </c>
      <c r="C13" s="638">
        <v>90275761.752804086</v>
      </c>
      <c r="D13" s="329"/>
      <c r="E13" s="329"/>
      <c r="F13" s="329"/>
      <c r="G13" s="330"/>
      <c r="I13" s="648">
        <v>77511989.422811836</v>
      </c>
      <c r="J13" s="649">
        <v>82243994.484565258</v>
      </c>
      <c r="K13" s="649">
        <v>78878230.883147791</v>
      </c>
      <c r="L13" s="650">
        <v>73122385.552514225</v>
      </c>
    </row>
    <row r="14" spans="1:12" ht="15">
      <c r="A14" s="326"/>
      <c r="B14" s="327" t="s">
        <v>449</v>
      </c>
      <c r="C14" s="639"/>
      <c r="D14" s="201"/>
      <c r="E14" s="201"/>
      <c r="F14" s="201"/>
      <c r="G14" s="202"/>
      <c r="I14" s="651"/>
      <c r="J14" s="639"/>
      <c r="K14" s="639"/>
      <c r="L14" s="652"/>
    </row>
    <row r="15" spans="1:12" ht="21.95" customHeight="1">
      <c r="A15" s="310">
        <v>7</v>
      </c>
      <c r="B15" s="311" t="s">
        <v>448</v>
      </c>
      <c r="C15" s="640">
        <v>465903032.61048031</v>
      </c>
      <c r="D15" s="329"/>
      <c r="E15" s="329"/>
      <c r="F15" s="329"/>
      <c r="G15" s="330"/>
      <c r="I15" s="648">
        <v>447552269.36280602</v>
      </c>
      <c r="J15" s="649">
        <v>460845756.58156025</v>
      </c>
      <c r="K15" s="649">
        <v>438729862.48107547</v>
      </c>
      <c r="L15" s="650">
        <v>441999494.70743102</v>
      </c>
    </row>
    <row r="16" spans="1:12" ht="15">
      <c r="A16" s="326"/>
      <c r="B16" s="327" t="s">
        <v>452</v>
      </c>
      <c r="C16" s="639"/>
      <c r="D16" s="201"/>
      <c r="E16" s="201"/>
      <c r="F16" s="201"/>
      <c r="G16" s="202"/>
      <c r="I16" s="651"/>
      <c r="J16" s="639"/>
      <c r="K16" s="639"/>
      <c r="L16" s="652"/>
    </row>
    <row r="17" spans="1:12" s="3" customFormat="1" ht="15">
      <c r="A17" s="310"/>
      <c r="B17" s="328" t="s">
        <v>435</v>
      </c>
      <c r="C17" s="641"/>
      <c r="D17" s="201"/>
      <c r="E17" s="201"/>
      <c r="F17" s="201"/>
      <c r="G17" s="202"/>
      <c r="I17" s="648"/>
      <c r="J17" s="649"/>
      <c r="K17" s="649"/>
      <c r="L17" s="650"/>
    </row>
    <row r="18" spans="1:12" ht="15">
      <c r="A18" s="309">
        <v>8</v>
      </c>
      <c r="B18" s="331" t="s">
        <v>443</v>
      </c>
      <c r="C18" s="642">
        <v>0.26072698691550589</v>
      </c>
      <c r="D18" s="340"/>
      <c r="E18" s="340"/>
      <c r="F18" s="340"/>
      <c r="G18" s="341"/>
      <c r="I18" s="653">
        <v>0.2482293299107437</v>
      </c>
      <c r="J18" s="654">
        <v>0.23438576547248507</v>
      </c>
      <c r="K18" s="654">
        <v>0.23503212122093142</v>
      </c>
      <c r="L18" s="655">
        <v>0.22359139121059282</v>
      </c>
    </row>
    <row r="19" spans="1:12" ht="15" customHeight="1">
      <c r="A19" s="309">
        <v>9</v>
      </c>
      <c r="B19" s="331" t="s">
        <v>442</v>
      </c>
      <c r="C19" s="642">
        <v>0.26072698691550589</v>
      </c>
      <c r="D19" s="340"/>
      <c r="E19" s="340"/>
      <c r="F19" s="340"/>
      <c r="G19" s="341"/>
      <c r="I19" s="653">
        <v>0.2482293299107437</v>
      </c>
      <c r="J19" s="654">
        <v>0.23438576547248507</v>
      </c>
      <c r="K19" s="654">
        <v>0.23503212122093142</v>
      </c>
      <c r="L19" s="655">
        <v>0.22359139121059282</v>
      </c>
    </row>
    <row r="20" spans="1:12" ht="15">
      <c r="A20" s="309">
        <v>10</v>
      </c>
      <c r="B20" s="331" t="s">
        <v>444</v>
      </c>
      <c r="C20" s="642">
        <v>0.26072698691550589</v>
      </c>
      <c r="D20" s="340"/>
      <c r="E20" s="340"/>
      <c r="F20" s="340"/>
      <c r="G20" s="341"/>
      <c r="I20" s="653">
        <v>0.25957411920912693</v>
      </c>
      <c r="J20" s="654">
        <v>0.2459595914289962</v>
      </c>
      <c r="K20" s="654">
        <v>0.24651855158360289</v>
      </c>
      <c r="L20" s="655">
        <v>0.23504480824223672</v>
      </c>
    </row>
    <row r="21" spans="1:12" ht="15">
      <c r="A21" s="309">
        <v>11</v>
      </c>
      <c r="B21" s="311" t="s">
        <v>445</v>
      </c>
      <c r="C21" s="642">
        <v>0.11723347598402409</v>
      </c>
      <c r="D21" s="340"/>
      <c r="E21" s="340"/>
      <c r="F21" s="340"/>
      <c r="G21" s="341"/>
      <c r="I21" s="653">
        <v>8.8361027542591758E-2</v>
      </c>
      <c r="J21" s="654">
        <v>9.1308912450846547E-2</v>
      </c>
      <c r="K21" s="654">
        <v>9.1750114140908723E-2</v>
      </c>
      <c r="L21" s="655">
        <v>8.4222816792731817E-2</v>
      </c>
    </row>
    <row r="22" spans="1:12" ht="15">
      <c r="A22" s="309">
        <v>12</v>
      </c>
      <c r="B22" s="311" t="s">
        <v>446</v>
      </c>
      <c r="C22" s="642">
        <v>0.15016759937550361</v>
      </c>
      <c r="D22" s="340"/>
      <c r="E22" s="340"/>
      <c r="F22" s="340"/>
      <c r="G22" s="341"/>
      <c r="I22" s="653">
        <v>0.11785788864460796</v>
      </c>
      <c r="J22" s="654">
        <v>0.12180583739095127</v>
      </c>
      <c r="K22" s="654">
        <v>0.12238941434564424</v>
      </c>
      <c r="L22" s="655">
        <v>0.1123206303915959</v>
      </c>
    </row>
    <row r="23" spans="1:12" ht="15">
      <c r="A23" s="309">
        <v>13</v>
      </c>
      <c r="B23" s="311" t="s">
        <v>447</v>
      </c>
      <c r="C23" s="642">
        <v>0.19376513015376617</v>
      </c>
      <c r="D23" s="340"/>
      <c r="E23" s="340"/>
      <c r="F23" s="340"/>
      <c r="G23" s="341"/>
      <c r="I23" s="653">
        <v>0.17319092032125777</v>
      </c>
      <c r="J23" s="654">
        <v>0.17846316974822737</v>
      </c>
      <c r="K23" s="654">
        <v>0.17978769541029405</v>
      </c>
      <c r="L23" s="655">
        <v>0.16543545055614942</v>
      </c>
    </row>
    <row r="24" spans="1:12" ht="15">
      <c r="A24" s="326"/>
      <c r="B24" s="327" t="s">
        <v>6</v>
      </c>
      <c r="C24" s="639"/>
      <c r="D24" s="201"/>
      <c r="E24" s="201"/>
      <c r="F24" s="201"/>
      <c r="G24" s="202"/>
      <c r="I24" s="651"/>
      <c r="J24" s="639"/>
      <c r="K24" s="639"/>
      <c r="L24" s="652"/>
    </row>
    <row r="25" spans="1:12" ht="15" customHeight="1">
      <c r="A25" s="332">
        <v>14</v>
      </c>
      <c r="B25" s="333" t="s">
        <v>7</v>
      </c>
      <c r="C25" s="643">
        <v>8.6907137750087599E-2</v>
      </c>
      <c r="D25" s="335"/>
      <c r="E25" s="335"/>
      <c r="F25" s="335"/>
      <c r="G25" s="336"/>
      <c r="I25" s="656">
        <v>7.1533897398314727E-2</v>
      </c>
      <c r="J25" s="657">
        <v>6.9323935917644186E-2</v>
      </c>
      <c r="K25" s="657">
        <v>6.5363720416624624E-2</v>
      </c>
      <c r="L25" s="658">
        <v>6.310912285263591E-2</v>
      </c>
    </row>
    <row r="26" spans="1:12" ht="15">
      <c r="A26" s="332">
        <v>15</v>
      </c>
      <c r="B26" s="333" t="s">
        <v>8</v>
      </c>
      <c r="C26" s="643">
        <v>2.3558164576950293E-2</v>
      </c>
      <c r="D26" s="335"/>
      <c r="E26" s="335"/>
      <c r="F26" s="335"/>
      <c r="G26" s="336"/>
      <c r="I26" s="656">
        <v>1.7726777996849765E-2</v>
      </c>
      <c r="J26" s="657">
        <v>1.6254578585638401E-2</v>
      </c>
      <c r="K26" s="657">
        <v>1.4700230406153612E-2</v>
      </c>
      <c r="L26" s="658">
        <v>1.5241362930500317E-2</v>
      </c>
    </row>
    <row r="27" spans="1:12" ht="15">
      <c r="A27" s="332">
        <v>16</v>
      </c>
      <c r="B27" s="333" t="s">
        <v>9</v>
      </c>
      <c r="C27" s="643">
        <v>0.15029367740908631</v>
      </c>
      <c r="D27" s="335"/>
      <c r="E27" s="335"/>
      <c r="F27" s="335"/>
      <c r="G27" s="336"/>
      <c r="I27" s="656">
        <v>4.4731743523914035E-2</v>
      </c>
      <c r="J27" s="657">
        <v>4.9287157635566188E-2</v>
      </c>
      <c r="K27" s="657">
        <v>4.5985376465826705E-2</v>
      </c>
      <c r="L27" s="658">
        <v>4.0685832785419741E-2</v>
      </c>
    </row>
    <row r="28" spans="1:12" ht="15">
      <c r="A28" s="332">
        <v>17</v>
      </c>
      <c r="B28" s="333" t="s">
        <v>140</v>
      </c>
      <c r="C28" s="643">
        <v>6.3348973173137299E-2</v>
      </c>
      <c r="D28" s="335"/>
      <c r="E28" s="335"/>
      <c r="F28" s="335"/>
      <c r="G28" s="336"/>
      <c r="I28" s="656">
        <v>5.3807119401464959E-2</v>
      </c>
      <c r="J28" s="657">
        <v>5.3069357332005795E-2</v>
      </c>
      <c r="K28" s="657">
        <v>5.0663490010471005E-2</v>
      </c>
      <c r="L28" s="658">
        <v>4.7867759922135593E-2</v>
      </c>
    </row>
    <row r="29" spans="1:12" ht="15">
      <c r="A29" s="332">
        <v>18</v>
      </c>
      <c r="B29" s="333" t="s">
        <v>10</v>
      </c>
      <c r="C29" s="643">
        <v>4.3874375306807115E-2</v>
      </c>
      <c r="D29" s="335"/>
      <c r="E29" s="335"/>
      <c r="F29" s="335"/>
      <c r="G29" s="336"/>
      <c r="I29" s="656">
        <v>4.1286729727955371E-2</v>
      </c>
      <c r="J29" s="657">
        <v>4.535760469972934E-2</v>
      </c>
      <c r="K29" s="657">
        <v>4.4138673584522711E-2</v>
      </c>
      <c r="L29" s="658">
        <v>4.5167881572930627E-2</v>
      </c>
    </row>
    <row r="30" spans="1:12" ht="15">
      <c r="A30" s="332">
        <v>19</v>
      </c>
      <c r="B30" s="333" t="s">
        <v>11</v>
      </c>
      <c r="C30" s="643">
        <v>0.14477048820915991</v>
      </c>
      <c r="D30" s="335"/>
      <c r="E30" s="335"/>
      <c r="F30" s="335"/>
      <c r="G30" s="336"/>
      <c r="I30" s="656">
        <v>0.16145554332190271</v>
      </c>
      <c r="J30" s="657">
        <v>0.17966446601688946</v>
      </c>
      <c r="K30" s="657">
        <v>0.17692251238848036</v>
      </c>
      <c r="L30" s="658">
        <v>0.18197728344349209</v>
      </c>
    </row>
    <row r="31" spans="1:12" ht="15">
      <c r="A31" s="326"/>
      <c r="B31" s="327" t="s">
        <v>12</v>
      </c>
      <c r="C31" s="639"/>
      <c r="D31" s="201"/>
      <c r="E31" s="201"/>
      <c r="F31" s="201"/>
      <c r="G31" s="202"/>
      <c r="I31" s="651"/>
      <c r="J31" s="639"/>
      <c r="K31" s="639"/>
      <c r="L31" s="652"/>
    </row>
    <row r="32" spans="1:12" ht="15">
      <c r="A32" s="332">
        <v>20</v>
      </c>
      <c r="B32" s="333" t="s">
        <v>13</v>
      </c>
      <c r="C32" s="643">
        <v>3.9531183805543765E-3</v>
      </c>
      <c r="D32" s="335"/>
      <c r="E32" s="335"/>
      <c r="F32" s="335"/>
      <c r="G32" s="336"/>
      <c r="I32" s="656">
        <v>2.4380094855071009E-2</v>
      </c>
      <c r="J32" s="657">
        <v>2.8265026263008846E-2</v>
      </c>
      <c r="K32" s="657">
        <v>3.1793272706786099E-2</v>
      </c>
      <c r="L32" s="658">
        <v>4.3664209761993505E-2</v>
      </c>
    </row>
    <row r="33" spans="1:12" ht="15" customHeight="1">
      <c r="A33" s="332">
        <v>21</v>
      </c>
      <c r="B33" s="333" t="s">
        <v>957</v>
      </c>
      <c r="C33" s="643">
        <v>8.8829379193323017E-3</v>
      </c>
      <c r="D33" s="335"/>
      <c r="E33" s="335"/>
      <c r="F33" s="335"/>
      <c r="G33" s="336"/>
      <c r="I33" s="656">
        <v>2.6981304432221097E-2</v>
      </c>
      <c r="J33" s="657">
        <v>3.0938804531056994E-2</v>
      </c>
      <c r="K33" s="657">
        <v>3.2784036159047951E-2</v>
      </c>
      <c r="L33" s="658">
        <v>3.80624459497374E-2</v>
      </c>
    </row>
    <row r="34" spans="1:12" ht="15">
      <c r="A34" s="332">
        <v>22</v>
      </c>
      <c r="B34" s="333" t="s">
        <v>14</v>
      </c>
      <c r="C34" s="643">
        <v>0.46655326435450678</v>
      </c>
      <c r="D34" s="335"/>
      <c r="E34" s="335"/>
      <c r="F34" s="335"/>
      <c r="G34" s="336"/>
      <c r="I34" s="656">
        <v>0.46305961220141145</v>
      </c>
      <c r="J34" s="657">
        <v>0.55026036863305616</v>
      </c>
      <c r="K34" s="657">
        <v>0.6366650409119371</v>
      </c>
      <c r="L34" s="658">
        <v>0.68932753333814445</v>
      </c>
    </row>
    <row r="35" spans="1:12" ht="15" customHeight="1">
      <c r="A35" s="332">
        <v>23</v>
      </c>
      <c r="B35" s="333" t="s">
        <v>15</v>
      </c>
      <c r="C35" s="643">
        <v>0.59511496228482197</v>
      </c>
      <c r="D35" s="335"/>
      <c r="E35" s="335"/>
      <c r="F35" s="335"/>
      <c r="G35" s="336"/>
      <c r="I35" s="656">
        <v>0.55202739502102027</v>
      </c>
      <c r="J35" s="657">
        <v>0.59384448327133066</v>
      </c>
      <c r="K35" s="657">
        <v>0.66739250025924512</v>
      </c>
      <c r="L35" s="658">
        <v>0.67843974773577032</v>
      </c>
    </row>
    <row r="36" spans="1:12" ht="15">
      <c r="A36" s="332">
        <v>24</v>
      </c>
      <c r="B36" s="333" t="s">
        <v>16</v>
      </c>
      <c r="C36" s="643">
        <v>-2.1318812948108133E-2</v>
      </c>
      <c r="D36" s="335"/>
      <c r="E36" s="335"/>
      <c r="F36" s="335"/>
      <c r="G36" s="336"/>
      <c r="I36" s="656">
        <v>9.1431647580834344E-2</v>
      </c>
      <c r="J36" s="657">
        <v>0.11972762844349358</v>
      </c>
      <c r="K36" s="657">
        <v>9.8644695728322518E-2</v>
      </c>
      <c r="L36" s="658">
        <v>6.6903534745348853E-2</v>
      </c>
    </row>
    <row r="37" spans="1:12" ht="15" customHeight="1">
      <c r="A37" s="326"/>
      <c r="B37" s="327" t="s">
        <v>17</v>
      </c>
      <c r="C37" s="639"/>
      <c r="D37" s="201"/>
      <c r="E37" s="201"/>
      <c r="F37" s="201"/>
      <c r="G37" s="202"/>
      <c r="I37" s="651"/>
      <c r="J37" s="639"/>
      <c r="K37" s="639"/>
      <c r="L37" s="652"/>
    </row>
    <row r="38" spans="1:12" ht="15" customHeight="1">
      <c r="A38" s="332">
        <v>25</v>
      </c>
      <c r="B38" s="333" t="s">
        <v>18</v>
      </c>
      <c r="C38" s="643">
        <v>0.34828522725083516</v>
      </c>
      <c r="D38" s="334"/>
      <c r="E38" s="334"/>
      <c r="F38" s="334"/>
      <c r="G38" s="337"/>
      <c r="I38" s="659">
        <v>0.24914921189230418</v>
      </c>
      <c r="J38" s="660">
        <v>0.15710923277885569</v>
      </c>
      <c r="K38" s="660">
        <v>0.17281157625092275</v>
      </c>
      <c r="L38" s="661">
        <v>0.2432166731999956</v>
      </c>
    </row>
    <row r="39" spans="1:12" ht="15" customHeight="1">
      <c r="A39" s="332">
        <v>26</v>
      </c>
      <c r="B39" s="333" t="s">
        <v>19</v>
      </c>
      <c r="C39" s="643">
        <v>0.82360160676101246</v>
      </c>
      <c r="D39" s="334"/>
      <c r="E39" s="334"/>
      <c r="F39" s="334"/>
      <c r="G39" s="337"/>
      <c r="I39" s="659">
        <v>0.76892545530979173</v>
      </c>
      <c r="J39" s="660">
        <v>0.82225848263923629</v>
      </c>
      <c r="K39" s="660">
        <v>0.91570934719187502</v>
      </c>
      <c r="L39" s="661">
        <v>0.92638084918734687</v>
      </c>
    </row>
    <row r="40" spans="1:12" ht="15" customHeight="1">
      <c r="A40" s="332">
        <v>27</v>
      </c>
      <c r="B40" s="334" t="s">
        <v>20</v>
      </c>
      <c r="C40" s="643">
        <v>0.30967050617691744</v>
      </c>
      <c r="D40" s="334"/>
      <c r="E40" s="334"/>
      <c r="F40" s="334"/>
      <c r="G40" s="337"/>
      <c r="I40" s="659">
        <v>0.2268974261944201</v>
      </c>
      <c r="J40" s="660">
        <v>0.18261594663740496</v>
      </c>
      <c r="K40" s="660">
        <v>0.16843183148370816</v>
      </c>
      <c r="L40" s="661">
        <v>0.17217382356191499</v>
      </c>
    </row>
    <row r="41" spans="1:12" ht="15" customHeight="1">
      <c r="A41" s="338"/>
      <c r="B41" s="327" t="s">
        <v>356</v>
      </c>
      <c r="C41" s="639"/>
      <c r="D41" s="201"/>
      <c r="E41" s="201"/>
      <c r="F41" s="201"/>
      <c r="G41" s="202"/>
      <c r="I41" s="651"/>
      <c r="J41" s="639"/>
      <c r="K41" s="639"/>
      <c r="L41" s="652"/>
    </row>
    <row r="42" spans="1:12" ht="15" customHeight="1">
      <c r="A42" s="332">
        <v>28</v>
      </c>
      <c r="B42" s="381" t="s">
        <v>340</v>
      </c>
      <c r="C42" s="644">
        <v>150849444.27000001</v>
      </c>
      <c r="D42" s="334"/>
      <c r="E42" s="334"/>
      <c r="F42" s="334"/>
      <c r="G42" s="337"/>
      <c r="I42" s="662">
        <v>101467169.72</v>
      </c>
      <c r="J42" s="663">
        <v>89137438.829999998</v>
      </c>
      <c r="K42" s="663">
        <v>106179025.34999998</v>
      </c>
      <c r="L42" s="664">
        <v>119202950.7</v>
      </c>
    </row>
    <row r="43" spans="1:12" ht="15">
      <c r="A43" s="332">
        <v>29</v>
      </c>
      <c r="B43" s="333" t="s">
        <v>341</v>
      </c>
      <c r="C43" s="644">
        <v>107578065.84092894</v>
      </c>
      <c r="D43" s="335"/>
      <c r="E43" s="335"/>
      <c r="F43" s="335"/>
      <c r="G43" s="336"/>
      <c r="I43" s="662">
        <v>59257735.987993032</v>
      </c>
      <c r="J43" s="663">
        <v>67044637.556638002</v>
      </c>
      <c r="K43" s="663">
        <v>73976166.371080011</v>
      </c>
      <c r="L43" s="664">
        <v>76582814.708628148</v>
      </c>
    </row>
    <row r="44" spans="1:12" ht="15">
      <c r="A44" s="377">
        <v>30</v>
      </c>
      <c r="B44" s="378" t="s">
        <v>339</v>
      </c>
      <c r="C44" s="645">
        <v>1.4022323518351278</v>
      </c>
      <c r="D44" s="334"/>
      <c r="E44" s="334"/>
      <c r="F44" s="334"/>
      <c r="G44" s="337"/>
      <c r="I44" s="665">
        <v>1.7123025041078106</v>
      </c>
      <c r="J44" s="666">
        <v>1.3295237632494983</v>
      </c>
      <c r="K44" s="666">
        <v>1.4353139741979011</v>
      </c>
      <c r="L44" s="667">
        <v>1.5565234988231647</v>
      </c>
    </row>
    <row r="45" spans="1:12" ht="15">
      <c r="A45" s="377"/>
      <c r="B45" s="327" t="s">
        <v>453</v>
      </c>
      <c r="C45" s="646"/>
      <c r="D45" s="201"/>
      <c r="E45" s="201"/>
      <c r="F45" s="201"/>
      <c r="G45" s="202"/>
      <c r="I45" s="668"/>
      <c r="J45" s="669"/>
      <c r="K45" s="669"/>
      <c r="L45" s="670"/>
    </row>
    <row r="46" spans="1:12" ht="15">
      <c r="A46" s="377">
        <v>31</v>
      </c>
      <c r="B46" s="378" t="s">
        <v>460</v>
      </c>
      <c r="C46" s="646">
        <v>256233936.39232719</v>
      </c>
      <c r="D46" s="379"/>
      <c r="E46" s="379"/>
      <c r="F46" s="379"/>
      <c r="G46" s="380"/>
      <c r="I46" s="668">
        <v>231228050.25346208</v>
      </c>
      <c r="J46" s="669">
        <v>233594681.10261557</v>
      </c>
      <c r="K46" s="669">
        <v>216035611.71239471</v>
      </c>
      <c r="L46" s="670">
        <v>230296060.9620136</v>
      </c>
    </row>
    <row r="47" spans="1:12" ht="15">
      <c r="A47" s="377">
        <v>32</v>
      </c>
      <c r="B47" s="378" t="s">
        <v>473</v>
      </c>
      <c r="C47" s="646">
        <v>179143144.7606785</v>
      </c>
      <c r="D47" s="379"/>
      <c r="E47" s="379"/>
      <c r="F47" s="379"/>
      <c r="G47" s="380"/>
      <c r="I47" s="668">
        <v>182662714.46660978</v>
      </c>
      <c r="J47" s="669">
        <v>197363686.82135105</v>
      </c>
      <c r="K47" s="669">
        <v>196066292.09883821</v>
      </c>
      <c r="L47" s="670">
        <v>192417041.2049503</v>
      </c>
    </row>
    <row r="48" spans="1:12" thickBot="1">
      <c r="A48" s="84">
        <v>33</v>
      </c>
      <c r="B48" s="170" t="s">
        <v>487</v>
      </c>
      <c r="C48" s="647">
        <v>1.430330681839018</v>
      </c>
      <c r="D48" s="171"/>
      <c r="E48" s="171"/>
      <c r="F48" s="171"/>
      <c r="G48" s="172"/>
      <c r="I48" s="671">
        <v>1.2658743790634399</v>
      </c>
      <c r="J48" s="672">
        <v>1.183574774391299</v>
      </c>
      <c r="K48" s="672">
        <v>1.101849835582599</v>
      </c>
      <c r="L48" s="673">
        <v>1.1968589659203677</v>
      </c>
    </row>
    <row r="49" spans="1:7">
      <c r="A49" s="20"/>
    </row>
    <row r="50" spans="1:7" ht="39.75">
      <c r="B50" s="23" t="s">
        <v>944</v>
      </c>
    </row>
    <row r="51" spans="1:7" ht="65.25">
      <c r="B51" s="241" t="s">
        <v>355</v>
      </c>
      <c r="D51" s="222"/>
      <c r="E51" s="222"/>
      <c r="F51" s="222"/>
      <c r="G51" s="222"/>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6"/>
  <sheetViews>
    <sheetView showGridLines="0" zoomScale="80" zoomScaleNormal="80" workbookViewId="0">
      <selection activeCell="B1" sqref="B1:B2"/>
    </sheetView>
  </sheetViews>
  <sheetFormatPr defaultColWidth="9.140625" defaultRowHeight="12.75"/>
  <cols>
    <col min="1" max="1" width="11.85546875" style="387" bestFit="1" customWidth="1"/>
    <col min="2" max="2" width="105.140625" style="387" bestFit="1" customWidth="1"/>
    <col min="3" max="3" width="18" style="387" bestFit="1" customWidth="1"/>
    <col min="4" max="4" width="18.85546875" style="387" bestFit="1" customWidth="1"/>
    <col min="5" max="5" width="18.42578125" style="387" bestFit="1" customWidth="1"/>
    <col min="6" max="6" width="17.42578125" style="387" bestFit="1" customWidth="1"/>
    <col min="7" max="7" width="30.42578125" style="387" customWidth="1"/>
    <col min="8" max="8" width="18.85546875" style="387" bestFit="1" customWidth="1"/>
    <col min="9" max="16384" width="9.140625" style="387"/>
  </cols>
  <sheetData>
    <row r="1" spans="1:8" ht="13.5">
      <c r="A1" s="386" t="s">
        <v>108</v>
      </c>
      <c r="B1" s="636" t="str">
        <f>'1. key ratios'!B1</f>
        <v>სს იშბანკი საქართველო</v>
      </c>
    </row>
    <row r="2" spans="1:8" ht="13.5">
      <c r="A2" s="388" t="s">
        <v>109</v>
      </c>
      <c r="B2" s="637">
        <f>'1. key ratios'!B2</f>
        <v>45016</v>
      </c>
    </row>
    <row r="3" spans="1:8">
      <c r="A3" s="389" t="s">
        <v>493</v>
      </c>
    </row>
    <row r="5" spans="1:8">
      <c r="A5" s="897" t="s">
        <v>494</v>
      </c>
      <c r="B5" s="898"/>
      <c r="C5" s="903" t="s">
        <v>495</v>
      </c>
      <c r="D5" s="904"/>
      <c r="E5" s="904"/>
      <c r="F5" s="904"/>
      <c r="G5" s="904"/>
      <c r="H5" s="905"/>
    </row>
    <row r="6" spans="1:8">
      <c r="A6" s="899"/>
      <c r="B6" s="900"/>
      <c r="C6" s="906"/>
      <c r="D6" s="907"/>
      <c r="E6" s="907"/>
      <c r="F6" s="907"/>
      <c r="G6" s="907"/>
      <c r="H6" s="908"/>
    </row>
    <row r="7" spans="1:8" ht="25.5">
      <c r="A7" s="901"/>
      <c r="B7" s="902"/>
      <c r="C7" s="485" t="s">
        <v>496</v>
      </c>
      <c r="D7" s="485" t="s">
        <v>497</v>
      </c>
      <c r="E7" s="485" t="s">
        <v>498</v>
      </c>
      <c r="F7" s="485" t="s">
        <v>499</v>
      </c>
      <c r="G7" s="486" t="s">
        <v>679</v>
      </c>
      <c r="H7" s="485" t="s">
        <v>66</v>
      </c>
    </row>
    <row r="8" spans="1:8">
      <c r="A8" s="481">
        <v>1</v>
      </c>
      <c r="B8" s="480" t="s">
        <v>134</v>
      </c>
      <c r="C8" s="794">
        <v>42889458.020000003</v>
      </c>
      <c r="D8" s="794">
        <v>0</v>
      </c>
      <c r="E8" s="794">
        <v>1356096.4023631765</v>
      </c>
      <c r="F8" s="794">
        <v>0</v>
      </c>
      <c r="G8" s="794"/>
      <c r="H8" s="795">
        <f t="shared" ref="H8:H20" si="0">SUM(C8:G8)</f>
        <v>44245554.422363177</v>
      </c>
    </row>
    <row r="9" spans="1:8">
      <c r="A9" s="481">
        <v>2</v>
      </c>
      <c r="B9" s="480" t="s">
        <v>135</v>
      </c>
      <c r="C9" s="794"/>
      <c r="D9" s="794"/>
      <c r="E9" s="794"/>
      <c r="F9" s="794"/>
      <c r="G9" s="794"/>
      <c r="H9" s="795">
        <f t="shared" si="0"/>
        <v>0</v>
      </c>
    </row>
    <row r="10" spans="1:8">
      <c r="A10" s="481">
        <v>3</v>
      </c>
      <c r="B10" s="480" t="s">
        <v>136</v>
      </c>
      <c r="C10" s="794"/>
      <c r="D10" s="794"/>
      <c r="E10" s="794"/>
      <c r="F10" s="794"/>
      <c r="G10" s="794"/>
      <c r="H10" s="795">
        <f t="shared" si="0"/>
        <v>0</v>
      </c>
    </row>
    <row r="11" spans="1:8">
      <c r="A11" s="481">
        <v>4</v>
      </c>
      <c r="B11" s="480" t="s">
        <v>137</v>
      </c>
      <c r="C11" s="794"/>
      <c r="D11" s="794"/>
      <c r="E11" s="794"/>
      <c r="F11" s="794"/>
      <c r="G11" s="794"/>
      <c r="H11" s="795">
        <f t="shared" si="0"/>
        <v>0</v>
      </c>
    </row>
    <row r="12" spans="1:8">
      <c r="A12" s="481">
        <v>5</v>
      </c>
      <c r="B12" s="480" t="s">
        <v>948</v>
      </c>
      <c r="C12" s="794"/>
      <c r="D12" s="794"/>
      <c r="E12" s="794"/>
      <c r="F12" s="794"/>
      <c r="G12" s="794"/>
      <c r="H12" s="795">
        <f t="shared" si="0"/>
        <v>0</v>
      </c>
    </row>
    <row r="13" spans="1:8">
      <c r="A13" s="481">
        <v>6</v>
      </c>
      <c r="B13" s="480" t="s">
        <v>138</v>
      </c>
      <c r="C13" s="794">
        <v>69856979.359551981</v>
      </c>
      <c r="D13" s="794">
        <v>26277729.990000002</v>
      </c>
      <c r="E13" s="794">
        <v>5194976.0996610485</v>
      </c>
      <c r="F13" s="794">
        <v>0</v>
      </c>
      <c r="G13" s="794"/>
      <c r="H13" s="795">
        <f t="shared" si="0"/>
        <v>101329685.44921303</v>
      </c>
    </row>
    <row r="14" spans="1:8">
      <c r="A14" s="481">
        <v>7</v>
      </c>
      <c r="B14" s="480" t="s">
        <v>71</v>
      </c>
      <c r="C14" s="794"/>
      <c r="D14" s="794">
        <v>146072512.68025926</v>
      </c>
      <c r="E14" s="794">
        <v>94898286.954975009</v>
      </c>
      <c r="F14" s="794">
        <v>26132919.929999996</v>
      </c>
      <c r="G14" s="794">
        <v>41278.399286763422</v>
      </c>
      <c r="H14" s="795">
        <f t="shared" si="0"/>
        <v>267144997.96452105</v>
      </c>
    </row>
    <row r="15" spans="1:8">
      <c r="A15" s="481">
        <v>8</v>
      </c>
      <c r="B15" s="482" t="s">
        <v>72</v>
      </c>
      <c r="C15" s="794"/>
      <c r="D15" s="794"/>
      <c r="E15" s="794"/>
      <c r="F15" s="794"/>
      <c r="G15" s="794"/>
      <c r="H15" s="795">
        <f t="shared" si="0"/>
        <v>0</v>
      </c>
    </row>
    <row r="16" spans="1:8">
      <c r="A16" s="481">
        <v>9</v>
      </c>
      <c r="B16" s="480" t="s">
        <v>949</v>
      </c>
      <c r="C16" s="794"/>
      <c r="D16" s="794"/>
      <c r="E16" s="794"/>
      <c r="F16" s="794"/>
      <c r="G16" s="794"/>
      <c r="H16" s="795">
        <f t="shared" si="0"/>
        <v>0</v>
      </c>
    </row>
    <row r="17" spans="1:8">
      <c r="A17" s="481">
        <v>10</v>
      </c>
      <c r="B17" s="484" t="s">
        <v>514</v>
      </c>
      <c r="C17" s="794"/>
      <c r="D17" s="794">
        <v>15099.960000000001</v>
      </c>
      <c r="E17" s="794">
        <v>8343.5499999999993</v>
      </c>
      <c r="F17" s="794">
        <v>160662.56999999998</v>
      </c>
      <c r="G17" s="794">
        <v>0</v>
      </c>
      <c r="H17" s="795">
        <f t="shared" si="0"/>
        <v>184106.08</v>
      </c>
    </row>
    <row r="18" spans="1:8">
      <c r="A18" s="481">
        <v>11</v>
      </c>
      <c r="B18" s="480" t="s">
        <v>68</v>
      </c>
      <c r="C18" s="794"/>
      <c r="D18" s="794">
        <v>0</v>
      </c>
      <c r="E18" s="794">
        <v>0</v>
      </c>
      <c r="F18" s="794">
        <v>0</v>
      </c>
      <c r="G18" s="794">
        <v>0</v>
      </c>
      <c r="H18" s="795">
        <f t="shared" si="0"/>
        <v>0</v>
      </c>
    </row>
    <row r="19" spans="1:8">
      <c r="A19" s="481">
        <v>12</v>
      </c>
      <c r="B19" s="480" t="s">
        <v>69</v>
      </c>
      <c r="C19" s="794"/>
      <c r="D19" s="794"/>
      <c r="E19" s="794"/>
      <c r="F19" s="794"/>
      <c r="G19" s="794"/>
      <c r="H19" s="795">
        <f t="shared" si="0"/>
        <v>0</v>
      </c>
    </row>
    <row r="20" spans="1:8">
      <c r="A20" s="483">
        <v>13</v>
      </c>
      <c r="B20" s="482" t="s">
        <v>70</v>
      </c>
      <c r="C20" s="794"/>
      <c r="D20" s="794"/>
      <c r="E20" s="794"/>
      <c r="F20" s="794"/>
      <c r="G20" s="794"/>
      <c r="H20" s="795">
        <f t="shared" si="0"/>
        <v>0</v>
      </c>
    </row>
    <row r="21" spans="1:8">
      <c r="A21" s="481">
        <v>14</v>
      </c>
      <c r="B21" s="480" t="s">
        <v>500</v>
      </c>
      <c r="C21" s="794">
        <v>2880754.8200000003</v>
      </c>
      <c r="D21" s="794">
        <v>279684.15999999997</v>
      </c>
      <c r="E21" s="794">
        <v>4052815.8899999992</v>
      </c>
      <c r="F21" s="794">
        <v>3769499.3400000003</v>
      </c>
      <c r="G21" s="794">
        <v>10314999.840648521</v>
      </c>
      <c r="H21" s="795">
        <f>SUM(C21:G21)</f>
        <v>21297754.050648518</v>
      </c>
    </row>
    <row r="22" spans="1:8">
      <c r="A22" s="479">
        <v>15</v>
      </c>
      <c r="B22" s="478" t="s">
        <v>66</v>
      </c>
      <c r="C22" s="795">
        <f>SUM(C18:C21)+SUM(C8:C16)</f>
        <v>115627192.19955197</v>
      </c>
      <c r="D22" s="795">
        <f t="shared" ref="D22:H22" si="1">SUM(D18:D21)+SUM(D8:D16)</f>
        <v>172629926.83025926</v>
      </c>
      <c r="E22" s="795">
        <f t="shared" si="1"/>
        <v>105502175.34699923</v>
      </c>
      <c r="F22" s="795">
        <f t="shared" si="1"/>
        <v>29902419.269999996</v>
      </c>
      <c r="G22" s="795">
        <f t="shared" si="1"/>
        <v>10356278.239935284</v>
      </c>
      <c r="H22" s="795">
        <f t="shared" si="1"/>
        <v>434017991.88674575</v>
      </c>
    </row>
    <row r="26" spans="1:8" ht="38.25">
      <c r="B26" s="406" t="s">
        <v>678</v>
      </c>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6"/>
  <sheetViews>
    <sheetView showGridLines="0" zoomScaleNormal="100" workbookViewId="0">
      <selection activeCell="B1" sqref="B1:B2"/>
    </sheetView>
  </sheetViews>
  <sheetFormatPr defaultColWidth="9.140625" defaultRowHeight="12.75"/>
  <cols>
    <col min="1" max="1" width="11.85546875" style="390" bestFit="1" customWidth="1"/>
    <col min="2" max="2" width="86.85546875" style="387" customWidth="1"/>
    <col min="3" max="4" width="31.5703125" style="387" customWidth="1"/>
    <col min="5" max="5" width="16.42578125" style="392" bestFit="1" customWidth="1"/>
    <col min="6" max="6" width="14.28515625" style="392" bestFit="1" customWidth="1"/>
    <col min="7" max="7" width="20" style="387" bestFit="1" customWidth="1"/>
    <col min="8" max="8" width="25.140625" style="387" bestFit="1" customWidth="1"/>
    <col min="9" max="16384" width="9.140625" style="387"/>
  </cols>
  <sheetData>
    <row r="1" spans="1:8" ht="13.5">
      <c r="A1" s="386" t="s">
        <v>108</v>
      </c>
      <c r="B1" s="636" t="str">
        <f>'1. key ratios'!B1</f>
        <v>სს იშბანკი საქართველო</v>
      </c>
      <c r="C1" s="498"/>
      <c r="D1" s="498"/>
      <c r="E1" s="498"/>
      <c r="F1" s="498"/>
      <c r="G1" s="498"/>
      <c r="H1" s="498"/>
    </row>
    <row r="2" spans="1:8" ht="13.5">
      <c r="A2" s="388" t="s">
        <v>109</v>
      </c>
      <c r="B2" s="637">
        <f>'1. key ratios'!B2</f>
        <v>45016</v>
      </c>
      <c r="C2" s="498"/>
      <c r="D2" s="498"/>
      <c r="E2" s="498"/>
      <c r="F2" s="498"/>
      <c r="G2" s="498"/>
      <c r="H2" s="498"/>
    </row>
    <row r="3" spans="1:8">
      <c r="A3" s="389" t="s">
        <v>501</v>
      </c>
      <c r="B3" s="498"/>
      <c r="C3" s="498"/>
      <c r="D3" s="498"/>
      <c r="E3" s="498"/>
      <c r="F3" s="498"/>
      <c r="G3" s="498"/>
      <c r="H3" s="498"/>
    </row>
    <row r="4" spans="1:8">
      <c r="A4" s="499"/>
      <c r="B4" s="498"/>
      <c r="C4" s="497" t="s">
        <v>502</v>
      </c>
      <c r="D4" s="497" t="s">
        <v>503</v>
      </c>
      <c r="E4" s="497" t="s">
        <v>504</v>
      </c>
      <c r="F4" s="497" t="s">
        <v>505</v>
      </c>
      <c r="G4" s="497" t="s">
        <v>506</v>
      </c>
      <c r="H4" s="497" t="s">
        <v>507</v>
      </c>
    </row>
    <row r="5" spans="1:8" ht="33.950000000000003" customHeight="1">
      <c r="A5" s="897" t="s">
        <v>867</v>
      </c>
      <c r="B5" s="898"/>
      <c r="C5" s="911" t="s">
        <v>596</v>
      </c>
      <c r="D5" s="911"/>
      <c r="E5" s="911" t="s">
        <v>866</v>
      </c>
      <c r="F5" s="909" t="s">
        <v>865</v>
      </c>
      <c r="G5" s="909" t="s">
        <v>511</v>
      </c>
      <c r="H5" s="495" t="s">
        <v>864</v>
      </c>
    </row>
    <row r="6" spans="1:8" ht="25.5">
      <c r="A6" s="901"/>
      <c r="B6" s="902"/>
      <c r="C6" s="496" t="s">
        <v>512</v>
      </c>
      <c r="D6" s="496" t="s">
        <v>513</v>
      </c>
      <c r="E6" s="911"/>
      <c r="F6" s="910"/>
      <c r="G6" s="910"/>
      <c r="H6" s="495" t="s">
        <v>863</v>
      </c>
    </row>
    <row r="7" spans="1:8">
      <c r="A7" s="493">
        <v>1</v>
      </c>
      <c r="B7" s="480" t="s">
        <v>134</v>
      </c>
      <c r="C7" s="796">
        <v>0</v>
      </c>
      <c r="D7" s="796">
        <v>44245554.422363184</v>
      </c>
      <c r="E7" s="797">
        <v>100689.99205789388</v>
      </c>
      <c r="F7" s="797"/>
      <c r="G7" s="796"/>
      <c r="H7" s="798">
        <f t="shared" ref="H7:H20" si="0">C7+D7-E7-F7</f>
        <v>44144864.430305287</v>
      </c>
    </row>
    <row r="8" spans="1:8" ht="14.45" customHeight="1">
      <c r="A8" s="493">
        <v>2</v>
      </c>
      <c r="B8" s="480" t="s">
        <v>135</v>
      </c>
      <c r="C8" s="796"/>
      <c r="D8" s="796"/>
      <c r="E8" s="797"/>
      <c r="F8" s="797"/>
      <c r="G8" s="796"/>
      <c r="H8" s="798">
        <f t="shared" si="0"/>
        <v>0</v>
      </c>
    </row>
    <row r="9" spans="1:8">
      <c r="A9" s="493">
        <v>3</v>
      </c>
      <c r="B9" s="480" t="s">
        <v>136</v>
      </c>
      <c r="C9" s="796"/>
      <c r="D9" s="796"/>
      <c r="E9" s="797"/>
      <c r="F9" s="797"/>
      <c r="G9" s="796"/>
      <c r="H9" s="798">
        <f t="shared" si="0"/>
        <v>0</v>
      </c>
    </row>
    <row r="10" spans="1:8">
      <c r="A10" s="493">
        <v>4</v>
      </c>
      <c r="B10" s="480" t="s">
        <v>137</v>
      </c>
      <c r="C10" s="796"/>
      <c r="D10" s="796"/>
      <c r="E10" s="797"/>
      <c r="F10" s="797"/>
      <c r="G10" s="796"/>
      <c r="H10" s="798">
        <f t="shared" si="0"/>
        <v>0</v>
      </c>
    </row>
    <row r="11" spans="1:8">
      <c r="A11" s="493">
        <v>5</v>
      </c>
      <c r="B11" s="480" t="s">
        <v>948</v>
      </c>
      <c r="C11" s="796">
        <v>0</v>
      </c>
      <c r="D11" s="796"/>
      <c r="E11" s="797"/>
      <c r="F11" s="797"/>
      <c r="G11" s="796"/>
      <c r="H11" s="798">
        <f t="shared" si="0"/>
        <v>0</v>
      </c>
    </row>
    <row r="12" spans="1:8">
      <c r="A12" s="493">
        <v>6</v>
      </c>
      <c r="B12" s="480" t="s">
        <v>138</v>
      </c>
      <c r="C12" s="796">
        <v>0</v>
      </c>
      <c r="D12" s="796">
        <v>101329685.44921301</v>
      </c>
      <c r="E12" s="797">
        <v>294311.65332195902</v>
      </c>
      <c r="F12" s="797"/>
      <c r="G12" s="796"/>
      <c r="H12" s="798">
        <f t="shared" si="0"/>
        <v>101035373.79589106</v>
      </c>
    </row>
    <row r="13" spans="1:8">
      <c r="A13" s="493">
        <v>7</v>
      </c>
      <c r="B13" s="480" t="s">
        <v>71</v>
      </c>
      <c r="C13" s="796">
        <v>562476.92000000004</v>
      </c>
      <c r="D13" s="796">
        <v>266920435.80523425</v>
      </c>
      <c r="E13" s="797">
        <v>1999703.0414817873</v>
      </c>
      <c r="F13" s="797"/>
      <c r="G13" s="796"/>
      <c r="H13" s="798">
        <f t="shared" si="0"/>
        <v>265483209.68375245</v>
      </c>
    </row>
    <row r="14" spans="1:8">
      <c r="A14" s="493">
        <v>8</v>
      </c>
      <c r="B14" s="482" t="s">
        <v>72</v>
      </c>
      <c r="C14" s="796"/>
      <c r="D14" s="796"/>
      <c r="E14" s="797"/>
      <c r="F14" s="797"/>
      <c r="G14" s="796"/>
      <c r="H14" s="798">
        <f t="shared" si="0"/>
        <v>0</v>
      </c>
    </row>
    <row r="15" spans="1:8">
      <c r="A15" s="493">
        <v>9</v>
      </c>
      <c r="B15" s="480" t="s">
        <v>949</v>
      </c>
      <c r="C15" s="796"/>
      <c r="D15" s="796"/>
      <c r="E15" s="797"/>
      <c r="F15" s="797"/>
      <c r="G15" s="796"/>
      <c r="H15" s="798">
        <f t="shared" si="0"/>
        <v>0</v>
      </c>
    </row>
    <row r="16" spans="1:8">
      <c r="A16" s="493">
        <v>10</v>
      </c>
      <c r="B16" s="484" t="s">
        <v>514</v>
      </c>
      <c r="C16" s="796">
        <v>405050.73000000004</v>
      </c>
      <c r="D16" s="796">
        <v>0</v>
      </c>
      <c r="E16" s="797">
        <v>317258.38299091737</v>
      </c>
      <c r="F16" s="797"/>
      <c r="G16" s="796"/>
      <c r="H16" s="798">
        <f t="shared" si="0"/>
        <v>87792.347009082674</v>
      </c>
    </row>
    <row r="17" spans="1:8">
      <c r="A17" s="493">
        <v>11</v>
      </c>
      <c r="B17" s="480" t="s">
        <v>68</v>
      </c>
      <c r="C17" s="796">
        <v>0</v>
      </c>
      <c r="D17" s="796">
        <v>0</v>
      </c>
      <c r="E17" s="797">
        <v>0</v>
      </c>
      <c r="F17" s="797"/>
      <c r="G17" s="796"/>
      <c r="H17" s="798">
        <f t="shared" si="0"/>
        <v>0</v>
      </c>
    </row>
    <row r="18" spans="1:8">
      <c r="A18" s="493">
        <v>12</v>
      </c>
      <c r="B18" s="480" t="s">
        <v>69</v>
      </c>
      <c r="C18" s="796"/>
      <c r="D18" s="796"/>
      <c r="E18" s="797"/>
      <c r="F18" s="797"/>
      <c r="G18" s="796"/>
      <c r="H18" s="798">
        <f t="shared" si="0"/>
        <v>0</v>
      </c>
    </row>
    <row r="19" spans="1:8">
      <c r="A19" s="494">
        <v>13</v>
      </c>
      <c r="B19" s="482" t="s">
        <v>70</v>
      </c>
      <c r="C19" s="796"/>
      <c r="D19" s="796"/>
      <c r="E19" s="797"/>
      <c r="F19" s="797"/>
      <c r="G19" s="796"/>
      <c r="H19" s="798">
        <f t="shared" si="0"/>
        <v>0</v>
      </c>
    </row>
    <row r="20" spans="1:8">
      <c r="A20" s="493">
        <v>14</v>
      </c>
      <c r="B20" s="480" t="s">
        <v>500</v>
      </c>
      <c r="C20" s="796">
        <v>1985597.2099999997</v>
      </c>
      <c r="D20" s="796">
        <v>19174656.015973177</v>
      </c>
      <c r="E20" s="797">
        <v>574034.59300431714</v>
      </c>
      <c r="F20" s="797"/>
      <c r="G20" s="796"/>
      <c r="H20" s="798">
        <f t="shared" si="0"/>
        <v>20586218.632968862</v>
      </c>
    </row>
    <row r="21" spans="1:8" s="391" customFormat="1">
      <c r="A21" s="492">
        <v>15</v>
      </c>
      <c r="B21" s="491" t="s">
        <v>66</v>
      </c>
      <c r="C21" s="799">
        <f t="shared" ref="C21:H21" si="1">SUM(C7:C15)+SUM(C17:C20)</f>
        <v>2548074.13</v>
      </c>
      <c r="D21" s="799">
        <f t="shared" si="1"/>
        <v>431670331.69278359</v>
      </c>
      <c r="E21" s="799">
        <f t="shared" si="1"/>
        <v>2968739.2798659573</v>
      </c>
      <c r="F21" s="799">
        <f t="shared" si="1"/>
        <v>0</v>
      </c>
      <c r="G21" s="799">
        <f t="shared" si="1"/>
        <v>0</v>
      </c>
      <c r="H21" s="798">
        <f t="shared" si="1"/>
        <v>431249666.54291767</v>
      </c>
    </row>
    <row r="22" spans="1:8">
      <c r="A22" s="490">
        <v>16</v>
      </c>
      <c r="B22" s="489" t="s">
        <v>515</v>
      </c>
      <c r="C22" s="796">
        <v>1198980.9499999997</v>
      </c>
      <c r="D22" s="796">
        <v>245894976.84999993</v>
      </c>
      <c r="E22" s="797">
        <v>2496996.9550287416</v>
      </c>
      <c r="F22" s="797"/>
      <c r="G22" s="796"/>
      <c r="H22" s="798">
        <f>C22+D22-E22-F22</f>
        <v>244596960.84497118</v>
      </c>
    </row>
    <row r="23" spans="1:8">
      <c r="A23" s="490">
        <v>17</v>
      </c>
      <c r="B23" s="489" t="s">
        <v>516</v>
      </c>
      <c r="C23" s="796">
        <v>0</v>
      </c>
      <c r="D23" s="796">
        <v>57562175.327258505</v>
      </c>
      <c r="E23" s="797">
        <v>197368.70679751728</v>
      </c>
      <c r="F23" s="797"/>
      <c r="G23" s="796"/>
      <c r="H23" s="798">
        <f>C23+D23-E23-F23</f>
        <v>57364806.620460987</v>
      </c>
    </row>
    <row r="25" spans="1:8">
      <c r="E25" s="387"/>
      <c r="F25" s="387"/>
    </row>
    <row r="26" spans="1:8" ht="42.6" customHeight="1">
      <c r="B26" s="406" t="s">
        <v>678</v>
      </c>
    </row>
  </sheetData>
  <mergeCells count="5">
    <mergeCell ref="G5:G6"/>
    <mergeCell ref="A5:B6"/>
    <mergeCell ref="C5:D5"/>
    <mergeCell ref="E5:E6"/>
    <mergeCell ref="F5:F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6"/>
  <sheetViews>
    <sheetView showGridLines="0" zoomScaleNormal="100" workbookViewId="0">
      <selection activeCell="B1" sqref="B1:B2"/>
    </sheetView>
  </sheetViews>
  <sheetFormatPr defaultColWidth="9.140625" defaultRowHeight="12.75"/>
  <cols>
    <col min="1" max="1" width="11" style="387" bestFit="1" customWidth="1"/>
    <col min="2" max="2" width="93.42578125" style="387" customWidth="1"/>
    <col min="3" max="4" width="35" style="387" customWidth="1"/>
    <col min="5" max="7" width="22" style="387" customWidth="1"/>
    <col min="8" max="8" width="42.28515625" style="387" bestFit="1" customWidth="1"/>
    <col min="9" max="16384" width="9.140625" style="387"/>
  </cols>
  <sheetData>
    <row r="1" spans="1:8" ht="13.5">
      <c r="A1" s="386" t="s">
        <v>108</v>
      </c>
      <c r="B1" s="636" t="str">
        <f>'1. key ratios'!B1</f>
        <v>სს იშბანკი საქართველო</v>
      </c>
      <c r="C1" s="498"/>
      <c r="D1" s="498"/>
      <c r="E1" s="498"/>
      <c r="F1" s="498"/>
      <c r="G1" s="498"/>
      <c r="H1" s="498"/>
    </row>
    <row r="2" spans="1:8" ht="13.5">
      <c r="A2" s="388" t="s">
        <v>109</v>
      </c>
      <c r="B2" s="637">
        <f>'1. key ratios'!B2</f>
        <v>45016</v>
      </c>
      <c r="C2" s="498"/>
      <c r="D2" s="498"/>
      <c r="E2" s="498"/>
      <c r="F2" s="498"/>
      <c r="G2" s="498"/>
      <c r="H2" s="498"/>
    </row>
    <row r="3" spans="1:8">
      <c r="A3" s="389" t="s">
        <v>517</v>
      </c>
      <c r="B3" s="498"/>
      <c r="C3" s="498"/>
      <c r="D3" s="498"/>
      <c r="E3" s="498"/>
      <c r="F3" s="498"/>
      <c r="G3" s="498"/>
      <c r="H3" s="498"/>
    </row>
    <row r="4" spans="1:8">
      <c r="A4" s="498"/>
      <c r="B4" s="498"/>
      <c r="C4" s="497" t="s">
        <v>502</v>
      </c>
      <c r="D4" s="497" t="s">
        <v>503</v>
      </c>
      <c r="E4" s="497" t="s">
        <v>504</v>
      </c>
      <c r="F4" s="497" t="s">
        <v>505</v>
      </c>
      <c r="G4" s="497" t="s">
        <v>506</v>
      </c>
      <c r="H4" s="497" t="s">
        <v>507</v>
      </c>
    </row>
    <row r="5" spans="1:8" ht="41.45" customHeight="1">
      <c r="A5" s="897" t="s">
        <v>869</v>
      </c>
      <c r="B5" s="898"/>
      <c r="C5" s="912" t="s">
        <v>596</v>
      </c>
      <c r="D5" s="913"/>
      <c r="E5" s="909" t="s">
        <v>866</v>
      </c>
      <c r="F5" s="909" t="s">
        <v>865</v>
      </c>
      <c r="G5" s="909" t="s">
        <v>511</v>
      </c>
      <c r="H5" s="495" t="s">
        <v>864</v>
      </c>
    </row>
    <row r="6" spans="1:8" ht="25.5">
      <c r="A6" s="901"/>
      <c r="B6" s="902"/>
      <c r="C6" s="496" t="s">
        <v>512</v>
      </c>
      <c r="D6" s="496" t="s">
        <v>513</v>
      </c>
      <c r="E6" s="910"/>
      <c r="F6" s="910"/>
      <c r="G6" s="910"/>
      <c r="H6" s="495" t="s">
        <v>863</v>
      </c>
    </row>
    <row r="7" spans="1:8">
      <c r="A7" s="487">
        <v>1</v>
      </c>
      <c r="B7" s="502" t="s">
        <v>518</v>
      </c>
      <c r="C7" s="796">
        <v>7152.79</v>
      </c>
      <c r="D7" s="796">
        <v>48106801.232363187</v>
      </c>
      <c r="E7" s="796">
        <v>111207.67783031505</v>
      </c>
      <c r="F7" s="796"/>
      <c r="G7" s="796"/>
      <c r="H7" s="798">
        <f t="shared" ref="H7:H34" si="0">C7+D7-E7-F7</f>
        <v>48002746.34453287</v>
      </c>
    </row>
    <row r="8" spans="1:8">
      <c r="A8" s="487">
        <v>2</v>
      </c>
      <c r="B8" s="502" t="s">
        <v>519</v>
      </c>
      <c r="C8" s="796">
        <v>0</v>
      </c>
      <c r="D8" s="796">
        <v>158733314.07635298</v>
      </c>
      <c r="E8" s="796">
        <v>552898.18482692237</v>
      </c>
      <c r="F8" s="796"/>
      <c r="G8" s="796"/>
      <c r="H8" s="798">
        <f t="shared" si="0"/>
        <v>158180415.89152607</v>
      </c>
    </row>
    <row r="9" spans="1:8">
      <c r="A9" s="487">
        <v>3</v>
      </c>
      <c r="B9" s="502" t="s">
        <v>868</v>
      </c>
      <c r="C9" s="796"/>
      <c r="D9" s="796"/>
      <c r="E9" s="796"/>
      <c r="F9" s="796"/>
      <c r="G9" s="796"/>
      <c r="H9" s="798">
        <f t="shared" si="0"/>
        <v>0</v>
      </c>
    </row>
    <row r="10" spans="1:8">
      <c r="A10" s="487">
        <v>4</v>
      </c>
      <c r="B10" s="502" t="s">
        <v>520</v>
      </c>
      <c r="C10" s="796">
        <v>0</v>
      </c>
      <c r="D10" s="796">
        <v>13060087.520000001</v>
      </c>
      <c r="E10" s="796">
        <v>40556.958026962915</v>
      </c>
      <c r="F10" s="796"/>
      <c r="G10" s="796"/>
      <c r="H10" s="798">
        <f t="shared" si="0"/>
        <v>13019530.561973039</v>
      </c>
    </row>
    <row r="11" spans="1:8">
      <c r="A11" s="487">
        <v>5</v>
      </c>
      <c r="B11" s="502" t="s">
        <v>521</v>
      </c>
      <c r="C11" s="796">
        <v>0</v>
      </c>
      <c r="D11" s="796">
        <v>13875947.050301706</v>
      </c>
      <c r="E11" s="796">
        <v>14695.571434238253</v>
      </c>
      <c r="F11" s="796"/>
      <c r="G11" s="796"/>
      <c r="H11" s="798">
        <f t="shared" si="0"/>
        <v>13861251.478867467</v>
      </c>
    </row>
    <row r="12" spans="1:8">
      <c r="A12" s="487">
        <v>6</v>
      </c>
      <c r="B12" s="502" t="s">
        <v>522</v>
      </c>
      <c r="C12" s="796">
        <v>19288.27</v>
      </c>
      <c r="D12" s="796">
        <v>6354601.5999999996</v>
      </c>
      <c r="E12" s="796">
        <v>24885.732693245591</v>
      </c>
      <c r="F12" s="796"/>
      <c r="G12" s="796"/>
      <c r="H12" s="798">
        <f t="shared" si="0"/>
        <v>6349004.1373067535</v>
      </c>
    </row>
    <row r="13" spans="1:8">
      <c r="A13" s="487">
        <v>7</v>
      </c>
      <c r="B13" s="502" t="s">
        <v>523</v>
      </c>
      <c r="C13" s="796">
        <v>0</v>
      </c>
      <c r="D13" s="796">
        <v>22981866</v>
      </c>
      <c r="E13" s="796">
        <v>131971.68168531219</v>
      </c>
      <c r="F13" s="796"/>
      <c r="G13" s="796"/>
      <c r="H13" s="798">
        <f t="shared" si="0"/>
        <v>22849894.318314686</v>
      </c>
    </row>
    <row r="14" spans="1:8">
      <c r="A14" s="487">
        <v>8</v>
      </c>
      <c r="B14" s="502" t="s">
        <v>524</v>
      </c>
      <c r="C14" s="796">
        <v>420200.91</v>
      </c>
      <c r="D14" s="796">
        <v>9866846.0399999991</v>
      </c>
      <c r="E14" s="796">
        <v>305824.20898925402</v>
      </c>
      <c r="F14" s="796"/>
      <c r="G14" s="796"/>
      <c r="H14" s="798">
        <f t="shared" si="0"/>
        <v>9981222.741010746</v>
      </c>
    </row>
    <row r="15" spans="1:8">
      <c r="A15" s="487">
        <v>9</v>
      </c>
      <c r="B15" s="502" t="s">
        <v>525</v>
      </c>
      <c r="C15" s="796">
        <v>0</v>
      </c>
      <c r="D15" s="796">
        <v>5020494.0902592586</v>
      </c>
      <c r="E15" s="796">
        <v>22062.182670320086</v>
      </c>
      <c r="F15" s="796"/>
      <c r="G15" s="796"/>
      <c r="H15" s="798">
        <f t="shared" si="0"/>
        <v>4998431.9075889383</v>
      </c>
    </row>
    <row r="16" spans="1:8">
      <c r="A16" s="487">
        <v>10</v>
      </c>
      <c r="B16" s="502" t="s">
        <v>526</v>
      </c>
      <c r="C16" s="796">
        <v>4181.4399999999996</v>
      </c>
      <c r="D16" s="796">
        <v>9761122.0700000003</v>
      </c>
      <c r="E16" s="796">
        <v>40286.778736858134</v>
      </c>
      <c r="F16" s="796"/>
      <c r="G16" s="796"/>
      <c r="H16" s="798">
        <f t="shared" si="0"/>
        <v>9725016.7312631421</v>
      </c>
    </row>
    <row r="17" spans="1:9">
      <c r="A17" s="487">
        <v>11</v>
      </c>
      <c r="B17" s="502" t="s">
        <v>527</v>
      </c>
      <c r="C17" s="796">
        <v>25805.440000000002</v>
      </c>
      <c r="D17" s="796">
        <v>19665402.190000005</v>
      </c>
      <c r="E17" s="796">
        <v>164445.91813479146</v>
      </c>
      <c r="F17" s="796"/>
      <c r="G17" s="796"/>
      <c r="H17" s="798">
        <f t="shared" si="0"/>
        <v>19526761.711865216</v>
      </c>
    </row>
    <row r="18" spans="1:9">
      <c r="A18" s="487">
        <v>12</v>
      </c>
      <c r="B18" s="502" t="s">
        <v>528</v>
      </c>
      <c r="C18" s="796">
        <v>223713.86000000002</v>
      </c>
      <c r="D18" s="796">
        <v>29813697.349999998</v>
      </c>
      <c r="E18" s="796">
        <v>394158.81602699612</v>
      </c>
      <c r="F18" s="796"/>
      <c r="G18" s="796"/>
      <c r="H18" s="798">
        <f t="shared" si="0"/>
        <v>29643252.393973</v>
      </c>
    </row>
    <row r="19" spans="1:9">
      <c r="A19" s="487">
        <v>13</v>
      </c>
      <c r="B19" s="502" t="s">
        <v>529</v>
      </c>
      <c r="C19" s="796">
        <v>46512.81</v>
      </c>
      <c r="D19" s="796">
        <v>1974476.88</v>
      </c>
      <c r="E19" s="796">
        <v>56104.173375153398</v>
      </c>
      <c r="F19" s="796"/>
      <c r="G19" s="796"/>
      <c r="H19" s="798">
        <f t="shared" si="0"/>
        <v>1964885.5166248465</v>
      </c>
    </row>
    <row r="20" spans="1:9">
      <c r="A20" s="487">
        <v>14</v>
      </c>
      <c r="B20" s="502" t="s">
        <v>530</v>
      </c>
      <c r="C20" s="796">
        <v>116410.83999999998</v>
      </c>
      <c r="D20" s="796">
        <v>11726580.360000001</v>
      </c>
      <c r="E20" s="796">
        <v>103627.39829779114</v>
      </c>
      <c r="F20" s="796"/>
      <c r="G20" s="796"/>
      <c r="H20" s="798">
        <f t="shared" si="0"/>
        <v>11739363.801702211</v>
      </c>
    </row>
    <row r="21" spans="1:9">
      <c r="A21" s="487">
        <v>15</v>
      </c>
      <c r="B21" s="502" t="s">
        <v>531</v>
      </c>
      <c r="C21" s="796">
        <v>0</v>
      </c>
      <c r="D21" s="796">
        <v>13347.43</v>
      </c>
      <c r="E21" s="796">
        <v>49.427596126611142</v>
      </c>
      <c r="F21" s="796"/>
      <c r="G21" s="796"/>
      <c r="H21" s="798">
        <f t="shared" si="0"/>
        <v>13298.00240387339</v>
      </c>
    </row>
    <row r="22" spans="1:9">
      <c r="A22" s="487">
        <v>16</v>
      </c>
      <c r="B22" s="502" t="s">
        <v>532</v>
      </c>
      <c r="C22" s="796">
        <v>0</v>
      </c>
      <c r="D22" s="796">
        <v>0</v>
      </c>
      <c r="E22" s="796">
        <v>0</v>
      </c>
      <c r="F22" s="796"/>
      <c r="G22" s="796"/>
      <c r="H22" s="798">
        <f t="shared" si="0"/>
        <v>0</v>
      </c>
    </row>
    <row r="23" spans="1:9">
      <c r="A23" s="487">
        <v>17</v>
      </c>
      <c r="B23" s="502" t="s">
        <v>533</v>
      </c>
      <c r="C23" s="796">
        <v>0</v>
      </c>
      <c r="D23" s="796">
        <v>0</v>
      </c>
      <c r="E23" s="796">
        <v>0</v>
      </c>
      <c r="F23" s="796"/>
      <c r="G23" s="796"/>
      <c r="H23" s="798">
        <f t="shared" si="0"/>
        <v>0</v>
      </c>
    </row>
    <row r="24" spans="1:9">
      <c r="A24" s="487">
        <v>18</v>
      </c>
      <c r="B24" s="502" t="s">
        <v>534</v>
      </c>
      <c r="C24" s="796">
        <v>0</v>
      </c>
      <c r="D24" s="796">
        <v>36503410.380000003</v>
      </c>
      <c r="E24" s="796">
        <v>464964.95724568208</v>
      </c>
      <c r="F24" s="796"/>
      <c r="G24" s="796"/>
      <c r="H24" s="798">
        <f t="shared" si="0"/>
        <v>36038445.422754318</v>
      </c>
    </row>
    <row r="25" spans="1:9">
      <c r="A25" s="487">
        <v>19</v>
      </c>
      <c r="B25" s="502" t="s">
        <v>535</v>
      </c>
      <c r="C25" s="796">
        <v>0</v>
      </c>
      <c r="D25" s="796">
        <v>6624453.6200000001</v>
      </c>
      <c r="E25" s="796">
        <v>100679.6977130789</v>
      </c>
      <c r="F25" s="796"/>
      <c r="G25" s="796"/>
      <c r="H25" s="798">
        <f t="shared" si="0"/>
        <v>6523773.9222869212</v>
      </c>
    </row>
    <row r="26" spans="1:9">
      <c r="A26" s="487">
        <v>20</v>
      </c>
      <c r="B26" s="502" t="s">
        <v>536</v>
      </c>
      <c r="C26" s="796">
        <v>38619.990000000013</v>
      </c>
      <c r="D26" s="796">
        <v>13193756.129999999</v>
      </c>
      <c r="E26" s="796">
        <v>154309.87172053018</v>
      </c>
      <c r="F26" s="796"/>
      <c r="G26" s="796"/>
      <c r="H26" s="798">
        <f t="shared" si="0"/>
        <v>13078066.248279469</v>
      </c>
      <c r="I26" s="393"/>
    </row>
    <row r="27" spans="1:9">
      <c r="A27" s="487">
        <v>21</v>
      </c>
      <c r="B27" s="502" t="s">
        <v>537</v>
      </c>
      <c r="C27" s="796">
        <v>87809.790000000008</v>
      </c>
      <c r="D27" s="796">
        <v>0</v>
      </c>
      <c r="E27" s="796">
        <v>18585.923882759485</v>
      </c>
      <c r="F27" s="796"/>
      <c r="G27" s="796"/>
      <c r="H27" s="798">
        <f t="shared" si="0"/>
        <v>69223.866117240526</v>
      </c>
      <c r="I27" s="393"/>
    </row>
    <row r="28" spans="1:9">
      <c r="A28" s="487">
        <v>22</v>
      </c>
      <c r="B28" s="502" t="s">
        <v>538</v>
      </c>
      <c r="C28" s="796">
        <v>0</v>
      </c>
      <c r="D28" s="796">
        <v>0</v>
      </c>
      <c r="E28" s="796">
        <v>0</v>
      </c>
      <c r="F28" s="796"/>
      <c r="G28" s="796"/>
      <c r="H28" s="798">
        <f t="shared" si="0"/>
        <v>0</v>
      </c>
      <c r="I28" s="393"/>
    </row>
    <row r="29" spans="1:9">
      <c r="A29" s="487">
        <v>23</v>
      </c>
      <c r="B29" s="502" t="s">
        <v>539</v>
      </c>
      <c r="C29" s="796">
        <v>22108.74</v>
      </c>
      <c r="D29" s="796">
        <v>12818689.117533315</v>
      </c>
      <c r="E29" s="796">
        <v>80236.460472991414</v>
      </c>
      <c r="F29" s="796"/>
      <c r="G29" s="796"/>
      <c r="H29" s="798">
        <f t="shared" si="0"/>
        <v>12760561.397060324</v>
      </c>
      <c r="I29" s="393"/>
    </row>
    <row r="30" spans="1:9">
      <c r="A30" s="487">
        <v>24</v>
      </c>
      <c r="B30" s="502" t="s">
        <v>540</v>
      </c>
      <c r="C30" s="796">
        <v>0</v>
      </c>
      <c r="D30" s="796">
        <v>0</v>
      </c>
      <c r="E30" s="796">
        <v>0</v>
      </c>
      <c r="F30" s="796"/>
      <c r="G30" s="796"/>
      <c r="H30" s="798">
        <f t="shared" si="0"/>
        <v>0</v>
      </c>
      <c r="I30" s="393"/>
    </row>
    <row r="31" spans="1:9">
      <c r="A31" s="487">
        <v>25</v>
      </c>
      <c r="B31" s="502" t="s">
        <v>541</v>
      </c>
      <c r="C31" s="796">
        <v>187176.07</v>
      </c>
      <c r="D31" s="796">
        <v>169904.08000000002</v>
      </c>
      <c r="E31" s="796">
        <v>187187.65850662871</v>
      </c>
      <c r="F31" s="796"/>
      <c r="G31" s="796"/>
      <c r="H31" s="798">
        <f t="shared" si="0"/>
        <v>169892.49149337132</v>
      </c>
      <c r="I31" s="393"/>
    </row>
    <row r="32" spans="1:9">
      <c r="A32" s="487">
        <v>26</v>
      </c>
      <c r="B32" s="502" t="s">
        <v>542</v>
      </c>
      <c r="C32" s="796">
        <v>0</v>
      </c>
      <c r="D32" s="796">
        <v>0</v>
      </c>
      <c r="E32" s="796">
        <v>0</v>
      </c>
      <c r="F32" s="796"/>
      <c r="G32" s="796"/>
      <c r="H32" s="798">
        <f t="shared" si="0"/>
        <v>0</v>
      </c>
      <c r="I32" s="393"/>
    </row>
    <row r="33" spans="1:9">
      <c r="A33" s="487">
        <v>27</v>
      </c>
      <c r="B33" s="488" t="s">
        <v>99</v>
      </c>
      <c r="C33" s="796">
        <v>1349093.18</v>
      </c>
      <c r="D33" s="796">
        <v>11405534.475973178</v>
      </c>
      <c r="E33" s="796"/>
      <c r="F33" s="796"/>
      <c r="G33" s="796"/>
      <c r="H33" s="798">
        <f t="shared" si="0"/>
        <v>12754627.655973177</v>
      </c>
      <c r="I33" s="393"/>
    </row>
    <row r="34" spans="1:9">
      <c r="A34" s="487">
        <v>28</v>
      </c>
      <c r="B34" s="501" t="s">
        <v>66</v>
      </c>
      <c r="C34" s="799">
        <f>SUM(C7:C33)</f>
        <v>2548074.13</v>
      </c>
      <c r="D34" s="799">
        <f>SUM(D7:D33)</f>
        <v>431670331.69278365</v>
      </c>
      <c r="E34" s="799">
        <f>SUM(E7:E33)</f>
        <v>2968739.2798659583</v>
      </c>
      <c r="F34" s="799">
        <f>SUM(F7:F33)</f>
        <v>0</v>
      </c>
      <c r="G34" s="799">
        <f>SUM(G7:G33)</f>
        <v>0</v>
      </c>
      <c r="H34" s="798">
        <f t="shared" si="0"/>
        <v>431249666.54291767</v>
      </c>
      <c r="I34" s="393"/>
    </row>
    <row r="35" spans="1:9">
      <c r="A35" s="393"/>
      <c r="B35" s="393"/>
      <c r="C35" s="393"/>
      <c r="D35" s="393"/>
      <c r="E35" s="393"/>
      <c r="F35" s="393"/>
      <c r="G35" s="393"/>
      <c r="H35" s="393"/>
      <c r="I35" s="393"/>
    </row>
    <row r="36" spans="1:9">
      <c r="A36" s="393"/>
      <c r="B36" s="394"/>
      <c r="C36" s="393"/>
      <c r="D36" s="393"/>
      <c r="E36" s="393"/>
      <c r="F36" s="393"/>
      <c r="G36" s="393"/>
      <c r="H36" s="393"/>
      <c r="I36" s="393"/>
    </row>
  </sheetData>
  <mergeCells count="5">
    <mergeCell ref="G5:G6"/>
    <mergeCell ref="A5:B6"/>
    <mergeCell ref="C5:D5"/>
    <mergeCell ref="E5:E6"/>
    <mergeCell ref="F5:F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5"/>
  <sheetViews>
    <sheetView showGridLines="0" zoomScaleNormal="100" workbookViewId="0">
      <selection activeCell="B1" sqref="B1:B2"/>
    </sheetView>
  </sheetViews>
  <sheetFormatPr defaultColWidth="9.140625" defaultRowHeight="12.75"/>
  <cols>
    <col min="1" max="1" width="11.85546875" style="387" bestFit="1" customWidth="1"/>
    <col min="2" max="2" width="108" style="387" bestFit="1" customWidth="1"/>
    <col min="3" max="3" width="35.5703125" style="387" customWidth="1"/>
    <col min="4" max="4" width="38.42578125" style="392" customWidth="1"/>
    <col min="5" max="16384" width="9.140625" style="387"/>
  </cols>
  <sheetData>
    <row r="1" spans="1:4" ht="13.5">
      <c r="A1" s="386" t="s">
        <v>108</v>
      </c>
      <c r="B1" s="636" t="str">
        <f>'1. key ratios'!B1</f>
        <v>სს იშბანკი საქართველო</v>
      </c>
      <c r="D1" s="387"/>
    </row>
    <row r="2" spans="1:4" ht="13.5">
      <c r="A2" s="388" t="s">
        <v>109</v>
      </c>
      <c r="B2" s="637">
        <f>'1. key ratios'!B2</f>
        <v>45016</v>
      </c>
      <c r="D2" s="387"/>
    </row>
    <row r="3" spans="1:4">
      <c r="A3" s="389" t="s">
        <v>543</v>
      </c>
      <c r="D3" s="387"/>
    </row>
    <row r="5" spans="1:4">
      <c r="A5" s="914" t="s">
        <v>880</v>
      </c>
      <c r="B5" s="914"/>
      <c r="C5" s="510" t="s">
        <v>562</v>
      </c>
      <c r="D5" s="510" t="s">
        <v>879</v>
      </c>
    </row>
    <row r="6" spans="1:4">
      <c r="A6" s="509">
        <v>1</v>
      </c>
      <c r="B6" s="503" t="s">
        <v>878</v>
      </c>
      <c r="C6" s="800">
        <v>2448573.9309657598</v>
      </c>
      <c r="D6" s="800">
        <v>6444.7078939882804</v>
      </c>
    </row>
    <row r="7" spans="1:4">
      <c r="A7" s="506">
        <v>2</v>
      </c>
      <c r="B7" s="503" t="s">
        <v>877</v>
      </c>
      <c r="C7" s="800">
        <f>SUM(C8:C9)</f>
        <v>933583.81697925122</v>
      </c>
      <c r="D7" s="800">
        <f>SUM(D8:D9)</f>
        <v>0</v>
      </c>
    </row>
    <row r="8" spans="1:4">
      <c r="A8" s="508">
        <v>2.1</v>
      </c>
      <c r="B8" s="507" t="s">
        <v>876</v>
      </c>
      <c r="C8" s="801">
        <v>917522.17561587098</v>
      </c>
      <c r="D8" s="801">
        <v>0</v>
      </c>
    </row>
    <row r="9" spans="1:4">
      <c r="A9" s="508">
        <v>2.2000000000000002</v>
      </c>
      <c r="B9" s="507" t="s">
        <v>875</v>
      </c>
      <c r="C9" s="801">
        <v>16061.6413633802</v>
      </c>
      <c r="D9" s="801">
        <v>0</v>
      </c>
    </row>
    <row r="10" spans="1:4">
      <c r="A10" s="509">
        <v>3</v>
      </c>
      <c r="B10" s="503" t="s">
        <v>874</v>
      </c>
      <c r="C10" s="800">
        <f>SUM(C11:C13)</f>
        <v>830962.24728010071</v>
      </c>
      <c r="D10" s="800">
        <f>SUM(D11:D13)</f>
        <v>6283.859519324491</v>
      </c>
    </row>
    <row r="11" spans="1:4">
      <c r="A11" s="508">
        <v>3.1</v>
      </c>
      <c r="B11" s="507" t="s">
        <v>544</v>
      </c>
      <c r="C11" s="801"/>
      <c r="D11" s="801"/>
    </row>
    <row r="12" spans="1:4">
      <c r="A12" s="508">
        <v>3.2</v>
      </c>
      <c r="B12" s="507" t="s">
        <v>873</v>
      </c>
      <c r="C12" s="801">
        <v>786767.497109544</v>
      </c>
      <c r="D12" s="801">
        <v>6283.859519324491</v>
      </c>
    </row>
    <row r="13" spans="1:4">
      <c r="A13" s="508">
        <v>3.3</v>
      </c>
      <c r="B13" s="507" t="s">
        <v>872</v>
      </c>
      <c r="C13" s="801">
        <v>44194.750170556756</v>
      </c>
      <c r="D13" s="801"/>
    </row>
    <row r="14" spans="1:4">
      <c r="A14" s="506">
        <v>4</v>
      </c>
      <c r="B14" s="505" t="s">
        <v>871</v>
      </c>
      <c r="C14" s="801">
        <v>22541.9749859812</v>
      </c>
      <c r="D14" s="801">
        <v>9.4162931422162206</v>
      </c>
    </row>
    <row r="15" spans="1:4">
      <c r="A15" s="504">
        <v>5</v>
      </c>
      <c r="B15" s="503" t="s">
        <v>870</v>
      </c>
      <c r="C15" s="802">
        <f>C6+C7-C10+C14</f>
        <v>2573737.4756508917</v>
      </c>
      <c r="D15" s="802">
        <f>D6+D7-D10+D14</f>
        <v>170.26466780600563</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3"/>
  <sheetViews>
    <sheetView showGridLines="0" zoomScaleNormal="100" workbookViewId="0">
      <selection activeCell="B1" sqref="B1:B2"/>
    </sheetView>
  </sheetViews>
  <sheetFormatPr defaultColWidth="9.140625" defaultRowHeight="12.75"/>
  <cols>
    <col min="1" max="1" width="11.85546875" style="498" bestFit="1" customWidth="1"/>
    <col min="2" max="2" width="128.85546875" style="498" bestFit="1" customWidth="1"/>
    <col min="3" max="3" width="37" style="498" customWidth="1"/>
    <col min="4" max="4" width="50.5703125" style="498" customWidth="1"/>
    <col min="5" max="16384" width="9.140625" style="498"/>
  </cols>
  <sheetData>
    <row r="1" spans="1:4" ht="13.5">
      <c r="A1" s="386" t="s">
        <v>108</v>
      </c>
      <c r="B1" s="636" t="str">
        <f>'1. key ratios'!B1</f>
        <v>სს იშბანკი საქართველო</v>
      </c>
    </row>
    <row r="2" spans="1:4" ht="13.5">
      <c r="A2" s="388" t="s">
        <v>109</v>
      </c>
      <c r="B2" s="637">
        <f>'1. key ratios'!B2</f>
        <v>45016</v>
      </c>
    </row>
    <row r="3" spans="1:4">
      <c r="A3" s="389" t="s">
        <v>545</v>
      </c>
    </row>
    <row r="4" spans="1:4">
      <c r="A4" s="389"/>
    </row>
    <row r="5" spans="1:4" ht="15" customHeight="1">
      <c r="A5" s="915" t="s">
        <v>546</v>
      </c>
      <c r="B5" s="916"/>
      <c r="C5" s="919" t="s">
        <v>547</v>
      </c>
      <c r="D5" s="919" t="s">
        <v>548</v>
      </c>
    </row>
    <row r="6" spans="1:4">
      <c r="A6" s="917"/>
      <c r="B6" s="918"/>
      <c r="C6" s="919"/>
      <c r="D6" s="919"/>
    </row>
    <row r="7" spans="1:4">
      <c r="A7" s="501">
        <v>1</v>
      </c>
      <c r="B7" s="491" t="s">
        <v>549</v>
      </c>
      <c r="C7" s="800">
        <v>1926845.3900000004</v>
      </c>
      <c r="D7" s="511"/>
    </row>
    <row r="8" spans="1:4">
      <c r="A8" s="488">
        <v>2</v>
      </c>
      <c r="B8" s="488" t="s">
        <v>550</v>
      </c>
      <c r="C8" s="800">
        <v>236970.58972316803</v>
      </c>
      <c r="D8" s="511"/>
    </row>
    <row r="9" spans="1:4">
      <c r="A9" s="488">
        <v>3</v>
      </c>
      <c r="B9" s="514" t="s">
        <v>551</v>
      </c>
      <c r="C9" s="800">
        <v>0</v>
      </c>
      <c r="D9" s="511"/>
    </row>
    <row r="10" spans="1:4">
      <c r="A10" s="488">
        <v>4</v>
      </c>
      <c r="B10" s="488" t="s">
        <v>552</v>
      </c>
      <c r="C10" s="800">
        <f>SUM(C11:C17)</f>
        <v>964835.02972316882</v>
      </c>
      <c r="D10" s="511"/>
    </row>
    <row r="11" spans="1:4">
      <c r="A11" s="488">
        <v>5</v>
      </c>
      <c r="B11" s="513" t="s">
        <v>881</v>
      </c>
      <c r="C11" s="801">
        <v>0</v>
      </c>
      <c r="D11" s="511"/>
    </row>
    <row r="12" spans="1:4">
      <c r="A12" s="488">
        <v>6</v>
      </c>
      <c r="B12" s="513" t="s">
        <v>553</v>
      </c>
      <c r="C12" s="801">
        <v>0</v>
      </c>
      <c r="D12" s="511"/>
    </row>
    <row r="13" spans="1:4">
      <c r="A13" s="488">
        <v>7</v>
      </c>
      <c r="B13" s="513" t="s">
        <v>556</v>
      </c>
      <c r="C13" s="801">
        <v>922011.01928349456</v>
      </c>
      <c r="D13" s="511"/>
    </row>
    <row r="14" spans="1:4">
      <c r="A14" s="488">
        <v>8</v>
      </c>
      <c r="B14" s="513" t="s">
        <v>554</v>
      </c>
      <c r="C14" s="801">
        <v>0</v>
      </c>
      <c r="D14" s="488"/>
    </row>
    <row r="15" spans="1:4">
      <c r="A15" s="488">
        <v>9</v>
      </c>
      <c r="B15" s="513" t="s">
        <v>555</v>
      </c>
      <c r="C15" s="801">
        <v>0</v>
      </c>
      <c r="D15" s="488"/>
    </row>
    <row r="16" spans="1:4">
      <c r="A16" s="488">
        <v>10</v>
      </c>
      <c r="B16" s="513" t="s">
        <v>557</v>
      </c>
      <c r="C16" s="801">
        <v>0</v>
      </c>
      <c r="D16" s="488"/>
    </row>
    <row r="17" spans="1:4" ht="25.5">
      <c r="A17" s="488">
        <v>11</v>
      </c>
      <c r="B17" s="513" t="s">
        <v>558</v>
      </c>
      <c r="C17" s="801">
        <v>42824.010439674305</v>
      </c>
      <c r="D17" s="511"/>
    </row>
    <row r="18" spans="1:4">
      <c r="A18" s="501">
        <v>12</v>
      </c>
      <c r="B18" s="512" t="s">
        <v>559</v>
      </c>
      <c r="C18" s="802">
        <f>C7+C8+C9-C10</f>
        <v>1198980.9499999997</v>
      </c>
      <c r="D18" s="511"/>
    </row>
    <row r="21" spans="1:4">
      <c r="B21" s="386"/>
    </row>
    <row r="22" spans="1:4">
      <c r="B22" s="388"/>
    </row>
    <row r="23" spans="1:4">
      <c r="B23" s="389"/>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28"/>
  <sheetViews>
    <sheetView showGridLines="0" zoomScaleNormal="100" workbookViewId="0">
      <selection activeCell="B1" sqref="B1:B2"/>
    </sheetView>
  </sheetViews>
  <sheetFormatPr defaultColWidth="9.140625" defaultRowHeight="12.75"/>
  <cols>
    <col min="1" max="1" width="11.85546875" style="498" bestFit="1" customWidth="1"/>
    <col min="2" max="2" width="63.85546875" style="498" customWidth="1"/>
    <col min="3" max="3" width="15.5703125" style="498" customWidth="1"/>
    <col min="4" max="18" width="22.28515625" style="498" customWidth="1"/>
    <col min="19" max="19" width="23.28515625" style="498" bestFit="1" customWidth="1"/>
    <col min="20" max="26" width="22.28515625" style="498" customWidth="1"/>
    <col min="27" max="27" width="23.28515625" style="498" bestFit="1" customWidth="1"/>
    <col min="28" max="28" width="20" style="498" customWidth="1"/>
    <col min="29" max="16384" width="9.140625" style="498"/>
  </cols>
  <sheetData>
    <row r="1" spans="1:28" ht="13.5">
      <c r="A1" s="386" t="s">
        <v>108</v>
      </c>
      <c r="B1" s="636" t="str">
        <f>'1. key ratios'!B1</f>
        <v>სს იშბანკი საქართველო</v>
      </c>
    </row>
    <row r="2" spans="1:28" ht="13.5">
      <c r="A2" s="388" t="s">
        <v>109</v>
      </c>
      <c r="B2" s="637">
        <f>'1. key ratios'!B2</f>
        <v>45016</v>
      </c>
      <c r="C2" s="499"/>
    </row>
    <row r="3" spans="1:28">
      <c r="A3" s="389" t="s">
        <v>560</v>
      </c>
    </row>
    <row r="5" spans="1:28" ht="15" customHeight="1">
      <c r="A5" s="920" t="s">
        <v>894</v>
      </c>
      <c r="B5" s="921"/>
      <c r="C5" s="926" t="s">
        <v>893</v>
      </c>
      <c r="D5" s="927"/>
      <c r="E5" s="927"/>
      <c r="F5" s="927"/>
      <c r="G5" s="927"/>
      <c r="H5" s="927"/>
      <c r="I5" s="927"/>
      <c r="J5" s="927"/>
      <c r="K5" s="927"/>
      <c r="L5" s="927"/>
      <c r="M5" s="927"/>
      <c r="N5" s="927"/>
      <c r="O5" s="927"/>
      <c r="P5" s="927"/>
      <c r="Q5" s="927"/>
      <c r="R5" s="927"/>
      <c r="S5" s="927"/>
      <c r="T5" s="529"/>
      <c r="U5" s="529"/>
      <c r="V5" s="529"/>
      <c r="W5" s="529"/>
      <c r="X5" s="529"/>
      <c r="Y5" s="529"/>
      <c r="Z5" s="529"/>
      <c r="AA5" s="528"/>
      <c r="AB5" s="519"/>
    </row>
    <row r="6" spans="1:28">
      <c r="A6" s="922"/>
      <c r="B6" s="923"/>
      <c r="C6" s="928" t="s">
        <v>66</v>
      </c>
      <c r="D6" s="930" t="s">
        <v>892</v>
      </c>
      <c r="E6" s="930"/>
      <c r="F6" s="930"/>
      <c r="G6" s="930"/>
      <c r="H6" s="931" t="s">
        <v>891</v>
      </c>
      <c r="I6" s="932"/>
      <c r="J6" s="932"/>
      <c r="K6" s="933"/>
      <c r="L6" s="527"/>
      <c r="M6" s="934" t="s">
        <v>890</v>
      </c>
      <c r="N6" s="934"/>
      <c r="O6" s="934"/>
      <c r="P6" s="934"/>
      <c r="Q6" s="934"/>
      <c r="R6" s="934"/>
      <c r="S6" s="910"/>
      <c r="T6" s="526"/>
      <c r="U6" s="913" t="s">
        <v>889</v>
      </c>
      <c r="V6" s="913"/>
      <c r="W6" s="913"/>
      <c r="X6" s="913"/>
      <c r="Y6" s="913"/>
      <c r="Z6" s="913"/>
      <c r="AA6" s="911"/>
      <c r="AB6" s="525"/>
    </row>
    <row r="7" spans="1:28" ht="25.5">
      <c r="A7" s="924"/>
      <c r="B7" s="925"/>
      <c r="C7" s="929"/>
      <c r="D7" s="524"/>
      <c r="E7" s="520" t="s">
        <v>561</v>
      </c>
      <c r="F7" s="495" t="s">
        <v>887</v>
      </c>
      <c r="G7" s="495" t="s">
        <v>888</v>
      </c>
      <c r="H7" s="523"/>
      <c r="I7" s="520" t="s">
        <v>561</v>
      </c>
      <c r="J7" s="495" t="s">
        <v>887</v>
      </c>
      <c r="K7" s="495" t="s">
        <v>888</v>
      </c>
      <c r="L7" s="522"/>
      <c r="M7" s="520" t="s">
        <v>561</v>
      </c>
      <c r="N7" s="495" t="s">
        <v>887</v>
      </c>
      <c r="O7" s="495" t="s">
        <v>886</v>
      </c>
      <c r="P7" s="495" t="s">
        <v>885</v>
      </c>
      <c r="Q7" s="495" t="s">
        <v>884</v>
      </c>
      <c r="R7" s="495" t="s">
        <v>883</v>
      </c>
      <c r="S7" s="495" t="s">
        <v>882</v>
      </c>
      <c r="T7" s="521"/>
      <c r="U7" s="520" t="s">
        <v>561</v>
      </c>
      <c r="V7" s="495" t="s">
        <v>887</v>
      </c>
      <c r="W7" s="495" t="s">
        <v>886</v>
      </c>
      <c r="X7" s="495" t="s">
        <v>885</v>
      </c>
      <c r="Y7" s="495" t="s">
        <v>884</v>
      </c>
      <c r="Z7" s="495" t="s">
        <v>883</v>
      </c>
      <c r="AA7" s="495" t="s">
        <v>882</v>
      </c>
      <c r="AB7" s="519"/>
    </row>
    <row r="8" spans="1:28">
      <c r="A8" s="518">
        <v>1</v>
      </c>
      <c r="B8" s="491" t="s">
        <v>562</v>
      </c>
      <c r="C8" s="803">
        <v>247093957.79999995</v>
      </c>
      <c r="D8" s="803">
        <v>245599612.37999997</v>
      </c>
      <c r="E8" s="803">
        <v>386843.82</v>
      </c>
      <c r="F8" s="803">
        <v>159198.03</v>
      </c>
      <c r="G8" s="803">
        <v>0</v>
      </c>
      <c r="H8" s="803">
        <v>295364.46999999997</v>
      </c>
      <c r="I8" s="803">
        <v>0</v>
      </c>
      <c r="J8" s="803">
        <v>0</v>
      </c>
      <c r="K8" s="803">
        <v>0</v>
      </c>
      <c r="L8" s="803">
        <v>1198980.9499999997</v>
      </c>
      <c r="M8" s="803">
        <v>5542.43</v>
      </c>
      <c r="N8" s="803">
        <v>0</v>
      </c>
      <c r="O8" s="803">
        <v>165421.27999999997</v>
      </c>
      <c r="P8" s="803">
        <v>10341.25</v>
      </c>
      <c r="Q8" s="803">
        <v>0</v>
      </c>
      <c r="R8" s="803">
        <v>8343.5499999999993</v>
      </c>
      <c r="S8" s="803">
        <v>220944.65000000002</v>
      </c>
      <c r="T8" s="487"/>
      <c r="U8" s="487"/>
      <c r="V8" s="487"/>
      <c r="W8" s="487"/>
      <c r="X8" s="487"/>
      <c r="Y8" s="487"/>
      <c r="Z8" s="487"/>
      <c r="AA8" s="487"/>
      <c r="AB8" s="515"/>
    </row>
    <row r="9" spans="1:28">
      <c r="A9" s="487">
        <v>1.1000000000000001</v>
      </c>
      <c r="B9" s="517" t="s">
        <v>563</v>
      </c>
      <c r="C9" s="804"/>
      <c r="D9" s="796"/>
      <c r="E9" s="796"/>
      <c r="F9" s="796"/>
      <c r="G9" s="796"/>
      <c r="H9" s="796"/>
      <c r="I9" s="796"/>
      <c r="J9" s="796"/>
      <c r="K9" s="796"/>
      <c r="L9" s="796"/>
      <c r="M9" s="796"/>
      <c r="N9" s="796"/>
      <c r="O9" s="796"/>
      <c r="P9" s="796"/>
      <c r="Q9" s="796"/>
      <c r="R9" s="796"/>
      <c r="S9" s="796"/>
      <c r="T9" s="487"/>
      <c r="U9" s="487"/>
      <c r="V9" s="487"/>
      <c r="W9" s="487"/>
      <c r="X9" s="487"/>
      <c r="Y9" s="487"/>
      <c r="Z9" s="487"/>
      <c r="AA9" s="487"/>
      <c r="AB9" s="515"/>
    </row>
    <row r="10" spans="1:28">
      <c r="A10" s="487">
        <v>1.2</v>
      </c>
      <c r="B10" s="517" t="s">
        <v>564</v>
      </c>
      <c r="C10" s="804"/>
      <c r="D10" s="796"/>
      <c r="E10" s="796"/>
      <c r="F10" s="796"/>
      <c r="G10" s="796"/>
      <c r="H10" s="796"/>
      <c r="I10" s="796"/>
      <c r="J10" s="796"/>
      <c r="K10" s="796"/>
      <c r="L10" s="796"/>
      <c r="M10" s="796"/>
      <c r="N10" s="796"/>
      <c r="O10" s="796"/>
      <c r="P10" s="796"/>
      <c r="Q10" s="796"/>
      <c r="R10" s="796"/>
      <c r="S10" s="796"/>
      <c r="T10" s="487"/>
      <c r="U10" s="487"/>
      <c r="V10" s="487"/>
      <c r="W10" s="487"/>
      <c r="X10" s="487"/>
      <c r="Y10" s="487"/>
      <c r="Z10" s="487"/>
      <c r="AA10" s="487"/>
      <c r="AB10" s="515"/>
    </row>
    <row r="11" spans="1:28">
      <c r="A11" s="487">
        <v>1.3</v>
      </c>
      <c r="B11" s="517" t="s">
        <v>565</v>
      </c>
      <c r="C11" s="804">
        <v>22216522.330000002</v>
      </c>
      <c r="D11" s="796">
        <v>22216522.330000002</v>
      </c>
      <c r="E11" s="796">
        <v>0</v>
      </c>
      <c r="F11" s="796">
        <v>0</v>
      </c>
      <c r="G11" s="796">
        <v>0</v>
      </c>
      <c r="H11" s="796">
        <v>0</v>
      </c>
      <c r="I11" s="796">
        <v>0</v>
      </c>
      <c r="J11" s="796">
        <v>0</v>
      </c>
      <c r="K11" s="796">
        <v>0</v>
      </c>
      <c r="L11" s="796">
        <v>0</v>
      </c>
      <c r="M11" s="796">
        <v>0</v>
      </c>
      <c r="N11" s="796">
        <v>0</v>
      </c>
      <c r="O11" s="796">
        <v>0</v>
      </c>
      <c r="P11" s="796">
        <v>0</v>
      </c>
      <c r="Q11" s="796">
        <v>0</v>
      </c>
      <c r="R11" s="796">
        <v>0</v>
      </c>
      <c r="S11" s="796">
        <v>0</v>
      </c>
      <c r="T11" s="487"/>
      <c r="U11" s="487"/>
      <c r="V11" s="487"/>
      <c r="W11" s="487"/>
      <c r="X11" s="487"/>
      <c r="Y11" s="487"/>
      <c r="Z11" s="487"/>
      <c r="AA11" s="487"/>
      <c r="AB11" s="515"/>
    </row>
    <row r="12" spans="1:28">
      <c r="A12" s="487">
        <v>1.4</v>
      </c>
      <c r="B12" s="517" t="s">
        <v>566</v>
      </c>
      <c r="C12" s="804">
        <v>15972637.65</v>
      </c>
      <c r="D12" s="796">
        <v>15972637.65</v>
      </c>
      <c r="E12" s="796">
        <v>0</v>
      </c>
      <c r="F12" s="796">
        <v>0</v>
      </c>
      <c r="G12" s="796">
        <v>0</v>
      </c>
      <c r="H12" s="796">
        <v>0</v>
      </c>
      <c r="I12" s="796">
        <v>0</v>
      </c>
      <c r="J12" s="796">
        <v>0</v>
      </c>
      <c r="K12" s="796">
        <v>0</v>
      </c>
      <c r="L12" s="796">
        <v>0</v>
      </c>
      <c r="M12" s="796">
        <v>0</v>
      </c>
      <c r="N12" s="796">
        <v>0</v>
      </c>
      <c r="O12" s="796">
        <v>0</v>
      </c>
      <c r="P12" s="796">
        <v>0</v>
      </c>
      <c r="Q12" s="796">
        <v>0</v>
      </c>
      <c r="R12" s="796">
        <v>0</v>
      </c>
      <c r="S12" s="796">
        <v>0</v>
      </c>
      <c r="T12" s="487"/>
      <c r="U12" s="487"/>
      <c r="V12" s="487"/>
      <c r="W12" s="487"/>
      <c r="X12" s="487"/>
      <c r="Y12" s="487"/>
      <c r="Z12" s="487"/>
      <c r="AA12" s="487"/>
      <c r="AB12" s="515"/>
    </row>
    <row r="13" spans="1:28">
      <c r="A13" s="487">
        <v>1.5</v>
      </c>
      <c r="B13" s="517" t="s">
        <v>567</v>
      </c>
      <c r="C13" s="804">
        <v>200499172.24999994</v>
      </c>
      <c r="D13" s="796">
        <v>199641330.85999998</v>
      </c>
      <c r="E13" s="796">
        <v>373659.25</v>
      </c>
      <c r="F13" s="796">
        <v>104400.75</v>
      </c>
      <c r="G13" s="796">
        <v>0</v>
      </c>
      <c r="H13" s="796">
        <v>295364.46999999997</v>
      </c>
      <c r="I13" s="796">
        <v>0</v>
      </c>
      <c r="J13" s="796">
        <v>0</v>
      </c>
      <c r="K13" s="796">
        <v>0</v>
      </c>
      <c r="L13" s="796">
        <v>562476.92000000004</v>
      </c>
      <c r="M13" s="796">
        <v>0</v>
      </c>
      <c r="N13" s="796">
        <v>0</v>
      </c>
      <c r="O13" s="796">
        <v>0</v>
      </c>
      <c r="P13" s="796">
        <v>0</v>
      </c>
      <c r="Q13" s="796">
        <v>0</v>
      </c>
      <c r="R13" s="796">
        <v>0</v>
      </c>
      <c r="S13" s="796">
        <v>103816.47</v>
      </c>
      <c r="T13" s="487"/>
      <c r="U13" s="487"/>
      <c r="V13" s="487"/>
      <c r="W13" s="487"/>
      <c r="X13" s="487"/>
      <c r="Y13" s="487"/>
      <c r="Z13" s="487"/>
      <c r="AA13" s="487"/>
      <c r="AB13" s="515"/>
    </row>
    <row r="14" spans="1:28">
      <c r="A14" s="487">
        <v>1.6</v>
      </c>
      <c r="B14" s="517" t="s">
        <v>568</v>
      </c>
      <c r="C14" s="804">
        <v>8405625.5699999984</v>
      </c>
      <c r="D14" s="796">
        <v>7769121.5399999982</v>
      </c>
      <c r="E14" s="796">
        <v>13184.570000000002</v>
      </c>
      <c r="F14" s="796">
        <v>54797.279999999999</v>
      </c>
      <c r="G14" s="796">
        <v>0</v>
      </c>
      <c r="H14" s="796">
        <v>0</v>
      </c>
      <c r="I14" s="796">
        <v>0</v>
      </c>
      <c r="J14" s="796">
        <v>0</v>
      </c>
      <c r="K14" s="796">
        <v>0</v>
      </c>
      <c r="L14" s="796">
        <v>636504.0299999998</v>
      </c>
      <c r="M14" s="796">
        <v>5542.43</v>
      </c>
      <c r="N14" s="796">
        <v>0</v>
      </c>
      <c r="O14" s="796">
        <v>165421.27999999997</v>
      </c>
      <c r="P14" s="796">
        <v>10341.25</v>
      </c>
      <c r="Q14" s="796">
        <v>0</v>
      </c>
      <c r="R14" s="796">
        <v>8343.5499999999993</v>
      </c>
      <c r="S14" s="796">
        <v>117128.18000000002</v>
      </c>
      <c r="T14" s="487"/>
      <c r="U14" s="487"/>
      <c r="V14" s="487"/>
      <c r="W14" s="487"/>
      <c r="X14" s="487"/>
      <c r="Y14" s="487"/>
      <c r="Z14" s="487"/>
      <c r="AA14" s="487"/>
      <c r="AB14" s="515"/>
    </row>
    <row r="15" spans="1:28">
      <c r="A15" s="518">
        <v>2</v>
      </c>
      <c r="B15" s="501" t="s">
        <v>569</v>
      </c>
      <c r="C15" s="803">
        <v>57562175.327258505</v>
      </c>
      <c r="D15" s="803">
        <v>57562175.327258505</v>
      </c>
      <c r="E15" s="803">
        <v>0</v>
      </c>
      <c r="F15" s="803">
        <v>0</v>
      </c>
      <c r="G15" s="803">
        <v>0</v>
      </c>
      <c r="H15" s="803">
        <v>0</v>
      </c>
      <c r="I15" s="803">
        <v>0</v>
      </c>
      <c r="J15" s="803">
        <v>0</v>
      </c>
      <c r="K15" s="803">
        <v>0</v>
      </c>
      <c r="L15" s="803">
        <v>0</v>
      </c>
      <c r="M15" s="803">
        <v>0</v>
      </c>
      <c r="N15" s="803">
        <v>0</v>
      </c>
      <c r="O15" s="803">
        <v>0</v>
      </c>
      <c r="P15" s="803">
        <v>0</v>
      </c>
      <c r="Q15" s="803">
        <v>0</v>
      </c>
      <c r="R15" s="803">
        <v>0</v>
      </c>
      <c r="S15" s="803">
        <v>0</v>
      </c>
      <c r="T15" s="487"/>
      <c r="U15" s="487"/>
      <c r="V15" s="487"/>
      <c r="W15" s="487"/>
      <c r="X15" s="487"/>
      <c r="Y15" s="487"/>
      <c r="Z15" s="487"/>
      <c r="AA15" s="487"/>
      <c r="AB15" s="515"/>
    </row>
    <row r="16" spans="1:28">
      <c r="A16" s="487">
        <v>2.1</v>
      </c>
      <c r="B16" s="517" t="s">
        <v>563</v>
      </c>
      <c r="C16" s="804">
        <v>0</v>
      </c>
      <c r="D16" s="796">
        <v>0</v>
      </c>
      <c r="E16" s="796"/>
      <c r="F16" s="796"/>
      <c r="G16" s="796"/>
      <c r="H16" s="796">
        <v>0</v>
      </c>
      <c r="I16" s="796"/>
      <c r="J16" s="796"/>
      <c r="K16" s="796"/>
      <c r="L16" s="796">
        <v>0</v>
      </c>
      <c r="M16" s="796"/>
      <c r="N16" s="796"/>
      <c r="O16" s="796"/>
      <c r="P16" s="796"/>
      <c r="Q16" s="796"/>
      <c r="R16" s="796"/>
      <c r="S16" s="796"/>
      <c r="T16" s="487"/>
      <c r="U16" s="487"/>
      <c r="V16" s="487"/>
      <c r="W16" s="487"/>
      <c r="X16" s="487"/>
      <c r="Y16" s="487"/>
      <c r="Z16" s="487"/>
      <c r="AA16" s="487"/>
      <c r="AB16" s="515"/>
    </row>
    <row r="17" spans="1:28">
      <c r="A17" s="487">
        <v>2.2000000000000002</v>
      </c>
      <c r="B17" s="517" t="s">
        <v>564</v>
      </c>
      <c r="C17" s="804">
        <v>1356096.4023631765</v>
      </c>
      <c r="D17" s="796">
        <v>1356096.4023631765</v>
      </c>
      <c r="E17" s="796"/>
      <c r="F17" s="796"/>
      <c r="G17" s="796"/>
      <c r="H17" s="796">
        <v>0</v>
      </c>
      <c r="I17" s="796"/>
      <c r="J17" s="796"/>
      <c r="K17" s="796"/>
      <c r="L17" s="796">
        <v>0</v>
      </c>
      <c r="M17" s="796"/>
      <c r="N17" s="796"/>
      <c r="O17" s="796"/>
      <c r="P17" s="796"/>
      <c r="Q17" s="796"/>
      <c r="R17" s="796"/>
      <c r="S17" s="796"/>
      <c r="T17" s="487"/>
      <c r="U17" s="487"/>
      <c r="V17" s="487"/>
      <c r="W17" s="487"/>
      <c r="X17" s="487"/>
      <c r="Y17" s="487"/>
      <c r="Z17" s="487"/>
      <c r="AA17" s="487"/>
      <c r="AB17" s="515"/>
    </row>
    <row r="18" spans="1:28">
      <c r="A18" s="487">
        <v>2.2999999999999998</v>
      </c>
      <c r="B18" s="517" t="s">
        <v>565</v>
      </c>
      <c r="C18" s="804">
        <v>5194976.0996610485</v>
      </c>
      <c r="D18" s="796">
        <v>5194976.0996610485</v>
      </c>
      <c r="E18" s="796"/>
      <c r="F18" s="796"/>
      <c r="G18" s="796"/>
      <c r="H18" s="796"/>
      <c r="I18" s="796"/>
      <c r="J18" s="796"/>
      <c r="K18" s="796"/>
      <c r="L18" s="796"/>
      <c r="M18" s="796"/>
      <c r="N18" s="796"/>
      <c r="O18" s="796"/>
      <c r="P18" s="796"/>
      <c r="Q18" s="796"/>
      <c r="R18" s="796"/>
      <c r="S18" s="796"/>
      <c r="T18" s="487"/>
      <c r="U18" s="487"/>
      <c r="V18" s="487"/>
      <c r="W18" s="487"/>
      <c r="X18" s="487"/>
      <c r="Y18" s="487"/>
      <c r="Z18" s="487"/>
      <c r="AA18" s="487"/>
      <c r="AB18" s="515"/>
    </row>
    <row r="19" spans="1:28">
      <c r="A19" s="487">
        <v>2.4</v>
      </c>
      <c r="B19" s="517" t="s">
        <v>566</v>
      </c>
      <c r="C19" s="804">
        <v>2575641.6771399998</v>
      </c>
      <c r="D19" s="796">
        <v>2575641.6771399998</v>
      </c>
      <c r="E19" s="796"/>
      <c r="F19" s="796"/>
      <c r="G19" s="796"/>
      <c r="H19" s="796"/>
      <c r="I19" s="796"/>
      <c r="J19" s="796"/>
      <c r="K19" s="796"/>
      <c r="L19" s="796"/>
      <c r="M19" s="796"/>
      <c r="N19" s="796"/>
      <c r="O19" s="796"/>
      <c r="P19" s="796"/>
      <c r="Q19" s="796"/>
      <c r="R19" s="796"/>
      <c r="S19" s="796"/>
      <c r="T19" s="487"/>
      <c r="U19" s="487"/>
      <c r="V19" s="487"/>
      <c r="W19" s="487"/>
      <c r="X19" s="487"/>
      <c r="Y19" s="487"/>
      <c r="Z19" s="487"/>
      <c r="AA19" s="487"/>
      <c r="AB19" s="515"/>
    </row>
    <row r="20" spans="1:28">
      <c r="A20" s="487">
        <v>2.5</v>
      </c>
      <c r="B20" s="517" t="s">
        <v>567</v>
      </c>
      <c r="C20" s="804">
        <v>48435461.148094282</v>
      </c>
      <c r="D20" s="796">
        <v>48435461.148094282</v>
      </c>
      <c r="E20" s="796"/>
      <c r="F20" s="796"/>
      <c r="G20" s="796"/>
      <c r="H20" s="796">
        <v>0</v>
      </c>
      <c r="I20" s="796"/>
      <c r="J20" s="796"/>
      <c r="K20" s="796"/>
      <c r="L20" s="796">
        <v>0</v>
      </c>
      <c r="M20" s="796"/>
      <c r="N20" s="796"/>
      <c r="O20" s="796"/>
      <c r="P20" s="796"/>
      <c r="Q20" s="796"/>
      <c r="R20" s="796"/>
      <c r="S20" s="796"/>
      <c r="T20" s="487"/>
      <c r="U20" s="487"/>
      <c r="V20" s="487"/>
      <c r="W20" s="487"/>
      <c r="X20" s="487"/>
      <c r="Y20" s="487"/>
      <c r="Z20" s="487"/>
      <c r="AA20" s="487"/>
      <c r="AB20" s="515"/>
    </row>
    <row r="21" spans="1:28">
      <c r="A21" s="487">
        <v>2.6</v>
      </c>
      <c r="B21" s="517" t="s">
        <v>568</v>
      </c>
      <c r="C21" s="804"/>
      <c r="D21" s="796"/>
      <c r="E21" s="796"/>
      <c r="F21" s="796"/>
      <c r="G21" s="796"/>
      <c r="H21" s="796"/>
      <c r="I21" s="796"/>
      <c r="J21" s="796"/>
      <c r="K21" s="796"/>
      <c r="L21" s="796"/>
      <c r="M21" s="796"/>
      <c r="N21" s="796"/>
      <c r="O21" s="796"/>
      <c r="P21" s="796"/>
      <c r="Q21" s="796"/>
      <c r="R21" s="796"/>
      <c r="S21" s="796"/>
      <c r="T21" s="487"/>
      <c r="U21" s="487"/>
      <c r="V21" s="487"/>
      <c r="W21" s="487"/>
      <c r="X21" s="487"/>
      <c r="Y21" s="487"/>
      <c r="Z21" s="487"/>
      <c r="AA21" s="487"/>
      <c r="AB21" s="515"/>
    </row>
    <row r="22" spans="1:28">
      <c r="A22" s="518">
        <v>3</v>
      </c>
      <c r="B22" s="491" t="s">
        <v>570</v>
      </c>
      <c r="C22" s="799">
        <v>101654275.37</v>
      </c>
      <c r="D22" s="799">
        <v>101600806.99000001</v>
      </c>
      <c r="E22" s="805">
        <v>0</v>
      </c>
      <c r="F22" s="805"/>
      <c r="G22" s="805"/>
      <c r="H22" s="799">
        <v>0</v>
      </c>
      <c r="I22" s="805"/>
      <c r="J22" s="805"/>
      <c r="K22" s="805"/>
      <c r="L22" s="799">
        <v>0</v>
      </c>
      <c r="M22" s="805"/>
      <c r="N22" s="805"/>
      <c r="O22" s="805"/>
      <c r="P22" s="805"/>
      <c r="Q22" s="805"/>
      <c r="R22" s="805"/>
      <c r="S22" s="805"/>
      <c r="T22" s="491"/>
      <c r="U22" s="516"/>
      <c r="V22" s="516"/>
      <c r="W22" s="516"/>
      <c r="X22" s="516"/>
      <c r="Y22" s="516"/>
      <c r="Z22" s="516"/>
      <c r="AA22" s="516"/>
      <c r="AB22" s="515"/>
    </row>
    <row r="23" spans="1:28">
      <c r="A23" s="487">
        <v>3.1</v>
      </c>
      <c r="B23" s="517" t="s">
        <v>563</v>
      </c>
      <c r="C23" s="804"/>
      <c r="D23" s="799"/>
      <c r="E23" s="805"/>
      <c r="F23" s="805"/>
      <c r="G23" s="805"/>
      <c r="H23" s="799"/>
      <c r="I23" s="805"/>
      <c r="J23" s="805"/>
      <c r="K23" s="805"/>
      <c r="L23" s="799"/>
      <c r="M23" s="805"/>
      <c r="N23" s="805"/>
      <c r="O23" s="805"/>
      <c r="P23" s="805"/>
      <c r="Q23" s="805"/>
      <c r="R23" s="805"/>
      <c r="S23" s="805"/>
      <c r="T23" s="491"/>
      <c r="U23" s="516"/>
      <c r="V23" s="516"/>
      <c r="W23" s="516"/>
      <c r="X23" s="516"/>
      <c r="Y23" s="516"/>
      <c r="Z23" s="516"/>
      <c r="AA23" s="516"/>
      <c r="AB23" s="515"/>
    </row>
    <row r="24" spans="1:28">
      <c r="A24" s="487">
        <v>3.2</v>
      </c>
      <c r="B24" s="517" t="s">
        <v>564</v>
      </c>
      <c r="C24" s="804"/>
      <c r="D24" s="799"/>
      <c r="E24" s="805"/>
      <c r="F24" s="805"/>
      <c r="G24" s="805"/>
      <c r="H24" s="799"/>
      <c r="I24" s="805"/>
      <c r="J24" s="805"/>
      <c r="K24" s="805"/>
      <c r="L24" s="799"/>
      <c r="M24" s="805"/>
      <c r="N24" s="805"/>
      <c r="O24" s="805"/>
      <c r="P24" s="805"/>
      <c r="Q24" s="805"/>
      <c r="R24" s="805"/>
      <c r="S24" s="805"/>
      <c r="T24" s="491"/>
      <c r="U24" s="516"/>
      <c r="V24" s="516"/>
      <c r="W24" s="516"/>
      <c r="X24" s="516"/>
      <c r="Y24" s="516"/>
      <c r="Z24" s="516"/>
      <c r="AA24" s="516"/>
      <c r="AB24" s="515"/>
    </row>
    <row r="25" spans="1:28">
      <c r="A25" s="487">
        <v>3.3</v>
      </c>
      <c r="B25" s="517" t="s">
        <v>565</v>
      </c>
      <c r="C25" s="804">
        <v>76701622.49000001</v>
      </c>
      <c r="D25" s="806">
        <v>76701622.49000001</v>
      </c>
      <c r="E25" s="805"/>
      <c r="F25" s="805"/>
      <c r="G25" s="805"/>
      <c r="H25" s="799">
        <v>0</v>
      </c>
      <c r="I25" s="805"/>
      <c r="J25" s="805"/>
      <c r="K25" s="805"/>
      <c r="L25" s="799">
        <v>0</v>
      </c>
      <c r="M25" s="805"/>
      <c r="N25" s="805"/>
      <c r="O25" s="805"/>
      <c r="P25" s="805"/>
      <c r="Q25" s="805"/>
      <c r="R25" s="805"/>
      <c r="S25" s="805"/>
      <c r="T25" s="491"/>
      <c r="U25" s="516"/>
      <c r="V25" s="516"/>
      <c r="W25" s="516"/>
      <c r="X25" s="516"/>
      <c r="Y25" s="516"/>
      <c r="Z25" s="516"/>
      <c r="AA25" s="516"/>
      <c r="AB25" s="515"/>
    </row>
    <row r="26" spans="1:28">
      <c r="A26" s="487">
        <v>3.4</v>
      </c>
      <c r="B26" s="517" t="s">
        <v>566</v>
      </c>
      <c r="C26" s="804">
        <v>0</v>
      </c>
      <c r="D26" s="806">
        <v>0</v>
      </c>
      <c r="E26" s="805"/>
      <c r="F26" s="805"/>
      <c r="G26" s="805"/>
      <c r="H26" s="799">
        <v>0</v>
      </c>
      <c r="I26" s="805"/>
      <c r="J26" s="805"/>
      <c r="K26" s="805"/>
      <c r="L26" s="799">
        <v>0</v>
      </c>
      <c r="M26" s="805"/>
      <c r="N26" s="805"/>
      <c r="O26" s="805"/>
      <c r="P26" s="805"/>
      <c r="Q26" s="805"/>
      <c r="R26" s="805"/>
      <c r="S26" s="805"/>
      <c r="T26" s="491"/>
      <c r="U26" s="516"/>
      <c r="V26" s="516"/>
      <c r="W26" s="516"/>
      <c r="X26" s="516"/>
      <c r="Y26" s="516"/>
      <c r="Z26" s="516"/>
      <c r="AA26" s="516"/>
      <c r="AB26" s="515"/>
    </row>
    <row r="27" spans="1:28">
      <c r="A27" s="487">
        <v>3.5</v>
      </c>
      <c r="B27" s="517" t="s">
        <v>567</v>
      </c>
      <c r="C27" s="804">
        <v>24883184.5</v>
      </c>
      <c r="D27" s="806">
        <v>24883184.5</v>
      </c>
      <c r="E27" s="805"/>
      <c r="F27" s="805"/>
      <c r="G27" s="805"/>
      <c r="H27" s="799">
        <v>0</v>
      </c>
      <c r="I27" s="805"/>
      <c r="J27" s="805"/>
      <c r="K27" s="805"/>
      <c r="L27" s="799">
        <v>0</v>
      </c>
      <c r="M27" s="805"/>
      <c r="N27" s="805"/>
      <c r="O27" s="805"/>
      <c r="P27" s="805"/>
      <c r="Q27" s="805"/>
      <c r="R27" s="805"/>
      <c r="S27" s="805"/>
      <c r="T27" s="491"/>
      <c r="U27" s="516"/>
      <c r="V27" s="516"/>
      <c r="W27" s="516"/>
      <c r="X27" s="516"/>
      <c r="Y27" s="516"/>
      <c r="Z27" s="516"/>
      <c r="AA27" s="516"/>
      <c r="AB27" s="515"/>
    </row>
    <row r="28" spans="1:28">
      <c r="A28" s="487">
        <v>3.6</v>
      </c>
      <c r="B28" s="517" t="s">
        <v>568</v>
      </c>
      <c r="C28" s="804">
        <v>69468.38</v>
      </c>
      <c r="D28" s="806">
        <v>16000</v>
      </c>
      <c r="E28" s="805"/>
      <c r="F28" s="805"/>
      <c r="G28" s="805"/>
      <c r="H28" s="799">
        <v>0</v>
      </c>
      <c r="I28" s="805"/>
      <c r="J28" s="805"/>
      <c r="K28" s="805"/>
      <c r="L28" s="799">
        <v>0</v>
      </c>
      <c r="M28" s="805"/>
      <c r="N28" s="805"/>
      <c r="O28" s="805"/>
      <c r="P28" s="805"/>
      <c r="Q28" s="805"/>
      <c r="R28" s="805"/>
      <c r="S28" s="805"/>
      <c r="T28" s="491"/>
      <c r="U28" s="516"/>
      <c r="V28" s="516"/>
      <c r="W28" s="516"/>
      <c r="X28" s="516"/>
      <c r="Y28" s="516"/>
      <c r="Z28" s="516"/>
      <c r="AA28" s="516"/>
      <c r="AB28" s="515"/>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22"/>
  <sheetViews>
    <sheetView showGridLines="0" zoomScaleNormal="100" workbookViewId="0">
      <selection activeCell="B1" sqref="B1:B2"/>
    </sheetView>
  </sheetViews>
  <sheetFormatPr defaultColWidth="9.140625" defaultRowHeight="12.75"/>
  <cols>
    <col min="1" max="1" width="11.85546875" style="498" bestFit="1" customWidth="1"/>
    <col min="2" max="2" width="90.28515625" style="498" bestFit="1" customWidth="1"/>
    <col min="3" max="3" width="20.140625" style="498" customWidth="1"/>
    <col min="4" max="4" width="22.28515625" style="498" customWidth="1"/>
    <col min="5" max="7" width="17.140625" style="498" customWidth="1"/>
    <col min="8" max="8" width="22.28515625" style="498" customWidth="1"/>
    <col min="9" max="10" width="17.140625" style="498" customWidth="1"/>
    <col min="11" max="27" width="22.28515625" style="498" customWidth="1"/>
    <col min="28" max="16384" width="9.140625" style="498"/>
  </cols>
  <sheetData>
    <row r="1" spans="1:27" ht="13.5">
      <c r="A1" s="386" t="s">
        <v>108</v>
      </c>
      <c r="B1" s="636" t="str">
        <f>'1. key ratios'!B1</f>
        <v>სს იშბანკი საქართველო</v>
      </c>
    </row>
    <row r="2" spans="1:27" ht="13.5">
      <c r="A2" s="388" t="s">
        <v>109</v>
      </c>
      <c r="B2" s="637">
        <f>'1. key ratios'!B2</f>
        <v>45016</v>
      </c>
    </row>
    <row r="3" spans="1:27">
      <c r="A3" s="389" t="s">
        <v>571</v>
      </c>
      <c r="C3" s="500"/>
    </row>
    <row r="4" spans="1:27" ht="13.5" thickBot="1">
      <c r="A4" s="389"/>
      <c r="B4" s="500"/>
      <c r="C4" s="500"/>
    </row>
    <row r="5" spans="1:27" s="530" customFormat="1" ht="13.5" customHeight="1">
      <c r="A5" s="939" t="s">
        <v>901</v>
      </c>
      <c r="B5" s="940"/>
      <c r="C5" s="936" t="s">
        <v>572</v>
      </c>
      <c r="D5" s="937"/>
      <c r="E5" s="937"/>
      <c r="F5" s="937"/>
      <c r="G5" s="937"/>
      <c r="H5" s="937"/>
      <c r="I5" s="937"/>
      <c r="J5" s="937"/>
      <c r="K5" s="937"/>
      <c r="L5" s="937"/>
      <c r="M5" s="937"/>
      <c r="N5" s="937"/>
      <c r="O5" s="937"/>
      <c r="P5" s="937"/>
      <c r="Q5" s="937"/>
      <c r="R5" s="937"/>
      <c r="S5" s="937"/>
      <c r="T5" s="937"/>
      <c r="U5" s="937"/>
      <c r="V5" s="937"/>
      <c r="W5" s="937"/>
      <c r="X5" s="937"/>
      <c r="Y5" s="937"/>
      <c r="Z5" s="937"/>
      <c r="AA5" s="938"/>
    </row>
    <row r="6" spans="1:27" s="530" customFormat="1" ht="12" customHeight="1">
      <c r="A6" s="941"/>
      <c r="B6" s="942"/>
      <c r="C6" s="946" t="s">
        <v>66</v>
      </c>
      <c r="D6" s="945" t="s">
        <v>892</v>
      </c>
      <c r="E6" s="945"/>
      <c r="F6" s="945"/>
      <c r="G6" s="945"/>
      <c r="H6" s="931" t="s">
        <v>891</v>
      </c>
      <c r="I6" s="932"/>
      <c r="J6" s="932"/>
      <c r="K6" s="932"/>
      <c r="L6" s="526"/>
      <c r="M6" s="913" t="s">
        <v>890</v>
      </c>
      <c r="N6" s="913"/>
      <c r="O6" s="913"/>
      <c r="P6" s="913"/>
      <c r="Q6" s="913"/>
      <c r="R6" s="913"/>
      <c r="S6" s="911"/>
      <c r="T6" s="526"/>
      <c r="U6" s="913" t="s">
        <v>889</v>
      </c>
      <c r="V6" s="913"/>
      <c r="W6" s="913"/>
      <c r="X6" s="913"/>
      <c r="Y6" s="913"/>
      <c r="Z6" s="913"/>
      <c r="AA6" s="935"/>
    </row>
    <row r="7" spans="1:27" s="530" customFormat="1" ht="38.25">
      <c r="A7" s="943"/>
      <c r="B7" s="944"/>
      <c r="C7" s="947"/>
      <c r="D7" s="524"/>
      <c r="E7" s="520" t="s">
        <v>561</v>
      </c>
      <c r="F7" s="495" t="s">
        <v>887</v>
      </c>
      <c r="G7" s="495" t="s">
        <v>888</v>
      </c>
      <c r="H7" s="559"/>
      <c r="I7" s="520" t="s">
        <v>561</v>
      </c>
      <c r="J7" s="495" t="s">
        <v>887</v>
      </c>
      <c r="K7" s="495" t="s">
        <v>888</v>
      </c>
      <c r="L7" s="521"/>
      <c r="M7" s="520" t="s">
        <v>561</v>
      </c>
      <c r="N7" s="495" t="s">
        <v>900</v>
      </c>
      <c r="O7" s="495" t="s">
        <v>899</v>
      </c>
      <c r="P7" s="495" t="s">
        <v>898</v>
      </c>
      <c r="Q7" s="495" t="s">
        <v>897</v>
      </c>
      <c r="R7" s="495" t="s">
        <v>896</v>
      </c>
      <c r="S7" s="495" t="s">
        <v>882</v>
      </c>
      <c r="T7" s="521"/>
      <c r="U7" s="520" t="s">
        <v>561</v>
      </c>
      <c r="V7" s="495" t="s">
        <v>900</v>
      </c>
      <c r="W7" s="495" t="s">
        <v>899</v>
      </c>
      <c r="X7" s="495" t="s">
        <v>898</v>
      </c>
      <c r="Y7" s="495" t="s">
        <v>897</v>
      </c>
      <c r="Z7" s="495" t="s">
        <v>896</v>
      </c>
      <c r="AA7" s="495" t="s">
        <v>882</v>
      </c>
    </row>
    <row r="8" spans="1:27">
      <c r="A8" s="558">
        <v>1</v>
      </c>
      <c r="B8" s="557" t="s">
        <v>562</v>
      </c>
      <c r="C8" s="807">
        <v>247093957.79999995</v>
      </c>
      <c r="D8" s="803">
        <v>245599612.37999997</v>
      </c>
      <c r="E8" s="803">
        <v>386843.82</v>
      </c>
      <c r="F8" s="803">
        <v>159198.03</v>
      </c>
      <c r="G8" s="803">
        <v>0</v>
      </c>
      <c r="H8" s="803">
        <v>295364.46999999997</v>
      </c>
      <c r="I8" s="803">
        <v>0</v>
      </c>
      <c r="J8" s="803">
        <v>0</v>
      </c>
      <c r="K8" s="803">
        <v>0</v>
      </c>
      <c r="L8" s="803">
        <v>1198980.9499999997</v>
      </c>
      <c r="M8" s="803">
        <v>5542.43</v>
      </c>
      <c r="N8" s="803">
        <v>0</v>
      </c>
      <c r="O8" s="803">
        <v>165421.27999999997</v>
      </c>
      <c r="P8" s="803">
        <v>10341.25</v>
      </c>
      <c r="Q8" s="803">
        <v>0</v>
      </c>
      <c r="R8" s="803">
        <v>8343.5499999999993</v>
      </c>
      <c r="S8" s="808">
        <v>220944.65000000002</v>
      </c>
      <c r="T8" s="487"/>
      <c r="U8" s="487"/>
      <c r="V8" s="487"/>
      <c r="W8" s="487"/>
      <c r="X8" s="487"/>
      <c r="Y8" s="487"/>
      <c r="Z8" s="487"/>
      <c r="AA8" s="549"/>
    </row>
    <row r="9" spans="1:27">
      <c r="A9" s="555">
        <v>1.1000000000000001</v>
      </c>
      <c r="B9" s="556" t="s">
        <v>573</v>
      </c>
      <c r="C9" s="809">
        <v>227521753.85030165</v>
      </c>
      <c r="D9" s="796">
        <v>226413844.89030167</v>
      </c>
      <c r="E9" s="796">
        <v>386843.82</v>
      </c>
      <c r="F9" s="796">
        <v>0</v>
      </c>
      <c r="G9" s="796">
        <v>0</v>
      </c>
      <c r="H9" s="796">
        <v>295364.46999999997</v>
      </c>
      <c r="I9" s="796">
        <v>0</v>
      </c>
      <c r="J9" s="796">
        <v>0</v>
      </c>
      <c r="K9" s="796">
        <v>0</v>
      </c>
      <c r="L9" s="796">
        <v>812544.49</v>
      </c>
      <c r="M9" s="796">
        <v>0</v>
      </c>
      <c r="N9" s="796">
        <v>0</v>
      </c>
      <c r="O9" s="796">
        <v>165421.28</v>
      </c>
      <c r="P9" s="796">
        <v>10341.25</v>
      </c>
      <c r="Q9" s="796">
        <v>0</v>
      </c>
      <c r="R9" s="796">
        <v>0</v>
      </c>
      <c r="S9" s="810">
        <v>157279.01</v>
      </c>
      <c r="T9" s="487"/>
      <c r="U9" s="487"/>
      <c r="V9" s="487"/>
      <c r="W9" s="487"/>
      <c r="X9" s="487"/>
      <c r="Y9" s="487"/>
      <c r="Z9" s="487"/>
      <c r="AA9" s="549"/>
    </row>
    <row r="10" spans="1:27">
      <c r="A10" s="553" t="s">
        <v>157</v>
      </c>
      <c r="B10" s="554" t="s">
        <v>574</v>
      </c>
      <c r="C10" s="811">
        <v>140467493.47030172</v>
      </c>
      <c r="D10" s="796">
        <v>139615305.28030175</v>
      </c>
      <c r="E10" s="796">
        <v>373659.25</v>
      </c>
      <c r="F10" s="796">
        <v>0</v>
      </c>
      <c r="G10" s="796">
        <v>0</v>
      </c>
      <c r="H10" s="796">
        <v>295364.46999999997</v>
      </c>
      <c r="I10" s="796">
        <v>0</v>
      </c>
      <c r="J10" s="796">
        <v>0</v>
      </c>
      <c r="K10" s="796">
        <v>0</v>
      </c>
      <c r="L10" s="796">
        <v>556823.72</v>
      </c>
      <c r="M10" s="796">
        <v>0</v>
      </c>
      <c r="N10" s="796">
        <v>0</v>
      </c>
      <c r="O10" s="796">
        <v>165421.28</v>
      </c>
      <c r="P10" s="796">
        <v>0</v>
      </c>
      <c r="Q10" s="796">
        <v>0</v>
      </c>
      <c r="R10" s="796">
        <v>0</v>
      </c>
      <c r="S10" s="810">
        <v>0</v>
      </c>
      <c r="T10" s="487"/>
      <c r="U10" s="487"/>
      <c r="V10" s="487"/>
      <c r="W10" s="487"/>
      <c r="X10" s="487"/>
      <c r="Y10" s="487"/>
      <c r="Z10" s="487"/>
      <c r="AA10" s="549"/>
    </row>
    <row r="11" spans="1:27">
      <c r="A11" s="552" t="s">
        <v>575</v>
      </c>
      <c r="B11" s="551" t="s">
        <v>576</v>
      </c>
      <c r="C11" s="812">
        <v>57442160.690301709</v>
      </c>
      <c r="D11" s="796">
        <v>56677782.290301703</v>
      </c>
      <c r="E11" s="796">
        <v>373659.25</v>
      </c>
      <c r="F11" s="796">
        <v>56677782.290301703</v>
      </c>
      <c r="G11" s="796">
        <v>0</v>
      </c>
      <c r="H11" s="796">
        <v>295364.46999999997</v>
      </c>
      <c r="I11" s="796">
        <v>0</v>
      </c>
      <c r="J11" s="796">
        <v>0</v>
      </c>
      <c r="K11" s="796">
        <v>0</v>
      </c>
      <c r="L11" s="796">
        <v>469013.93</v>
      </c>
      <c r="M11" s="796">
        <v>0</v>
      </c>
      <c r="N11" s="796">
        <v>0</v>
      </c>
      <c r="O11" s="796">
        <v>77611.489999999991</v>
      </c>
      <c r="P11" s="796">
        <v>0</v>
      </c>
      <c r="Q11" s="796">
        <v>0</v>
      </c>
      <c r="R11" s="796">
        <v>0</v>
      </c>
      <c r="S11" s="810">
        <v>0</v>
      </c>
      <c r="T11" s="487"/>
      <c r="U11" s="487"/>
      <c r="V11" s="487"/>
      <c r="W11" s="487"/>
      <c r="X11" s="487"/>
      <c r="Y11" s="487"/>
      <c r="Z11" s="487"/>
      <c r="AA11" s="549"/>
    </row>
    <row r="12" spans="1:27">
      <c r="A12" s="552" t="s">
        <v>577</v>
      </c>
      <c r="B12" s="551" t="s">
        <v>578</v>
      </c>
      <c r="C12" s="812">
        <v>3937383.77</v>
      </c>
      <c r="D12" s="796">
        <v>3937383.77</v>
      </c>
      <c r="E12" s="796">
        <v>0</v>
      </c>
      <c r="F12" s="796">
        <v>3937383.77</v>
      </c>
      <c r="G12" s="796">
        <v>0</v>
      </c>
      <c r="H12" s="796">
        <v>0</v>
      </c>
      <c r="I12" s="796">
        <v>0</v>
      </c>
      <c r="J12" s="796">
        <v>0</v>
      </c>
      <c r="K12" s="796">
        <v>0</v>
      </c>
      <c r="L12" s="796">
        <v>0</v>
      </c>
      <c r="M12" s="796">
        <v>0</v>
      </c>
      <c r="N12" s="796">
        <v>0</v>
      </c>
      <c r="O12" s="796">
        <v>0</v>
      </c>
      <c r="P12" s="796">
        <v>0</v>
      </c>
      <c r="Q12" s="796">
        <v>0</v>
      </c>
      <c r="R12" s="796">
        <v>0</v>
      </c>
      <c r="S12" s="810">
        <v>0</v>
      </c>
      <c r="T12" s="487"/>
      <c r="U12" s="487"/>
      <c r="V12" s="487"/>
      <c r="W12" s="487"/>
      <c r="X12" s="487"/>
      <c r="Y12" s="487"/>
      <c r="Z12" s="487"/>
      <c r="AA12" s="549"/>
    </row>
    <row r="13" spans="1:27">
      <c r="A13" s="552" t="s">
        <v>579</v>
      </c>
      <c r="B13" s="551" t="s">
        <v>580</v>
      </c>
      <c r="C13" s="812">
        <v>4460190.9799999995</v>
      </c>
      <c r="D13" s="796">
        <v>4460190.9799999995</v>
      </c>
      <c r="E13" s="796">
        <v>0</v>
      </c>
      <c r="F13" s="796">
        <v>4460190.9799999995</v>
      </c>
      <c r="G13" s="796">
        <v>0</v>
      </c>
      <c r="H13" s="796">
        <v>0</v>
      </c>
      <c r="I13" s="796">
        <v>0</v>
      </c>
      <c r="J13" s="796">
        <v>0</v>
      </c>
      <c r="K13" s="796">
        <v>0</v>
      </c>
      <c r="L13" s="796">
        <v>0</v>
      </c>
      <c r="M13" s="796">
        <v>0</v>
      </c>
      <c r="N13" s="796">
        <v>0</v>
      </c>
      <c r="O13" s="796">
        <v>0</v>
      </c>
      <c r="P13" s="796">
        <v>0</v>
      </c>
      <c r="Q13" s="796">
        <v>0</v>
      </c>
      <c r="R13" s="796">
        <v>0</v>
      </c>
      <c r="S13" s="810">
        <v>0</v>
      </c>
      <c r="T13" s="487"/>
      <c r="U13" s="487"/>
      <c r="V13" s="487"/>
      <c r="W13" s="487"/>
      <c r="X13" s="487"/>
      <c r="Y13" s="487"/>
      <c r="Z13" s="487"/>
      <c r="AA13" s="549"/>
    </row>
    <row r="14" spans="1:27">
      <c r="A14" s="552" t="s">
        <v>581</v>
      </c>
      <c r="B14" s="551" t="s">
        <v>582</v>
      </c>
      <c r="C14" s="812">
        <v>74627758.030000031</v>
      </c>
      <c r="D14" s="796">
        <v>74539948.240000024</v>
      </c>
      <c r="E14" s="796">
        <v>0</v>
      </c>
      <c r="F14" s="796">
        <v>74539948.240000024</v>
      </c>
      <c r="G14" s="796">
        <v>0</v>
      </c>
      <c r="H14" s="796">
        <v>0</v>
      </c>
      <c r="I14" s="796">
        <v>0</v>
      </c>
      <c r="J14" s="796">
        <v>0</v>
      </c>
      <c r="K14" s="796">
        <v>0</v>
      </c>
      <c r="L14" s="796">
        <v>87809.790000000008</v>
      </c>
      <c r="M14" s="796">
        <v>0</v>
      </c>
      <c r="N14" s="796">
        <v>0</v>
      </c>
      <c r="O14" s="796">
        <v>87809.790000000008</v>
      </c>
      <c r="P14" s="796">
        <v>0</v>
      </c>
      <c r="Q14" s="796">
        <v>0</v>
      </c>
      <c r="R14" s="796">
        <v>0</v>
      </c>
      <c r="S14" s="810">
        <v>0</v>
      </c>
      <c r="T14" s="487"/>
      <c r="U14" s="487"/>
      <c r="V14" s="487"/>
      <c r="W14" s="487"/>
      <c r="X14" s="487"/>
      <c r="Y14" s="487"/>
      <c r="Z14" s="487"/>
      <c r="AA14" s="549"/>
    </row>
    <row r="15" spans="1:27">
      <c r="A15" s="550">
        <v>1.2</v>
      </c>
      <c r="B15" s="547" t="s">
        <v>895</v>
      </c>
      <c r="C15" s="813">
        <v>1815783.385470307</v>
      </c>
      <c r="D15" s="796">
        <v>1433143.0739572851</v>
      </c>
      <c r="E15" s="796">
        <v>1441.2871843817225</v>
      </c>
      <c r="F15" s="796">
        <v>0</v>
      </c>
      <c r="G15" s="796">
        <v>0</v>
      </c>
      <c r="H15" s="796">
        <v>2052.67084795244</v>
      </c>
      <c r="I15" s="796">
        <v>0</v>
      </c>
      <c r="J15" s="796">
        <v>0</v>
      </c>
      <c r="K15" s="796">
        <v>0</v>
      </c>
      <c r="L15" s="796">
        <v>380587.64066506928</v>
      </c>
      <c r="M15" s="796">
        <v>0</v>
      </c>
      <c r="N15" s="796">
        <v>0</v>
      </c>
      <c r="O15" s="796">
        <v>92969.823882759476</v>
      </c>
      <c r="P15" s="796">
        <v>2360.3091081578291</v>
      </c>
      <c r="Q15" s="796">
        <v>0</v>
      </c>
      <c r="R15" s="796">
        <v>0</v>
      </c>
      <c r="S15" s="810">
        <v>157279.01</v>
      </c>
      <c r="T15" s="487"/>
      <c r="U15" s="487"/>
      <c r="V15" s="487"/>
      <c r="W15" s="487"/>
      <c r="X15" s="487"/>
      <c r="Y15" s="487"/>
      <c r="Z15" s="487"/>
      <c r="AA15" s="549"/>
    </row>
    <row r="16" spans="1:27">
      <c r="A16" s="548">
        <v>1.3</v>
      </c>
      <c r="B16" s="547" t="s">
        <v>583</v>
      </c>
      <c r="C16" s="814"/>
      <c r="D16" s="815"/>
      <c r="E16" s="815"/>
      <c r="F16" s="815"/>
      <c r="G16" s="815"/>
      <c r="H16" s="815"/>
      <c r="I16" s="815"/>
      <c r="J16" s="815"/>
      <c r="K16" s="815"/>
      <c r="L16" s="815"/>
      <c r="M16" s="815"/>
      <c r="N16" s="815"/>
      <c r="O16" s="815"/>
      <c r="P16" s="815"/>
      <c r="Q16" s="815"/>
      <c r="R16" s="815"/>
      <c r="S16" s="816"/>
      <c r="T16" s="546"/>
      <c r="U16" s="546"/>
      <c r="V16" s="546"/>
      <c r="W16" s="546"/>
      <c r="X16" s="546"/>
      <c r="Y16" s="546"/>
      <c r="Z16" s="546"/>
      <c r="AA16" s="545"/>
    </row>
    <row r="17" spans="1:27" s="530" customFormat="1" ht="25.5">
      <c r="A17" s="543" t="s">
        <v>584</v>
      </c>
      <c r="B17" s="544" t="s">
        <v>585</v>
      </c>
      <c r="C17" s="817">
        <v>216722997.88914183</v>
      </c>
      <c r="D17" s="797">
        <v>215632802.94914186</v>
      </c>
      <c r="E17" s="797">
        <v>386700.79999999999</v>
      </c>
      <c r="F17" s="797">
        <v>0</v>
      </c>
      <c r="G17" s="797">
        <v>0</v>
      </c>
      <c r="H17" s="797">
        <v>295364.46999999997</v>
      </c>
      <c r="I17" s="797">
        <v>0</v>
      </c>
      <c r="J17" s="797">
        <v>0</v>
      </c>
      <c r="K17" s="797">
        <v>0</v>
      </c>
      <c r="L17" s="797">
        <v>794830.46999999986</v>
      </c>
      <c r="M17" s="797">
        <v>0</v>
      </c>
      <c r="N17" s="797">
        <v>0</v>
      </c>
      <c r="O17" s="797">
        <v>153655.37</v>
      </c>
      <c r="P17" s="797">
        <v>4393.1400000000003</v>
      </c>
      <c r="Q17" s="797">
        <v>0</v>
      </c>
      <c r="R17" s="797">
        <v>0</v>
      </c>
      <c r="S17" s="818">
        <v>157279.01</v>
      </c>
      <c r="T17" s="488"/>
      <c r="U17" s="488"/>
      <c r="V17" s="488"/>
      <c r="W17" s="488"/>
      <c r="X17" s="488"/>
      <c r="Y17" s="488"/>
      <c r="Z17" s="488"/>
      <c r="AA17" s="536"/>
    </row>
    <row r="18" spans="1:27" s="530" customFormat="1" ht="25.5">
      <c r="A18" s="540" t="s">
        <v>586</v>
      </c>
      <c r="B18" s="541" t="s">
        <v>587</v>
      </c>
      <c r="C18" s="819">
        <v>99428749.938544407</v>
      </c>
      <c r="D18" s="797">
        <v>98588327.658544406</v>
      </c>
      <c r="E18" s="797">
        <v>373659.25</v>
      </c>
      <c r="F18" s="797">
        <v>0</v>
      </c>
      <c r="G18" s="797">
        <v>0</v>
      </c>
      <c r="H18" s="797">
        <v>295364.46999999997</v>
      </c>
      <c r="I18" s="797">
        <v>0</v>
      </c>
      <c r="J18" s="797">
        <v>0</v>
      </c>
      <c r="K18" s="797">
        <v>0</v>
      </c>
      <c r="L18" s="797">
        <v>545057.80999999994</v>
      </c>
      <c r="M18" s="797">
        <v>0</v>
      </c>
      <c r="N18" s="797">
        <v>0</v>
      </c>
      <c r="O18" s="797">
        <v>153655.37</v>
      </c>
      <c r="P18" s="797">
        <v>0</v>
      </c>
      <c r="Q18" s="797">
        <v>0</v>
      </c>
      <c r="R18" s="797">
        <v>0</v>
      </c>
      <c r="S18" s="818">
        <v>0</v>
      </c>
      <c r="T18" s="488"/>
      <c r="U18" s="488"/>
      <c r="V18" s="488"/>
      <c r="W18" s="488"/>
      <c r="X18" s="488"/>
      <c r="Y18" s="488"/>
      <c r="Z18" s="488"/>
      <c r="AA18" s="536"/>
    </row>
    <row r="19" spans="1:27" s="530" customFormat="1">
      <c r="A19" s="543" t="s">
        <v>588</v>
      </c>
      <c r="B19" s="542" t="s">
        <v>589</v>
      </c>
      <c r="C19" s="820">
        <v>178444370.26843721</v>
      </c>
      <c r="D19" s="797">
        <v>172867176.48273724</v>
      </c>
      <c r="E19" s="797">
        <v>654336.81999999995</v>
      </c>
      <c r="F19" s="797">
        <v>0</v>
      </c>
      <c r="G19" s="797">
        <v>0</v>
      </c>
      <c r="H19" s="797">
        <v>842368.5</v>
      </c>
      <c r="I19" s="797">
        <v>0</v>
      </c>
      <c r="J19" s="797">
        <v>0</v>
      </c>
      <c r="K19" s="797">
        <v>0</v>
      </c>
      <c r="L19" s="797">
        <v>4734825.2856999999</v>
      </c>
      <c r="M19" s="797">
        <v>0</v>
      </c>
      <c r="N19" s="797">
        <v>0</v>
      </c>
      <c r="O19" s="797">
        <v>72440.75</v>
      </c>
      <c r="P19" s="797">
        <v>0</v>
      </c>
      <c r="Q19" s="797">
        <v>0</v>
      </c>
      <c r="R19" s="797">
        <v>0</v>
      </c>
      <c r="S19" s="818">
        <v>0</v>
      </c>
      <c r="T19" s="488"/>
      <c r="U19" s="488"/>
      <c r="V19" s="488"/>
      <c r="W19" s="488"/>
      <c r="X19" s="488"/>
      <c r="Y19" s="488"/>
      <c r="Z19" s="488"/>
      <c r="AA19" s="536"/>
    </row>
    <row r="20" spans="1:27" s="530" customFormat="1">
      <c r="A20" s="540" t="s">
        <v>590</v>
      </c>
      <c r="B20" s="541" t="s">
        <v>591</v>
      </c>
      <c r="C20" s="819">
        <v>104171994.3651986</v>
      </c>
      <c r="D20" s="797">
        <v>99116663.039498597</v>
      </c>
      <c r="E20" s="797">
        <v>296653.46999999997</v>
      </c>
      <c r="F20" s="797">
        <v>0</v>
      </c>
      <c r="G20" s="797">
        <v>0</v>
      </c>
      <c r="H20" s="797">
        <v>549567.53</v>
      </c>
      <c r="I20" s="797">
        <v>0</v>
      </c>
      <c r="J20" s="797">
        <v>0</v>
      </c>
      <c r="K20" s="797">
        <v>0</v>
      </c>
      <c r="L20" s="797">
        <v>4505763.7957000006</v>
      </c>
      <c r="M20" s="797">
        <v>0</v>
      </c>
      <c r="N20" s="797">
        <v>0</v>
      </c>
      <c r="O20" s="797">
        <v>72440.75</v>
      </c>
      <c r="P20" s="797">
        <v>0</v>
      </c>
      <c r="Q20" s="797">
        <v>0</v>
      </c>
      <c r="R20" s="797">
        <v>0</v>
      </c>
      <c r="S20" s="818">
        <v>0</v>
      </c>
      <c r="T20" s="488"/>
      <c r="U20" s="488"/>
      <c r="V20" s="488"/>
      <c r="W20" s="488"/>
      <c r="X20" s="488"/>
      <c r="Y20" s="488"/>
      <c r="Z20" s="488"/>
      <c r="AA20" s="536"/>
    </row>
    <row r="21" spans="1:27" s="530" customFormat="1">
      <c r="A21" s="539">
        <v>1.4</v>
      </c>
      <c r="B21" s="538" t="s">
        <v>680</v>
      </c>
      <c r="C21" s="537"/>
      <c r="D21" s="488"/>
      <c r="E21" s="488"/>
      <c r="F21" s="488"/>
      <c r="G21" s="488"/>
      <c r="H21" s="488"/>
      <c r="I21" s="488"/>
      <c r="J21" s="488"/>
      <c r="K21" s="488"/>
      <c r="L21" s="488"/>
      <c r="M21" s="488"/>
      <c r="N21" s="488"/>
      <c r="O21" s="488"/>
      <c r="P21" s="488"/>
      <c r="Q21" s="488"/>
      <c r="R21" s="488"/>
      <c r="S21" s="536"/>
      <c r="T21" s="488"/>
      <c r="U21" s="488"/>
      <c r="V21" s="488"/>
      <c r="W21" s="488"/>
      <c r="X21" s="488"/>
      <c r="Y21" s="488"/>
      <c r="Z21" s="488"/>
      <c r="AA21" s="536"/>
    </row>
    <row r="22" spans="1:27" s="530" customFormat="1" ht="13.5" thickBot="1">
      <c r="A22" s="535">
        <v>1.5</v>
      </c>
      <c r="B22" s="534" t="s">
        <v>681</v>
      </c>
      <c r="C22" s="533"/>
      <c r="D22" s="532"/>
      <c r="E22" s="532"/>
      <c r="F22" s="532"/>
      <c r="G22" s="532"/>
      <c r="H22" s="532"/>
      <c r="I22" s="532"/>
      <c r="J22" s="532"/>
      <c r="K22" s="532"/>
      <c r="L22" s="532"/>
      <c r="M22" s="532"/>
      <c r="N22" s="532"/>
      <c r="O22" s="532"/>
      <c r="P22" s="532"/>
      <c r="Q22" s="532"/>
      <c r="R22" s="532"/>
      <c r="S22" s="531"/>
      <c r="T22" s="532"/>
      <c r="U22" s="532"/>
      <c r="V22" s="532"/>
      <c r="W22" s="532"/>
      <c r="X22" s="532"/>
      <c r="Y22" s="532"/>
      <c r="Z22" s="532"/>
      <c r="AA22" s="531"/>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5"/>
  <sheetViews>
    <sheetView showGridLines="0" zoomScaleNormal="100" workbookViewId="0">
      <selection activeCell="B1" sqref="B1:B2"/>
    </sheetView>
  </sheetViews>
  <sheetFormatPr defaultColWidth="9.140625" defaultRowHeight="12.75"/>
  <cols>
    <col min="1" max="1" width="11.85546875" style="498" bestFit="1" customWidth="1"/>
    <col min="2" max="2" width="93.42578125" style="498" customWidth="1"/>
    <col min="3" max="3" width="14.5703125" style="498" customWidth="1"/>
    <col min="4" max="5" width="16.140625" style="498" customWidth="1"/>
    <col min="6" max="6" width="16.140625" style="560" customWidth="1"/>
    <col min="7" max="7" width="25.28515625" style="560" customWidth="1"/>
    <col min="8" max="8" width="16.140625" style="498" customWidth="1"/>
    <col min="9" max="11" width="16.140625" style="560" customWidth="1"/>
    <col min="12" max="12" width="26.28515625" style="560" customWidth="1"/>
    <col min="13" max="16384" width="9.140625" style="498"/>
  </cols>
  <sheetData>
    <row r="1" spans="1:12" ht="13.5">
      <c r="A1" s="386" t="s">
        <v>108</v>
      </c>
      <c r="B1" s="636" t="str">
        <f>'1. key ratios'!B1</f>
        <v>სს იშბანკი საქართველო</v>
      </c>
      <c r="F1" s="498"/>
      <c r="G1" s="498"/>
      <c r="I1" s="498"/>
      <c r="J1" s="498"/>
      <c r="K1" s="498"/>
      <c r="L1" s="498"/>
    </row>
    <row r="2" spans="1:12" ht="13.5">
      <c r="A2" s="388" t="s">
        <v>109</v>
      </c>
      <c r="B2" s="637">
        <f>'1. key ratios'!B2</f>
        <v>45016</v>
      </c>
      <c r="F2" s="498"/>
      <c r="G2" s="498"/>
      <c r="I2" s="498"/>
      <c r="J2" s="498"/>
      <c r="K2" s="498"/>
      <c r="L2" s="498"/>
    </row>
    <row r="3" spans="1:12">
      <c r="A3" s="389" t="s">
        <v>594</v>
      </c>
      <c r="F3" s="498"/>
      <c r="G3" s="498"/>
      <c r="I3" s="498"/>
      <c r="J3" s="498"/>
      <c r="K3" s="498"/>
      <c r="L3" s="498"/>
    </row>
    <row r="4" spans="1:12">
      <c r="F4" s="498"/>
      <c r="G4" s="498"/>
      <c r="I4" s="498"/>
      <c r="J4" s="498"/>
      <c r="K4" s="498"/>
      <c r="L4" s="498"/>
    </row>
    <row r="5" spans="1:12" ht="37.5" customHeight="1">
      <c r="A5" s="897" t="s">
        <v>595</v>
      </c>
      <c r="B5" s="898"/>
      <c r="C5" s="948" t="s">
        <v>596</v>
      </c>
      <c r="D5" s="949"/>
      <c r="E5" s="949"/>
      <c r="F5" s="949"/>
      <c r="G5" s="949"/>
      <c r="H5" s="950" t="s">
        <v>907</v>
      </c>
      <c r="I5" s="951"/>
      <c r="J5" s="951"/>
      <c r="K5" s="951"/>
      <c r="L5" s="952"/>
    </row>
    <row r="6" spans="1:12" ht="39.6" customHeight="1">
      <c r="A6" s="901"/>
      <c r="B6" s="902"/>
      <c r="C6" s="395"/>
      <c r="D6" s="496" t="s">
        <v>892</v>
      </c>
      <c r="E6" s="496" t="s">
        <v>891</v>
      </c>
      <c r="F6" s="496" t="s">
        <v>890</v>
      </c>
      <c r="G6" s="496" t="s">
        <v>889</v>
      </c>
      <c r="H6" s="563"/>
      <c r="I6" s="496" t="s">
        <v>892</v>
      </c>
      <c r="J6" s="496" t="s">
        <v>891</v>
      </c>
      <c r="K6" s="496" t="s">
        <v>890</v>
      </c>
      <c r="L6" s="496" t="s">
        <v>889</v>
      </c>
    </row>
    <row r="7" spans="1:12">
      <c r="A7" s="487">
        <v>1</v>
      </c>
      <c r="B7" s="502" t="s">
        <v>518</v>
      </c>
      <c r="C7" s="821">
        <v>3868399.5999999996</v>
      </c>
      <c r="D7" s="821">
        <v>3861246.8099999996</v>
      </c>
      <c r="E7" s="821">
        <v>0</v>
      </c>
      <c r="F7" s="821">
        <v>7152.79</v>
      </c>
      <c r="G7" s="821">
        <v>0</v>
      </c>
      <c r="H7" s="821">
        <v>10517.68577242118</v>
      </c>
      <c r="I7" s="821">
        <v>4903.4493814888483</v>
      </c>
      <c r="J7" s="821">
        <v>0</v>
      </c>
      <c r="K7" s="821">
        <v>5614.2363909323294</v>
      </c>
      <c r="L7" s="821">
        <v>0</v>
      </c>
    </row>
    <row r="8" spans="1:12">
      <c r="A8" s="487">
        <v>2</v>
      </c>
      <c r="B8" s="502" t="s">
        <v>519</v>
      </c>
      <c r="C8" s="821">
        <v>84815127.056801051</v>
      </c>
      <c r="D8" s="796">
        <v>84815127.056801051</v>
      </c>
      <c r="E8" s="796">
        <v>0</v>
      </c>
      <c r="F8" s="822">
        <v>0</v>
      </c>
      <c r="G8" s="822">
        <v>0</v>
      </c>
      <c r="H8" s="796">
        <v>379044.29417731101</v>
      </c>
      <c r="I8" s="822">
        <v>379044.29417731101</v>
      </c>
      <c r="J8" s="822">
        <v>0</v>
      </c>
      <c r="K8" s="822">
        <v>0</v>
      </c>
      <c r="L8" s="822">
        <v>0</v>
      </c>
    </row>
    <row r="9" spans="1:12">
      <c r="A9" s="487">
        <v>3</v>
      </c>
      <c r="B9" s="502" t="s">
        <v>868</v>
      </c>
      <c r="C9" s="821">
        <v>0</v>
      </c>
      <c r="D9" s="796">
        <v>0</v>
      </c>
      <c r="E9" s="796">
        <v>0</v>
      </c>
      <c r="F9" s="823">
        <v>0</v>
      </c>
      <c r="G9" s="823">
        <v>0</v>
      </c>
      <c r="H9" s="796">
        <v>0</v>
      </c>
      <c r="I9" s="823">
        <v>0</v>
      </c>
      <c r="J9" s="823">
        <v>0</v>
      </c>
      <c r="K9" s="823">
        <v>0</v>
      </c>
      <c r="L9" s="823">
        <v>0</v>
      </c>
    </row>
    <row r="10" spans="1:12">
      <c r="A10" s="487">
        <v>4</v>
      </c>
      <c r="B10" s="502" t="s">
        <v>520</v>
      </c>
      <c r="C10" s="821">
        <v>13060087.520000001</v>
      </c>
      <c r="D10" s="796">
        <v>13060087.520000001</v>
      </c>
      <c r="E10" s="796">
        <v>0</v>
      </c>
      <c r="F10" s="823">
        <v>0</v>
      </c>
      <c r="G10" s="823">
        <v>0</v>
      </c>
      <c r="H10" s="796">
        <v>40556.958026962915</v>
      </c>
      <c r="I10" s="823">
        <v>40556.958026962915</v>
      </c>
      <c r="J10" s="823">
        <v>0</v>
      </c>
      <c r="K10" s="823">
        <v>0</v>
      </c>
      <c r="L10" s="823">
        <v>0</v>
      </c>
    </row>
    <row r="11" spans="1:12">
      <c r="A11" s="487">
        <v>5</v>
      </c>
      <c r="B11" s="502" t="s">
        <v>521</v>
      </c>
      <c r="C11" s="821">
        <v>13875947.050301706</v>
      </c>
      <c r="D11" s="796">
        <v>13875947.050301706</v>
      </c>
      <c r="E11" s="796">
        <v>0</v>
      </c>
      <c r="F11" s="823">
        <v>0</v>
      </c>
      <c r="G11" s="823">
        <v>0</v>
      </c>
      <c r="H11" s="796">
        <v>14695.571434238253</v>
      </c>
      <c r="I11" s="823">
        <v>14695.571434238253</v>
      </c>
      <c r="J11" s="823">
        <v>0</v>
      </c>
      <c r="K11" s="823">
        <v>0</v>
      </c>
      <c r="L11" s="823">
        <v>0</v>
      </c>
    </row>
    <row r="12" spans="1:12">
      <c r="A12" s="487">
        <v>6</v>
      </c>
      <c r="B12" s="502" t="s">
        <v>522</v>
      </c>
      <c r="C12" s="821">
        <v>6373889.8699999992</v>
      </c>
      <c r="D12" s="796">
        <v>6354601.5999999996</v>
      </c>
      <c r="E12" s="796">
        <v>0</v>
      </c>
      <c r="F12" s="823">
        <v>19288.27</v>
      </c>
      <c r="G12" s="823">
        <v>0</v>
      </c>
      <c r="H12" s="796">
        <v>24885.732693245591</v>
      </c>
      <c r="I12" s="823">
        <v>13625.503585087759</v>
      </c>
      <c r="J12" s="823">
        <v>0</v>
      </c>
      <c r="K12" s="823">
        <v>11260.22910815783</v>
      </c>
      <c r="L12" s="823">
        <v>0</v>
      </c>
    </row>
    <row r="13" spans="1:12">
      <c r="A13" s="487">
        <v>7</v>
      </c>
      <c r="B13" s="502" t="s">
        <v>523</v>
      </c>
      <c r="C13" s="821">
        <v>22981866</v>
      </c>
      <c r="D13" s="796">
        <v>22981866</v>
      </c>
      <c r="E13" s="796">
        <v>0</v>
      </c>
      <c r="F13" s="823">
        <v>0</v>
      </c>
      <c r="G13" s="823">
        <v>0</v>
      </c>
      <c r="H13" s="796">
        <v>131971.68168531219</v>
      </c>
      <c r="I13" s="823">
        <v>131971.68168531219</v>
      </c>
      <c r="J13" s="823">
        <v>0</v>
      </c>
      <c r="K13" s="823">
        <v>0</v>
      </c>
      <c r="L13" s="823">
        <v>0</v>
      </c>
    </row>
    <row r="14" spans="1:12">
      <c r="A14" s="487">
        <v>8</v>
      </c>
      <c r="B14" s="502" t="s">
        <v>524</v>
      </c>
      <c r="C14" s="821">
        <v>10287046.950000001</v>
      </c>
      <c r="D14" s="796">
        <v>9866846.040000001</v>
      </c>
      <c r="E14" s="796">
        <v>0</v>
      </c>
      <c r="F14" s="823">
        <v>420200.91</v>
      </c>
      <c r="G14" s="823">
        <v>0</v>
      </c>
      <c r="H14" s="796">
        <v>305824.20898925402</v>
      </c>
      <c r="I14" s="823">
        <v>71725.915547314056</v>
      </c>
      <c r="J14" s="823">
        <v>0</v>
      </c>
      <c r="K14" s="823">
        <v>234098.29344193992</v>
      </c>
      <c r="L14" s="823">
        <v>0</v>
      </c>
    </row>
    <row r="15" spans="1:12">
      <c r="A15" s="487">
        <v>9</v>
      </c>
      <c r="B15" s="502" t="s">
        <v>525</v>
      </c>
      <c r="C15" s="821">
        <v>5020494.0902592586</v>
      </c>
      <c r="D15" s="796">
        <v>5020494.0902592586</v>
      </c>
      <c r="E15" s="796">
        <v>0</v>
      </c>
      <c r="F15" s="823">
        <v>0</v>
      </c>
      <c r="G15" s="823">
        <v>0</v>
      </c>
      <c r="H15" s="796">
        <v>22062.182670320086</v>
      </c>
      <c r="I15" s="823">
        <v>22062.182670320086</v>
      </c>
      <c r="J15" s="823">
        <v>0</v>
      </c>
      <c r="K15" s="823">
        <v>0</v>
      </c>
      <c r="L15" s="823">
        <v>0</v>
      </c>
    </row>
    <row r="16" spans="1:12">
      <c r="A16" s="487">
        <v>10</v>
      </c>
      <c r="B16" s="502" t="s">
        <v>526</v>
      </c>
      <c r="C16" s="821">
        <v>9765303.5099999998</v>
      </c>
      <c r="D16" s="796">
        <v>9761122.0700000003</v>
      </c>
      <c r="E16" s="796">
        <v>0</v>
      </c>
      <c r="F16" s="823">
        <v>4181.4399999999996</v>
      </c>
      <c r="G16" s="823">
        <v>0</v>
      </c>
      <c r="H16" s="796">
        <v>40286.778736858134</v>
      </c>
      <c r="I16" s="823">
        <v>38040.210014437391</v>
      </c>
      <c r="J16" s="823">
        <v>0</v>
      </c>
      <c r="K16" s="823">
        <v>2246.568722420745</v>
      </c>
      <c r="L16" s="823">
        <v>0</v>
      </c>
    </row>
    <row r="17" spans="1:12">
      <c r="A17" s="487">
        <v>11</v>
      </c>
      <c r="B17" s="502" t="s">
        <v>527</v>
      </c>
      <c r="C17" s="821">
        <v>19691207.630000006</v>
      </c>
      <c r="D17" s="796">
        <v>19665402.190000005</v>
      </c>
      <c r="E17" s="796">
        <v>0</v>
      </c>
      <c r="F17" s="823">
        <v>25805.440000000002</v>
      </c>
      <c r="G17" s="823">
        <v>0</v>
      </c>
      <c r="H17" s="796">
        <v>164445.91813479146</v>
      </c>
      <c r="I17" s="823">
        <v>150581.38955796021</v>
      </c>
      <c r="J17" s="823">
        <v>0</v>
      </c>
      <c r="K17" s="823">
        <v>13864.528576831235</v>
      </c>
      <c r="L17" s="823">
        <v>0</v>
      </c>
    </row>
    <row r="18" spans="1:12">
      <c r="A18" s="487">
        <v>12</v>
      </c>
      <c r="B18" s="502" t="s">
        <v>528</v>
      </c>
      <c r="C18" s="821">
        <v>30037411.210000005</v>
      </c>
      <c r="D18" s="796">
        <v>29813697.350000001</v>
      </c>
      <c r="E18" s="796">
        <v>0</v>
      </c>
      <c r="F18" s="823">
        <v>223713.86000000002</v>
      </c>
      <c r="G18" s="823">
        <v>0</v>
      </c>
      <c r="H18" s="796">
        <v>394158.81602699606</v>
      </c>
      <c r="I18" s="823">
        <v>294770.13142769889</v>
      </c>
      <c r="J18" s="823">
        <v>0</v>
      </c>
      <c r="K18" s="823">
        <v>99388.684599297208</v>
      </c>
      <c r="L18" s="823">
        <v>0</v>
      </c>
    </row>
    <row r="19" spans="1:12">
      <c r="A19" s="487">
        <v>13</v>
      </c>
      <c r="B19" s="502" t="s">
        <v>529</v>
      </c>
      <c r="C19" s="821">
        <v>2020989.6900000002</v>
      </c>
      <c r="D19" s="796">
        <v>1974476.88</v>
      </c>
      <c r="E19" s="796">
        <v>0</v>
      </c>
      <c r="F19" s="823">
        <v>46512.81</v>
      </c>
      <c r="G19" s="823">
        <v>0</v>
      </c>
      <c r="H19" s="796">
        <v>56104.173375153398</v>
      </c>
      <c r="I19" s="823">
        <v>33280.174216613661</v>
      </c>
      <c r="J19" s="823">
        <v>0</v>
      </c>
      <c r="K19" s="823">
        <v>22823.999158539737</v>
      </c>
      <c r="L19" s="823">
        <v>0</v>
      </c>
    </row>
    <row r="20" spans="1:12">
      <c r="A20" s="487">
        <v>14</v>
      </c>
      <c r="B20" s="502" t="s">
        <v>530</v>
      </c>
      <c r="C20" s="821">
        <v>11842991.200000001</v>
      </c>
      <c r="D20" s="796">
        <v>11726580.360000001</v>
      </c>
      <c r="E20" s="796">
        <v>0</v>
      </c>
      <c r="F20" s="823">
        <v>116410.83999999998</v>
      </c>
      <c r="G20" s="823">
        <v>0</v>
      </c>
      <c r="H20" s="796">
        <v>103627.39829779114</v>
      </c>
      <c r="I20" s="823">
        <v>5536.6712044779633</v>
      </c>
      <c r="J20" s="823">
        <v>0</v>
      </c>
      <c r="K20" s="823">
        <v>98090.727093313151</v>
      </c>
      <c r="L20" s="823">
        <v>0</v>
      </c>
    </row>
    <row r="21" spans="1:12">
      <c r="A21" s="487">
        <v>15</v>
      </c>
      <c r="B21" s="502" t="s">
        <v>531</v>
      </c>
      <c r="C21" s="821">
        <v>13347.43</v>
      </c>
      <c r="D21" s="796">
        <v>13347.43</v>
      </c>
      <c r="E21" s="796">
        <v>0</v>
      </c>
      <c r="F21" s="823">
        <v>0</v>
      </c>
      <c r="G21" s="823">
        <v>0</v>
      </c>
      <c r="H21" s="796">
        <v>49.427596126611142</v>
      </c>
      <c r="I21" s="823">
        <v>49.427596126611142</v>
      </c>
      <c r="J21" s="823">
        <v>0</v>
      </c>
      <c r="K21" s="823">
        <v>0</v>
      </c>
      <c r="L21" s="823">
        <v>0</v>
      </c>
    </row>
    <row r="22" spans="1:12">
      <c r="A22" s="487">
        <v>16</v>
      </c>
      <c r="B22" s="502" t="s">
        <v>532</v>
      </c>
      <c r="C22" s="821">
        <v>0</v>
      </c>
      <c r="D22" s="796">
        <v>0</v>
      </c>
      <c r="E22" s="796">
        <v>0</v>
      </c>
      <c r="F22" s="823">
        <v>0</v>
      </c>
      <c r="G22" s="823">
        <v>0</v>
      </c>
      <c r="H22" s="796">
        <v>0</v>
      </c>
      <c r="I22" s="823">
        <v>0</v>
      </c>
      <c r="J22" s="823">
        <v>0</v>
      </c>
      <c r="K22" s="823">
        <v>0</v>
      </c>
      <c r="L22" s="823">
        <v>0</v>
      </c>
    </row>
    <row r="23" spans="1:12">
      <c r="A23" s="487">
        <v>17</v>
      </c>
      <c r="B23" s="502" t="s">
        <v>533</v>
      </c>
      <c r="C23" s="821">
        <v>0</v>
      </c>
      <c r="D23" s="796">
        <v>0</v>
      </c>
      <c r="E23" s="796">
        <v>0</v>
      </c>
      <c r="F23" s="823">
        <v>0</v>
      </c>
      <c r="G23" s="823">
        <v>0</v>
      </c>
      <c r="H23" s="796">
        <v>0</v>
      </c>
      <c r="I23" s="823">
        <v>0</v>
      </c>
      <c r="J23" s="823">
        <v>0</v>
      </c>
      <c r="K23" s="823">
        <v>0</v>
      </c>
      <c r="L23" s="823">
        <v>0</v>
      </c>
    </row>
    <row r="24" spans="1:12">
      <c r="A24" s="487">
        <v>18</v>
      </c>
      <c r="B24" s="502" t="s">
        <v>534</v>
      </c>
      <c r="C24" s="821">
        <v>36503410.380000003</v>
      </c>
      <c r="D24" s="796">
        <v>36503410.380000003</v>
      </c>
      <c r="E24" s="796">
        <v>0</v>
      </c>
      <c r="F24" s="823">
        <v>0</v>
      </c>
      <c r="G24" s="823">
        <v>0</v>
      </c>
      <c r="H24" s="796">
        <v>464964.95724568208</v>
      </c>
      <c r="I24" s="823">
        <v>464964.95724568208</v>
      </c>
      <c r="J24" s="823">
        <v>0</v>
      </c>
      <c r="K24" s="823">
        <v>0</v>
      </c>
      <c r="L24" s="823">
        <v>0</v>
      </c>
    </row>
    <row r="25" spans="1:12">
      <c r="A25" s="487">
        <v>19</v>
      </c>
      <c r="B25" s="502" t="s">
        <v>535</v>
      </c>
      <c r="C25" s="821">
        <v>6624453.6200000001</v>
      </c>
      <c r="D25" s="796">
        <v>6624453.6200000001</v>
      </c>
      <c r="E25" s="796">
        <v>0</v>
      </c>
      <c r="F25" s="823">
        <v>0</v>
      </c>
      <c r="G25" s="823">
        <v>0</v>
      </c>
      <c r="H25" s="796">
        <v>100679.6977130789</v>
      </c>
      <c r="I25" s="823">
        <v>100679.6977130789</v>
      </c>
      <c r="J25" s="823">
        <v>0</v>
      </c>
      <c r="K25" s="823">
        <v>0</v>
      </c>
      <c r="L25" s="823">
        <v>0</v>
      </c>
    </row>
    <row r="26" spans="1:12">
      <c r="A26" s="487">
        <v>20</v>
      </c>
      <c r="B26" s="502" t="s">
        <v>536</v>
      </c>
      <c r="C26" s="821">
        <v>13232376.119999999</v>
      </c>
      <c r="D26" s="796">
        <v>13193756.129999999</v>
      </c>
      <c r="E26" s="796">
        <v>0</v>
      </c>
      <c r="F26" s="823">
        <v>38619.990000000013</v>
      </c>
      <c r="G26" s="823">
        <v>0</v>
      </c>
      <c r="H26" s="796">
        <v>154309.87172053018</v>
      </c>
      <c r="I26" s="823">
        <v>119436.69703445506</v>
      </c>
      <c r="J26" s="823">
        <v>0</v>
      </c>
      <c r="K26" s="823">
        <v>34873.174686075115</v>
      </c>
      <c r="L26" s="823">
        <v>0</v>
      </c>
    </row>
    <row r="27" spans="1:12">
      <c r="A27" s="487">
        <v>21</v>
      </c>
      <c r="B27" s="502" t="s">
        <v>537</v>
      </c>
      <c r="C27" s="821">
        <v>87809.790000000008</v>
      </c>
      <c r="D27" s="796">
        <v>0</v>
      </c>
      <c r="E27" s="796">
        <v>0</v>
      </c>
      <c r="F27" s="823">
        <v>87809.790000000008</v>
      </c>
      <c r="G27" s="823">
        <v>0</v>
      </c>
      <c r="H27" s="796">
        <v>18585.923882759485</v>
      </c>
      <c r="I27" s="823">
        <v>0</v>
      </c>
      <c r="J27" s="823">
        <v>0</v>
      </c>
      <c r="K27" s="823">
        <v>18585.923882759485</v>
      </c>
      <c r="L27" s="823">
        <v>0</v>
      </c>
    </row>
    <row r="28" spans="1:12">
      <c r="A28" s="487">
        <v>22</v>
      </c>
      <c r="B28" s="502" t="s">
        <v>538</v>
      </c>
      <c r="C28" s="821">
        <v>0</v>
      </c>
      <c r="D28" s="796">
        <v>0</v>
      </c>
      <c r="E28" s="796">
        <v>0</v>
      </c>
      <c r="F28" s="823">
        <v>0</v>
      </c>
      <c r="G28" s="823">
        <v>0</v>
      </c>
      <c r="H28" s="796">
        <v>0</v>
      </c>
      <c r="I28" s="823">
        <v>0</v>
      </c>
      <c r="J28" s="823">
        <v>0</v>
      </c>
      <c r="K28" s="823">
        <v>0</v>
      </c>
      <c r="L28" s="823">
        <v>0</v>
      </c>
    </row>
    <row r="29" spans="1:12">
      <c r="A29" s="487">
        <v>23</v>
      </c>
      <c r="B29" s="502" t="s">
        <v>539</v>
      </c>
      <c r="C29" s="821">
        <v>12840797.857533315</v>
      </c>
      <c r="D29" s="796">
        <v>12523324.647533316</v>
      </c>
      <c r="E29" s="796">
        <v>295364.46999999997</v>
      </c>
      <c r="F29" s="823">
        <v>22108.74</v>
      </c>
      <c r="G29" s="823">
        <v>0</v>
      </c>
      <c r="H29" s="796">
        <v>80236.460472991414</v>
      </c>
      <c r="I29" s="823">
        <v>56075.04962503897</v>
      </c>
      <c r="J29" s="823">
        <v>2052.67084795244</v>
      </c>
      <c r="K29" s="823">
        <v>22108.74</v>
      </c>
      <c r="L29" s="823">
        <v>0</v>
      </c>
    </row>
    <row r="30" spans="1:12">
      <c r="A30" s="487">
        <v>24</v>
      </c>
      <c r="B30" s="502" t="s">
        <v>540</v>
      </c>
      <c r="C30" s="821">
        <v>0</v>
      </c>
      <c r="D30" s="796">
        <v>0</v>
      </c>
      <c r="E30" s="796">
        <v>0</v>
      </c>
      <c r="F30" s="823">
        <v>0</v>
      </c>
      <c r="G30" s="823">
        <v>0</v>
      </c>
      <c r="H30" s="796">
        <v>0</v>
      </c>
      <c r="I30" s="823">
        <v>0</v>
      </c>
      <c r="J30" s="823">
        <v>0</v>
      </c>
      <c r="K30" s="823">
        <v>0</v>
      </c>
      <c r="L30" s="823">
        <v>0</v>
      </c>
    </row>
    <row r="31" spans="1:12">
      <c r="A31" s="487">
        <v>25</v>
      </c>
      <c r="B31" s="502" t="s">
        <v>541</v>
      </c>
      <c r="C31" s="821">
        <v>357080.15</v>
      </c>
      <c r="D31" s="796">
        <v>169904.08000000002</v>
      </c>
      <c r="E31" s="796">
        <v>0</v>
      </c>
      <c r="F31" s="823">
        <v>187176.07</v>
      </c>
      <c r="G31" s="823">
        <v>0</v>
      </c>
      <c r="H31" s="796">
        <v>187187.65850662871</v>
      </c>
      <c r="I31" s="823">
        <v>11.5885066286877</v>
      </c>
      <c r="J31" s="823">
        <v>0</v>
      </c>
      <c r="K31" s="823">
        <v>187176.07</v>
      </c>
      <c r="L31" s="823">
        <v>0</v>
      </c>
    </row>
    <row r="32" spans="1:12">
      <c r="A32" s="487">
        <v>26</v>
      </c>
      <c r="B32" s="502" t="s">
        <v>597</v>
      </c>
      <c r="C32" s="821">
        <v>0</v>
      </c>
      <c r="D32" s="796">
        <v>0</v>
      </c>
      <c r="E32" s="796">
        <v>0</v>
      </c>
      <c r="F32" s="823">
        <v>0</v>
      </c>
      <c r="G32" s="823">
        <v>0</v>
      </c>
      <c r="H32" s="796">
        <v>0</v>
      </c>
      <c r="I32" s="823">
        <v>0</v>
      </c>
      <c r="J32" s="823">
        <v>0</v>
      </c>
      <c r="K32" s="823">
        <v>0</v>
      </c>
      <c r="L32" s="823">
        <v>0</v>
      </c>
    </row>
    <row r="33" spans="1:12">
      <c r="A33" s="487">
        <v>27</v>
      </c>
      <c r="B33" s="562" t="s">
        <v>66</v>
      </c>
      <c r="C33" s="824">
        <f>SUM(C7:C32)</f>
        <v>303300036.72489536</v>
      </c>
      <c r="D33" s="824">
        <f t="shared" ref="D33:L33" si="0">SUM(D7:D32)</f>
        <v>301805691.30489528</v>
      </c>
      <c r="E33" s="824">
        <f t="shared" si="0"/>
        <v>295364.46999999997</v>
      </c>
      <c r="F33" s="824">
        <f t="shared" si="0"/>
        <v>1198980.95</v>
      </c>
      <c r="G33" s="824">
        <f t="shared" si="0"/>
        <v>0</v>
      </c>
      <c r="H33" s="824">
        <f t="shared" si="0"/>
        <v>2694195.3971584528</v>
      </c>
      <c r="I33" s="824">
        <f t="shared" si="0"/>
        <v>1942011.5506502336</v>
      </c>
      <c r="J33" s="824">
        <f t="shared" si="0"/>
        <v>2052.67084795244</v>
      </c>
      <c r="K33" s="824">
        <f t="shared" si="0"/>
        <v>750131.17566026677</v>
      </c>
      <c r="L33" s="824">
        <f t="shared" si="0"/>
        <v>0</v>
      </c>
    </row>
    <row r="34" spans="1:12">
      <c r="A34" s="515"/>
      <c r="B34" s="515"/>
      <c r="C34" s="515"/>
      <c r="D34" s="515"/>
      <c r="E34" s="515"/>
      <c r="H34" s="515"/>
    </row>
    <row r="35" spans="1:12">
      <c r="A35" s="515"/>
      <c r="B35" s="561"/>
      <c r="C35" s="561"/>
      <c r="D35" s="515"/>
      <c r="E35" s="515"/>
      <c r="H35" s="515"/>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3"/>
  <sheetViews>
    <sheetView showGridLines="0" zoomScaleNormal="100" workbookViewId="0">
      <selection activeCell="A5" sqref="A5:B5"/>
    </sheetView>
  </sheetViews>
  <sheetFormatPr defaultColWidth="8.7109375" defaultRowHeight="12"/>
  <cols>
    <col min="1" max="1" width="11.85546875" style="396" bestFit="1" customWidth="1"/>
    <col min="2" max="2" width="70.28515625" style="396" customWidth="1"/>
    <col min="3" max="11" width="28.28515625" style="396" customWidth="1"/>
    <col min="12" max="16384" width="8.7109375" style="396"/>
  </cols>
  <sheetData>
    <row r="1" spans="1:11" s="387" customFormat="1" ht="13.5">
      <c r="A1" s="386" t="s">
        <v>108</v>
      </c>
      <c r="B1" s="636" t="str">
        <f>'1. key ratios'!B1</f>
        <v>სს იშბანკი საქართველო</v>
      </c>
      <c r="C1" s="498"/>
      <c r="D1" s="498"/>
      <c r="E1" s="498"/>
      <c r="F1" s="498"/>
      <c r="G1" s="498"/>
      <c r="H1" s="498"/>
      <c r="I1" s="498"/>
      <c r="J1" s="498"/>
      <c r="K1" s="498"/>
    </row>
    <row r="2" spans="1:11" s="387" customFormat="1" ht="13.5">
      <c r="A2" s="388" t="s">
        <v>109</v>
      </c>
      <c r="B2" s="637">
        <f>'1. key ratios'!B2</f>
        <v>45016</v>
      </c>
      <c r="C2" s="498"/>
      <c r="D2" s="498"/>
      <c r="E2" s="498"/>
      <c r="F2" s="498"/>
      <c r="G2" s="498"/>
      <c r="H2" s="498"/>
      <c r="I2" s="498"/>
      <c r="J2" s="498"/>
      <c r="K2" s="498"/>
    </row>
    <row r="3" spans="1:11" s="387" customFormat="1" ht="12.75">
      <c r="A3" s="389" t="s">
        <v>598</v>
      </c>
      <c r="B3" s="498"/>
      <c r="C3" s="498"/>
      <c r="D3" s="498"/>
      <c r="E3" s="498"/>
      <c r="F3" s="498"/>
      <c r="G3" s="498"/>
      <c r="H3" s="498"/>
      <c r="I3" s="498"/>
      <c r="J3" s="498"/>
      <c r="K3" s="498"/>
    </row>
    <row r="4" spans="1:11">
      <c r="A4" s="568"/>
      <c r="B4" s="568"/>
      <c r="C4" s="567" t="s">
        <v>502</v>
      </c>
      <c r="D4" s="567" t="s">
        <v>503</v>
      </c>
      <c r="E4" s="567" t="s">
        <v>504</v>
      </c>
      <c r="F4" s="567" t="s">
        <v>505</v>
      </c>
      <c r="G4" s="567" t="s">
        <v>506</v>
      </c>
      <c r="H4" s="567" t="s">
        <v>507</v>
      </c>
      <c r="I4" s="567" t="s">
        <v>508</v>
      </c>
      <c r="J4" s="567" t="s">
        <v>509</v>
      </c>
      <c r="K4" s="567" t="s">
        <v>510</v>
      </c>
    </row>
    <row r="5" spans="1:11" ht="104.1" customHeight="1">
      <c r="A5" s="953" t="s">
        <v>906</v>
      </c>
      <c r="B5" s="954"/>
      <c r="C5" s="566" t="s">
        <v>599</v>
      </c>
      <c r="D5" s="566" t="s">
        <v>592</v>
      </c>
      <c r="E5" s="566" t="s">
        <v>593</v>
      </c>
      <c r="F5" s="566" t="s">
        <v>905</v>
      </c>
      <c r="G5" s="566" t="s">
        <v>600</v>
      </c>
      <c r="H5" s="566" t="s">
        <v>601</v>
      </c>
      <c r="I5" s="566" t="s">
        <v>602</v>
      </c>
      <c r="J5" s="566" t="s">
        <v>603</v>
      </c>
      <c r="K5" s="566" t="s">
        <v>604</v>
      </c>
    </row>
    <row r="6" spans="1:11" ht="12.75">
      <c r="A6" s="487">
        <v>1</v>
      </c>
      <c r="B6" s="487" t="s">
        <v>605</v>
      </c>
      <c r="C6" s="796">
        <v>14471209.555132506</v>
      </c>
      <c r="D6" s="796">
        <v>0</v>
      </c>
      <c r="E6" s="796">
        <v>0</v>
      </c>
      <c r="F6" s="796">
        <v>0</v>
      </c>
      <c r="G6" s="796">
        <v>93295168.721662536</v>
      </c>
      <c r="H6" s="796">
        <v>0</v>
      </c>
      <c r="I6" s="796">
        <v>22432674.654660657</v>
      </c>
      <c r="J6" s="796">
        <v>87048950.831652969</v>
      </c>
      <c r="K6" s="796">
        <v>30361127.311235301</v>
      </c>
    </row>
    <row r="7" spans="1:11" ht="12.75">
      <c r="A7" s="487">
        <v>2</v>
      </c>
      <c r="B7" s="488" t="s">
        <v>606</v>
      </c>
      <c r="C7" s="796">
        <v>0</v>
      </c>
      <c r="D7" s="796">
        <v>0</v>
      </c>
      <c r="E7" s="796">
        <v>0</v>
      </c>
      <c r="F7" s="796">
        <v>0</v>
      </c>
      <c r="G7" s="796">
        <v>0</v>
      </c>
      <c r="H7" s="796">
        <v>0</v>
      </c>
      <c r="I7" s="796">
        <v>0</v>
      </c>
      <c r="J7" s="796">
        <v>0</v>
      </c>
      <c r="K7" s="796">
        <v>55690905.650551297</v>
      </c>
    </row>
    <row r="8" spans="1:11" ht="12.75">
      <c r="A8" s="487">
        <v>3</v>
      </c>
      <c r="B8" s="488" t="s">
        <v>570</v>
      </c>
      <c r="C8" s="796">
        <v>1614685.29</v>
      </c>
      <c r="D8" s="796"/>
      <c r="E8" s="796">
        <v>0</v>
      </c>
      <c r="F8" s="796">
        <v>0</v>
      </c>
      <c r="G8" s="796">
        <v>13824522.168733556</v>
      </c>
      <c r="H8" s="796">
        <v>0</v>
      </c>
      <c r="I8" s="796">
        <v>0</v>
      </c>
      <c r="J8" s="796">
        <v>9330444.7106986288</v>
      </c>
      <c r="K8" s="796">
        <v>76884726.240567803</v>
      </c>
    </row>
    <row r="9" spans="1:11" ht="12.75">
      <c r="A9" s="487">
        <v>4</v>
      </c>
      <c r="B9" s="517" t="s">
        <v>904</v>
      </c>
      <c r="C9" s="825">
        <v>0</v>
      </c>
      <c r="D9" s="825"/>
      <c r="E9" s="825">
        <v>0</v>
      </c>
      <c r="F9" s="825">
        <v>0</v>
      </c>
      <c r="G9" s="825">
        <v>545057.80999999994</v>
      </c>
      <c r="H9" s="825">
        <v>0</v>
      </c>
      <c r="I9" s="825">
        <v>0</v>
      </c>
      <c r="J9" s="825">
        <v>249772.66</v>
      </c>
      <c r="K9" s="825">
        <v>404150.47999999975</v>
      </c>
    </row>
    <row r="10" spans="1:11" ht="12.75">
      <c r="A10" s="487">
        <v>5</v>
      </c>
      <c r="B10" s="506" t="s">
        <v>903</v>
      </c>
      <c r="C10" s="825"/>
      <c r="D10" s="825"/>
      <c r="E10" s="825"/>
      <c r="F10" s="825"/>
      <c r="G10" s="825"/>
      <c r="H10" s="825"/>
      <c r="I10" s="825"/>
      <c r="J10" s="825"/>
      <c r="K10" s="825"/>
    </row>
    <row r="11" spans="1:11" ht="12.75">
      <c r="A11" s="487">
        <v>6</v>
      </c>
      <c r="B11" s="506" t="s">
        <v>902</v>
      </c>
      <c r="C11" s="825"/>
      <c r="D11" s="825"/>
      <c r="E11" s="825"/>
      <c r="F11" s="825"/>
      <c r="G11" s="825"/>
      <c r="H11" s="825"/>
      <c r="I11" s="825"/>
      <c r="J11" s="825"/>
      <c r="K11" s="825"/>
    </row>
    <row r="13" spans="1:11" ht="15">
      <c r="B13" s="564"/>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20"/>
  <sheetViews>
    <sheetView showGridLines="0" zoomScaleNormal="100" workbookViewId="0">
      <selection activeCell="A5" sqref="A5:B6"/>
    </sheetView>
  </sheetViews>
  <sheetFormatPr defaultColWidth="8.7109375" defaultRowHeight="15"/>
  <cols>
    <col min="1" max="1" width="10" style="569" bestFit="1" customWidth="1"/>
    <col min="2" max="2" width="71.7109375" style="569" customWidth="1"/>
    <col min="3" max="3" width="10.5703125" style="569" bestFit="1" customWidth="1"/>
    <col min="4" max="5" width="15.140625" style="569" bestFit="1" customWidth="1"/>
    <col min="6" max="6" width="20" style="569" bestFit="1" customWidth="1"/>
    <col min="7" max="7" width="37.5703125" style="569" bestFit="1" customWidth="1"/>
    <col min="8" max="8" width="10.5703125" style="569" bestFit="1" customWidth="1"/>
    <col min="9" max="10" width="15.140625" style="569" bestFit="1" customWidth="1"/>
    <col min="11" max="11" width="20" style="569" bestFit="1" customWidth="1"/>
    <col min="12" max="12" width="37.5703125" style="569" bestFit="1" customWidth="1"/>
    <col min="13" max="13" width="10.5703125" style="569" bestFit="1" customWidth="1"/>
    <col min="14" max="15" width="15.140625" style="569" bestFit="1" customWidth="1"/>
    <col min="16" max="16" width="20" style="569" bestFit="1" customWidth="1"/>
    <col min="17" max="17" width="37.5703125" style="569" bestFit="1" customWidth="1"/>
    <col min="18" max="18" width="18" style="569" bestFit="1" customWidth="1"/>
    <col min="19" max="19" width="48" style="569" bestFit="1" customWidth="1"/>
    <col min="20" max="20" width="45.85546875" style="569" bestFit="1" customWidth="1"/>
    <col min="21" max="21" width="48" style="569" bestFit="1" customWidth="1"/>
    <col min="22" max="22" width="44.42578125" style="569" bestFit="1" customWidth="1"/>
    <col min="23" max="16384" width="8.7109375" style="569"/>
  </cols>
  <sheetData>
    <row r="1" spans="1:22">
      <c r="A1" s="386" t="s">
        <v>108</v>
      </c>
      <c r="B1" s="636" t="str">
        <f>'1. key ratios'!B1</f>
        <v>სს იშბანკი საქართველო</v>
      </c>
    </row>
    <row r="2" spans="1:22">
      <c r="A2" s="388" t="s">
        <v>109</v>
      </c>
      <c r="B2" s="637">
        <f>'1. key ratios'!B2</f>
        <v>45016</v>
      </c>
    </row>
    <row r="3" spans="1:22">
      <c r="A3" s="389" t="s">
        <v>689</v>
      </c>
      <c r="B3" s="498"/>
    </row>
    <row r="4" spans="1:22">
      <c r="A4" s="389"/>
      <c r="B4" s="498"/>
    </row>
    <row r="5" spans="1:22" ht="24" customHeight="1">
      <c r="A5" s="955" t="s">
        <v>716</v>
      </c>
      <c r="B5" s="955"/>
      <c r="C5" s="957" t="s">
        <v>908</v>
      </c>
      <c r="D5" s="957"/>
      <c r="E5" s="957"/>
      <c r="F5" s="957"/>
      <c r="G5" s="957"/>
      <c r="H5" s="957" t="s">
        <v>596</v>
      </c>
      <c r="I5" s="957"/>
      <c r="J5" s="957"/>
      <c r="K5" s="957"/>
      <c r="L5" s="957"/>
      <c r="M5" s="957" t="s">
        <v>907</v>
      </c>
      <c r="N5" s="957"/>
      <c r="O5" s="957"/>
      <c r="P5" s="957"/>
      <c r="Q5" s="957"/>
      <c r="R5" s="956" t="s">
        <v>715</v>
      </c>
      <c r="S5" s="956" t="s">
        <v>719</v>
      </c>
      <c r="T5" s="956" t="s">
        <v>718</v>
      </c>
      <c r="U5" s="956" t="s">
        <v>955</v>
      </c>
      <c r="V5" s="956" t="s">
        <v>956</v>
      </c>
    </row>
    <row r="6" spans="1:22" ht="36" customHeight="1">
      <c r="A6" s="955"/>
      <c r="B6" s="955"/>
      <c r="C6" s="579"/>
      <c r="D6" s="496" t="s">
        <v>892</v>
      </c>
      <c r="E6" s="496" t="s">
        <v>891</v>
      </c>
      <c r="F6" s="496" t="s">
        <v>890</v>
      </c>
      <c r="G6" s="496" t="s">
        <v>889</v>
      </c>
      <c r="H6" s="579"/>
      <c r="I6" s="496" t="s">
        <v>892</v>
      </c>
      <c r="J6" s="496" t="s">
        <v>891</v>
      </c>
      <c r="K6" s="496" t="s">
        <v>890</v>
      </c>
      <c r="L6" s="496" t="s">
        <v>889</v>
      </c>
      <c r="M6" s="579"/>
      <c r="N6" s="496" t="s">
        <v>892</v>
      </c>
      <c r="O6" s="496" t="s">
        <v>891</v>
      </c>
      <c r="P6" s="496" t="s">
        <v>890</v>
      </c>
      <c r="Q6" s="496" t="s">
        <v>889</v>
      </c>
      <c r="R6" s="956"/>
      <c r="S6" s="956"/>
      <c r="T6" s="956"/>
      <c r="U6" s="956"/>
      <c r="V6" s="956"/>
    </row>
    <row r="7" spans="1:22">
      <c r="A7" s="577">
        <v>1</v>
      </c>
      <c r="B7" s="578" t="s">
        <v>690</v>
      </c>
      <c r="C7" s="825">
        <v>0</v>
      </c>
      <c r="D7" s="825">
        <v>0</v>
      </c>
      <c r="E7" s="825">
        <v>0</v>
      </c>
      <c r="F7" s="825">
        <v>0</v>
      </c>
      <c r="G7" s="825">
        <v>0</v>
      </c>
      <c r="H7" s="825">
        <v>0</v>
      </c>
      <c r="I7" s="825">
        <v>0</v>
      </c>
      <c r="J7" s="825">
        <v>0</v>
      </c>
      <c r="K7" s="825">
        <v>0</v>
      </c>
      <c r="L7" s="825">
        <v>0</v>
      </c>
      <c r="M7" s="825">
        <v>0</v>
      </c>
      <c r="N7" s="825">
        <v>0</v>
      </c>
      <c r="O7" s="825">
        <v>0</v>
      </c>
      <c r="P7" s="825">
        <v>0</v>
      </c>
      <c r="Q7" s="825">
        <v>0</v>
      </c>
      <c r="R7" s="825"/>
      <c r="S7" s="826"/>
      <c r="T7" s="826"/>
      <c r="U7" s="826"/>
      <c r="V7" s="825"/>
    </row>
    <row r="8" spans="1:22">
      <c r="A8" s="577">
        <v>2</v>
      </c>
      <c r="B8" s="576" t="s">
        <v>691</v>
      </c>
      <c r="C8" s="825">
        <v>4275326.2699999996</v>
      </c>
      <c r="D8" s="825">
        <v>3971098.89</v>
      </c>
      <c r="E8" s="825">
        <v>0</v>
      </c>
      <c r="F8" s="825">
        <v>304227.37999999995</v>
      </c>
      <c r="G8" s="825">
        <v>0</v>
      </c>
      <c r="H8" s="825">
        <v>4312006.6399999997</v>
      </c>
      <c r="I8" s="825">
        <v>3994127.77</v>
      </c>
      <c r="J8" s="825">
        <v>0</v>
      </c>
      <c r="K8" s="825">
        <v>317878.86999999994</v>
      </c>
      <c r="L8" s="825">
        <v>0</v>
      </c>
      <c r="M8" s="825">
        <v>356224.74874885858</v>
      </c>
      <c r="N8" s="825">
        <v>91246.671321422546</v>
      </c>
      <c r="O8" s="825">
        <v>0</v>
      </c>
      <c r="P8" s="825">
        <v>264978.07742743613</v>
      </c>
      <c r="Q8" s="825">
        <v>0</v>
      </c>
      <c r="R8" s="825">
        <v>130</v>
      </c>
      <c r="S8" s="826">
        <v>0.12065824080605</v>
      </c>
      <c r="T8" s="826">
        <v>0.1623</v>
      </c>
      <c r="U8" s="826">
        <v>0.13100638116665653</v>
      </c>
      <c r="V8" s="825">
        <v>37.976189459570733</v>
      </c>
    </row>
    <row r="9" spans="1:22">
      <c r="A9" s="577">
        <v>3</v>
      </c>
      <c r="B9" s="576" t="s">
        <v>692</v>
      </c>
      <c r="C9" s="825">
        <v>0</v>
      </c>
      <c r="D9" s="825">
        <v>0</v>
      </c>
      <c r="E9" s="825">
        <v>0</v>
      </c>
      <c r="F9" s="825">
        <v>0</v>
      </c>
      <c r="G9" s="825">
        <v>0</v>
      </c>
      <c r="H9" s="825">
        <v>0</v>
      </c>
      <c r="I9" s="825">
        <v>0</v>
      </c>
      <c r="J9" s="825">
        <v>0</v>
      </c>
      <c r="K9" s="825">
        <v>0</v>
      </c>
      <c r="L9" s="825">
        <v>0</v>
      </c>
      <c r="M9" s="825">
        <v>0</v>
      </c>
      <c r="N9" s="825">
        <v>0</v>
      </c>
      <c r="O9" s="825">
        <v>0</v>
      </c>
      <c r="P9" s="825">
        <v>0</v>
      </c>
      <c r="Q9" s="825">
        <v>0</v>
      </c>
      <c r="R9" s="825"/>
      <c r="S9" s="826"/>
      <c r="T9" s="826"/>
      <c r="U9" s="826"/>
      <c r="V9" s="825"/>
    </row>
    <row r="10" spans="1:22">
      <c r="A10" s="577">
        <v>4</v>
      </c>
      <c r="B10" s="576" t="s">
        <v>693</v>
      </c>
      <c r="C10" s="825">
        <v>0</v>
      </c>
      <c r="D10" s="825">
        <v>0</v>
      </c>
      <c r="E10" s="825">
        <v>0</v>
      </c>
      <c r="F10" s="825">
        <v>0</v>
      </c>
      <c r="G10" s="825">
        <v>0</v>
      </c>
      <c r="H10" s="825">
        <v>0</v>
      </c>
      <c r="I10" s="825">
        <v>0</v>
      </c>
      <c r="J10" s="825">
        <v>0</v>
      </c>
      <c r="K10" s="825">
        <v>0</v>
      </c>
      <c r="L10" s="825">
        <v>0</v>
      </c>
      <c r="M10" s="825">
        <v>0</v>
      </c>
      <c r="N10" s="825">
        <v>0</v>
      </c>
      <c r="O10" s="825">
        <v>0</v>
      </c>
      <c r="P10" s="825">
        <v>0</v>
      </c>
      <c r="Q10" s="825">
        <v>0</v>
      </c>
      <c r="R10" s="825"/>
      <c r="S10" s="826"/>
      <c r="T10" s="826"/>
      <c r="U10" s="826"/>
      <c r="V10" s="825"/>
    </row>
    <row r="11" spans="1:22">
      <c r="A11" s="577">
        <v>5</v>
      </c>
      <c r="B11" s="576" t="s">
        <v>694</v>
      </c>
      <c r="C11" s="825">
        <v>36046.560000000005</v>
      </c>
      <c r="D11" s="825">
        <v>33174.269999999997</v>
      </c>
      <c r="E11" s="825">
        <v>0</v>
      </c>
      <c r="F11" s="825">
        <v>2872.29</v>
      </c>
      <c r="G11" s="825">
        <v>0</v>
      </c>
      <c r="H11" s="825">
        <v>36431.640000000007</v>
      </c>
      <c r="I11" s="825">
        <v>33536.5</v>
      </c>
      <c r="J11" s="825">
        <v>0</v>
      </c>
      <c r="K11" s="825">
        <v>2895.14</v>
      </c>
      <c r="L11" s="825">
        <v>0</v>
      </c>
      <c r="M11" s="825">
        <v>5034.1081868220926</v>
      </c>
      <c r="N11" s="825">
        <v>2161.8181868220927</v>
      </c>
      <c r="O11" s="825">
        <v>0</v>
      </c>
      <c r="P11" s="825">
        <v>2872.29</v>
      </c>
      <c r="Q11" s="825">
        <v>0</v>
      </c>
      <c r="R11" s="825">
        <v>37</v>
      </c>
      <c r="S11" s="826">
        <v>0.14151338713042239</v>
      </c>
      <c r="T11" s="826">
        <v>0.18</v>
      </c>
      <c r="U11" s="826">
        <v>0.14151338713042244</v>
      </c>
      <c r="V11" s="825">
        <v>0</v>
      </c>
    </row>
    <row r="12" spans="1:22">
      <c r="A12" s="577">
        <v>6</v>
      </c>
      <c r="B12" s="576" t="s">
        <v>695</v>
      </c>
      <c r="C12" s="825">
        <v>0</v>
      </c>
      <c r="D12" s="825">
        <v>0</v>
      </c>
      <c r="E12" s="825">
        <v>0</v>
      </c>
      <c r="F12" s="825">
        <v>0</v>
      </c>
      <c r="G12" s="825">
        <v>0</v>
      </c>
      <c r="H12" s="825">
        <v>0</v>
      </c>
      <c r="I12" s="825">
        <v>0</v>
      </c>
      <c r="J12" s="825">
        <v>0</v>
      </c>
      <c r="K12" s="825">
        <v>0</v>
      </c>
      <c r="L12" s="825">
        <v>0</v>
      </c>
      <c r="M12" s="825">
        <v>0</v>
      </c>
      <c r="N12" s="825">
        <v>0</v>
      </c>
      <c r="O12" s="825">
        <v>0</v>
      </c>
      <c r="P12" s="825">
        <v>0</v>
      </c>
      <c r="Q12" s="825">
        <v>0</v>
      </c>
      <c r="R12" s="825"/>
      <c r="S12" s="826"/>
      <c r="T12" s="826"/>
      <c r="U12" s="826"/>
      <c r="V12" s="825"/>
    </row>
    <row r="13" spans="1:22">
      <c r="A13" s="577">
        <v>7</v>
      </c>
      <c r="B13" s="576" t="s">
        <v>696</v>
      </c>
      <c r="C13" s="827">
        <v>4018822.4200000004</v>
      </c>
      <c r="D13" s="827">
        <v>3714219.7399999998</v>
      </c>
      <c r="E13" s="827">
        <v>0</v>
      </c>
      <c r="F13" s="827">
        <v>304602.68</v>
      </c>
      <c r="G13" s="827">
        <v>0</v>
      </c>
      <c r="H13" s="827">
        <v>4057187.2900000005</v>
      </c>
      <c r="I13" s="827">
        <v>3741457.2699999996</v>
      </c>
      <c r="J13" s="827">
        <v>0</v>
      </c>
      <c r="K13" s="827">
        <v>315730.02</v>
      </c>
      <c r="L13" s="827">
        <v>0</v>
      </c>
      <c r="M13" s="827">
        <v>212775.73606863653</v>
      </c>
      <c r="N13" s="827">
        <v>68409.691990982319</v>
      </c>
      <c r="O13" s="827">
        <v>0</v>
      </c>
      <c r="P13" s="827">
        <v>144366.04407765425</v>
      </c>
      <c r="Q13" s="827">
        <v>0</v>
      </c>
      <c r="R13" s="827">
        <v>30</v>
      </c>
      <c r="S13" s="826"/>
      <c r="T13" s="826"/>
      <c r="U13" s="826">
        <v>0.13322526833827114</v>
      </c>
      <c r="V13" s="825">
        <v>88.84858863474409</v>
      </c>
    </row>
    <row r="14" spans="1:22">
      <c r="A14" s="571">
        <v>7.1</v>
      </c>
      <c r="B14" s="570" t="s">
        <v>697</v>
      </c>
      <c r="C14" s="825">
        <v>3147077.0900000003</v>
      </c>
      <c r="D14" s="825">
        <v>2893870.63</v>
      </c>
      <c r="E14" s="825">
        <v>0</v>
      </c>
      <c r="F14" s="825">
        <v>253206.46</v>
      </c>
      <c r="G14" s="825">
        <v>0</v>
      </c>
      <c r="H14" s="825">
        <v>3181173.1900000004</v>
      </c>
      <c r="I14" s="825">
        <v>2916839.3899999997</v>
      </c>
      <c r="J14" s="825">
        <v>0</v>
      </c>
      <c r="K14" s="825">
        <v>264333.8</v>
      </c>
      <c r="L14" s="825">
        <v>0</v>
      </c>
      <c r="M14" s="825">
        <v>147289.71696228685</v>
      </c>
      <c r="N14" s="825">
        <v>54319.892884632645</v>
      </c>
      <c r="O14" s="825">
        <v>0</v>
      </c>
      <c r="P14" s="825">
        <v>92969.824077654252</v>
      </c>
      <c r="Q14" s="825">
        <v>0</v>
      </c>
      <c r="R14" s="825">
        <v>23</v>
      </c>
      <c r="S14" s="826">
        <v>0.13227853280563143</v>
      </c>
      <c r="T14" s="826">
        <v>0.1467</v>
      </c>
      <c r="U14" s="826">
        <v>0.13466892126542784</v>
      </c>
      <c r="V14" s="825">
        <v>79.734348480905297</v>
      </c>
    </row>
    <row r="15" spans="1:22" ht="25.5">
      <c r="A15" s="571">
        <v>7.2</v>
      </c>
      <c r="B15" s="570" t="s">
        <v>698</v>
      </c>
      <c r="C15" s="825">
        <v>871745.33</v>
      </c>
      <c r="D15" s="825">
        <v>820349.11</v>
      </c>
      <c r="E15" s="825">
        <v>0</v>
      </c>
      <c r="F15" s="825">
        <v>51396.22</v>
      </c>
      <c r="G15" s="825">
        <v>0</v>
      </c>
      <c r="H15" s="825">
        <v>876014.1</v>
      </c>
      <c r="I15" s="825">
        <v>824617.88</v>
      </c>
      <c r="J15" s="825">
        <v>0</v>
      </c>
      <c r="K15" s="825">
        <v>51396.22</v>
      </c>
      <c r="L15" s="825">
        <v>0</v>
      </c>
      <c r="M15" s="825">
        <v>65486.019106349668</v>
      </c>
      <c r="N15" s="825">
        <v>14089.799106349674</v>
      </c>
      <c r="O15" s="825">
        <v>0</v>
      </c>
      <c r="P15" s="825">
        <v>51396.22</v>
      </c>
      <c r="Q15" s="825">
        <v>0</v>
      </c>
      <c r="R15" s="825">
        <v>7</v>
      </c>
      <c r="S15" s="826"/>
      <c r="T15" s="826"/>
      <c r="U15" s="826">
        <v>0.12801355466844688</v>
      </c>
      <c r="V15" s="825">
        <v>121.75179487377733</v>
      </c>
    </row>
    <row r="16" spans="1:22">
      <c r="A16" s="571">
        <v>7.3</v>
      </c>
      <c r="B16" s="570" t="s">
        <v>699</v>
      </c>
      <c r="C16" s="825">
        <v>0</v>
      </c>
      <c r="D16" s="825">
        <v>0</v>
      </c>
      <c r="E16" s="825">
        <v>0</v>
      </c>
      <c r="F16" s="825">
        <v>0</v>
      </c>
      <c r="G16" s="825">
        <v>0</v>
      </c>
      <c r="H16" s="825">
        <v>0</v>
      </c>
      <c r="I16" s="825">
        <v>0</v>
      </c>
      <c r="J16" s="825">
        <v>0</v>
      </c>
      <c r="K16" s="825">
        <v>0</v>
      </c>
      <c r="L16" s="825">
        <v>0</v>
      </c>
      <c r="M16" s="825">
        <v>0</v>
      </c>
      <c r="N16" s="825">
        <v>0</v>
      </c>
      <c r="O16" s="825">
        <v>0</v>
      </c>
      <c r="P16" s="825">
        <v>0</v>
      </c>
      <c r="Q16" s="825">
        <v>0</v>
      </c>
      <c r="R16" s="825"/>
      <c r="S16" s="826"/>
      <c r="T16" s="826"/>
      <c r="U16" s="826"/>
      <c r="V16" s="825"/>
    </row>
    <row r="17" spans="1:22">
      <c r="A17" s="577">
        <v>8</v>
      </c>
      <c r="B17" s="576" t="s">
        <v>700</v>
      </c>
      <c r="C17" s="825">
        <v>0</v>
      </c>
      <c r="D17" s="825">
        <v>0</v>
      </c>
      <c r="E17" s="825">
        <v>0</v>
      </c>
      <c r="F17" s="825">
        <v>0</v>
      </c>
      <c r="G17" s="825">
        <v>0</v>
      </c>
      <c r="H17" s="825">
        <v>0</v>
      </c>
      <c r="I17" s="825">
        <v>0</v>
      </c>
      <c r="J17" s="825">
        <v>0</v>
      </c>
      <c r="K17" s="825">
        <v>0</v>
      </c>
      <c r="L17" s="825">
        <v>0</v>
      </c>
      <c r="M17" s="825">
        <v>0</v>
      </c>
      <c r="N17" s="825">
        <v>0</v>
      </c>
      <c r="O17" s="825">
        <v>0</v>
      </c>
      <c r="P17" s="825">
        <v>0</v>
      </c>
      <c r="Q17" s="825">
        <v>0</v>
      </c>
      <c r="R17" s="825"/>
      <c r="S17" s="826"/>
      <c r="T17" s="826"/>
      <c r="U17" s="826"/>
      <c r="V17" s="825"/>
    </row>
    <row r="18" spans="1:22">
      <c r="A18" s="575">
        <v>9</v>
      </c>
      <c r="B18" s="574" t="s">
        <v>701</v>
      </c>
      <c r="C18" s="828">
        <v>0</v>
      </c>
      <c r="D18" s="828">
        <v>0</v>
      </c>
      <c r="E18" s="828">
        <v>0</v>
      </c>
      <c r="F18" s="828">
        <v>0</v>
      </c>
      <c r="G18" s="828">
        <v>0</v>
      </c>
      <c r="H18" s="828">
        <v>0</v>
      </c>
      <c r="I18" s="828">
        <v>0</v>
      </c>
      <c r="J18" s="828">
        <v>0</v>
      </c>
      <c r="K18" s="828">
        <v>0</v>
      </c>
      <c r="L18" s="828">
        <v>0</v>
      </c>
      <c r="M18" s="828">
        <v>0</v>
      </c>
      <c r="N18" s="828">
        <v>0</v>
      </c>
      <c r="O18" s="828">
        <v>0</v>
      </c>
      <c r="P18" s="828">
        <v>0</v>
      </c>
      <c r="Q18" s="828">
        <v>0</v>
      </c>
      <c r="R18" s="828"/>
      <c r="S18" s="829"/>
      <c r="T18" s="829"/>
      <c r="U18" s="829"/>
      <c r="V18" s="828"/>
    </row>
    <row r="19" spans="1:22">
      <c r="A19" s="573">
        <v>10</v>
      </c>
      <c r="B19" s="572" t="s">
        <v>717</v>
      </c>
      <c r="C19" s="827">
        <v>8330195.25</v>
      </c>
      <c r="D19" s="827">
        <v>7718492.9000000004</v>
      </c>
      <c r="E19" s="827">
        <v>0</v>
      </c>
      <c r="F19" s="827">
        <v>611702.34999999986</v>
      </c>
      <c r="G19" s="827">
        <v>0</v>
      </c>
      <c r="H19" s="827">
        <v>8405625.5700000003</v>
      </c>
      <c r="I19" s="827">
        <v>7769121.5399999991</v>
      </c>
      <c r="J19" s="827">
        <v>0</v>
      </c>
      <c r="K19" s="827">
        <v>636504.03</v>
      </c>
      <c r="L19" s="827">
        <v>0</v>
      </c>
      <c r="M19" s="827">
        <v>574034.59300431726</v>
      </c>
      <c r="N19" s="827">
        <v>161818.18149922695</v>
      </c>
      <c r="O19" s="827">
        <v>0</v>
      </c>
      <c r="P19" s="827">
        <v>412216.41150509036</v>
      </c>
      <c r="Q19" s="827">
        <v>0</v>
      </c>
      <c r="R19" s="827">
        <v>197</v>
      </c>
      <c r="S19" s="826">
        <v>0.12480544089731467</v>
      </c>
      <c r="T19" s="826">
        <v>0.13949853618665181</v>
      </c>
      <c r="U19" s="826">
        <v>0.13212232799078757</v>
      </c>
      <c r="V19" s="825">
        <v>62.354756981436445</v>
      </c>
    </row>
    <row r="20" spans="1:22" ht="25.5">
      <c r="A20" s="571">
        <v>10.1</v>
      </c>
      <c r="B20" s="570" t="s">
        <v>720</v>
      </c>
      <c r="C20" s="565"/>
      <c r="D20" s="565"/>
      <c r="E20" s="565"/>
      <c r="F20" s="565"/>
      <c r="G20" s="565"/>
      <c r="H20" s="565"/>
      <c r="I20" s="565"/>
      <c r="J20" s="565"/>
      <c r="K20" s="565"/>
      <c r="L20" s="565"/>
      <c r="M20" s="565"/>
      <c r="N20" s="565"/>
      <c r="O20" s="565"/>
      <c r="P20" s="565"/>
      <c r="Q20" s="565"/>
      <c r="R20" s="565"/>
      <c r="S20" s="565"/>
      <c r="T20" s="565"/>
      <c r="U20" s="565"/>
      <c r="V20" s="565"/>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9"/>
  <sheetViews>
    <sheetView showGridLines="0" topLeftCell="A28" zoomScale="90" zoomScaleNormal="90" workbookViewId="0">
      <selection activeCell="B1" sqref="B1:B2"/>
    </sheetView>
  </sheetViews>
  <sheetFormatPr defaultRowHeight="15"/>
  <cols>
    <col min="1" max="1" width="8.7109375" style="466"/>
    <col min="2" max="2" width="69.28515625" style="439" customWidth="1"/>
    <col min="3" max="3" width="16.140625" bestFit="1" customWidth="1"/>
    <col min="4" max="5" width="16.28515625" bestFit="1" customWidth="1"/>
    <col min="6" max="6" width="6.85546875" bestFit="1" customWidth="1"/>
    <col min="7" max="7" width="13" bestFit="1" customWidth="1"/>
    <col min="8" max="8" width="5.85546875" bestFit="1" customWidth="1"/>
  </cols>
  <sheetData>
    <row r="1" spans="1:8" ht="15.75">
      <c r="A1" s="17" t="s">
        <v>108</v>
      </c>
      <c r="B1" s="636" t="str">
        <f>'1. key ratios'!B1</f>
        <v>სს იშბანკი საქართველო</v>
      </c>
      <c r="C1" s="16"/>
      <c r="D1" s="222"/>
      <c r="E1" s="222"/>
      <c r="F1" s="222"/>
      <c r="G1" s="222"/>
    </row>
    <row r="2" spans="1:8" ht="15.75">
      <c r="A2" s="17" t="s">
        <v>109</v>
      </c>
      <c r="B2" s="637">
        <f>'1. key ratios'!B2</f>
        <v>45016</v>
      </c>
      <c r="C2" s="29"/>
      <c r="D2" s="18"/>
      <c r="E2" s="18"/>
      <c r="F2" s="18"/>
      <c r="G2" s="18"/>
      <c r="H2" s="1"/>
    </row>
    <row r="3" spans="1:8" ht="15.75">
      <c r="A3" s="17"/>
      <c r="B3" s="16"/>
      <c r="C3" s="29"/>
      <c r="D3" s="18"/>
      <c r="E3" s="18"/>
      <c r="F3" s="18"/>
      <c r="G3" s="18"/>
      <c r="H3" s="1"/>
    </row>
    <row r="4" spans="1:8" ht="21" customHeight="1">
      <c r="A4" s="844" t="s">
        <v>25</v>
      </c>
      <c r="B4" s="845" t="s">
        <v>729</v>
      </c>
      <c r="C4" s="847" t="s">
        <v>114</v>
      </c>
      <c r="D4" s="847"/>
      <c r="E4" s="847"/>
      <c r="F4" s="847" t="s">
        <v>115</v>
      </c>
      <c r="G4" s="847"/>
      <c r="H4" s="848"/>
    </row>
    <row r="5" spans="1:8" ht="21" customHeight="1">
      <c r="A5" s="844"/>
      <c r="B5" s="846"/>
      <c r="C5" s="408" t="s">
        <v>26</v>
      </c>
      <c r="D5" s="408" t="s">
        <v>88</v>
      </c>
      <c r="E5" s="408" t="s">
        <v>66</v>
      </c>
      <c r="F5" s="408" t="s">
        <v>26</v>
      </c>
      <c r="G5" s="408" t="s">
        <v>88</v>
      </c>
      <c r="H5" s="408" t="s">
        <v>66</v>
      </c>
    </row>
    <row r="6" spans="1:8" ht="26.45" customHeight="1">
      <c r="A6" s="844"/>
      <c r="B6" s="409" t="s">
        <v>95</v>
      </c>
      <c r="C6" s="849"/>
      <c r="D6" s="850"/>
      <c r="E6" s="850"/>
      <c r="F6" s="850"/>
      <c r="G6" s="850"/>
      <c r="H6" s="851"/>
    </row>
    <row r="7" spans="1:8" ht="23.1" customHeight="1">
      <c r="A7" s="456">
        <v>1</v>
      </c>
      <c r="B7" s="410" t="s">
        <v>843</v>
      </c>
      <c r="C7" s="676">
        <f>SUM(C8:C10)</f>
        <v>3520195.4863833678</v>
      </c>
      <c r="D7" s="676">
        <f>SUM(D8:D10)</f>
        <v>115893830.75512892</v>
      </c>
      <c r="E7" s="677">
        <f>C7+D7</f>
        <v>119414026.24151228</v>
      </c>
      <c r="F7" s="676">
        <f>SUM(F8:F10)</f>
        <v>0</v>
      </c>
      <c r="G7" s="676">
        <f>SUM(G8:G10)</f>
        <v>0</v>
      </c>
      <c r="H7" s="677">
        <f>F7+G7</f>
        <v>0</v>
      </c>
    </row>
    <row r="8" spans="1:8">
      <c r="A8" s="456">
        <v>1.1000000000000001</v>
      </c>
      <c r="B8" s="411" t="s">
        <v>96</v>
      </c>
      <c r="C8" s="676">
        <v>239701.2</v>
      </c>
      <c r="D8" s="676">
        <v>2641053.62</v>
      </c>
      <c r="E8" s="677">
        <f t="shared" ref="E8:E36" si="0">C8+D8</f>
        <v>2880754.8200000003</v>
      </c>
      <c r="F8" s="676"/>
      <c r="G8" s="676"/>
      <c r="H8" s="677">
        <f t="shared" ref="H8:H36" si="1">F8+G8</f>
        <v>0</v>
      </c>
    </row>
    <row r="9" spans="1:8">
      <c r="A9" s="456">
        <v>1.2</v>
      </c>
      <c r="B9" s="411" t="s">
        <v>97</v>
      </c>
      <c r="C9" s="676">
        <v>1775327.5424643408</v>
      </c>
      <c r="D9" s="676">
        <v>41013610.750145569</v>
      </c>
      <c r="E9" s="677">
        <f t="shared" si="0"/>
        <v>42788938.292609908</v>
      </c>
      <c r="F9" s="676"/>
      <c r="G9" s="676"/>
      <c r="H9" s="677">
        <f t="shared" si="1"/>
        <v>0</v>
      </c>
    </row>
    <row r="10" spans="1:8">
      <c r="A10" s="456">
        <v>1.3</v>
      </c>
      <c r="B10" s="411" t="s">
        <v>98</v>
      </c>
      <c r="C10" s="676">
        <v>1505166.743919027</v>
      </c>
      <c r="D10" s="676">
        <v>72239166.384983361</v>
      </c>
      <c r="E10" s="677">
        <f t="shared" si="0"/>
        <v>73744333.128902391</v>
      </c>
      <c r="F10" s="676"/>
      <c r="G10" s="676"/>
      <c r="H10" s="677">
        <f t="shared" si="1"/>
        <v>0</v>
      </c>
    </row>
    <row r="11" spans="1:8">
      <c r="A11" s="456">
        <v>2</v>
      </c>
      <c r="B11" s="412" t="s">
        <v>730</v>
      </c>
      <c r="C11" s="676"/>
      <c r="D11" s="676"/>
      <c r="E11" s="677">
        <f t="shared" si="0"/>
        <v>0</v>
      </c>
      <c r="F11" s="676"/>
      <c r="G11" s="676"/>
      <c r="H11" s="677">
        <f t="shared" si="1"/>
        <v>0</v>
      </c>
    </row>
    <row r="12" spans="1:8">
      <c r="A12" s="456">
        <v>2.1</v>
      </c>
      <c r="B12" s="413" t="s">
        <v>731</v>
      </c>
      <c r="C12" s="676"/>
      <c r="D12" s="676"/>
      <c r="E12" s="677">
        <f t="shared" si="0"/>
        <v>0</v>
      </c>
      <c r="F12" s="676"/>
      <c r="G12" s="676"/>
      <c r="H12" s="677">
        <f t="shared" si="1"/>
        <v>0</v>
      </c>
    </row>
    <row r="13" spans="1:8" ht="26.45" customHeight="1">
      <c r="A13" s="456">
        <v>3</v>
      </c>
      <c r="B13" s="414" t="s">
        <v>732</v>
      </c>
      <c r="C13" s="676"/>
      <c r="D13" s="676"/>
      <c r="E13" s="677">
        <f t="shared" si="0"/>
        <v>0</v>
      </c>
      <c r="F13" s="676"/>
      <c r="G13" s="676"/>
      <c r="H13" s="677">
        <f t="shared" si="1"/>
        <v>0</v>
      </c>
    </row>
    <row r="14" spans="1:8" ht="26.45" customHeight="1">
      <c r="A14" s="456">
        <v>4</v>
      </c>
      <c r="B14" s="415" t="s">
        <v>733</v>
      </c>
      <c r="C14" s="676"/>
      <c r="D14" s="676"/>
      <c r="E14" s="677">
        <f t="shared" si="0"/>
        <v>0</v>
      </c>
      <c r="F14" s="676"/>
      <c r="G14" s="676"/>
      <c r="H14" s="677">
        <f t="shared" si="1"/>
        <v>0</v>
      </c>
    </row>
    <row r="15" spans="1:8" ht="24.6" customHeight="1">
      <c r="A15" s="456">
        <v>5</v>
      </c>
      <c r="B15" s="415" t="s">
        <v>734</v>
      </c>
      <c r="C15" s="678">
        <f>SUM(C16:C18)</f>
        <v>0</v>
      </c>
      <c r="D15" s="678">
        <f>SUM(D16:D18)</f>
        <v>1422190.4432785469</v>
      </c>
      <c r="E15" s="679">
        <f t="shared" si="0"/>
        <v>1422190.4432785469</v>
      </c>
      <c r="F15" s="678">
        <f>SUM(F16:F18)</f>
        <v>0</v>
      </c>
      <c r="G15" s="678">
        <f>SUM(G16:G18)</f>
        <v>0</v>
      </c>
      <c r="H15" s="679">
        <f t="shared" si="1"/>
        <v>0</v>
      </c>
    </row>
    <row r="16" spans="1:8">
      <c r="A16" s="456">
        <v>5.0999999999999996</v>
      </c>
      <c r="B16" s="416" t="s">
        <v>735</v>
      </c>
      <c r="C16" s="676"/>
      <c r="D16" s="676"/>
      <c r="E16" s="677">
        <f t="shared" si="0"/>
        <v>0</v>
      </c>
      <c r="F16" s="676"/>
      <c r="G16" s="676"/>
      <c r="H16" s="677">
        <f t="shared" si="1"/>
        <v>0</v>
      </c>
    </row>
    <row r="17" spans="1:8">
      <c r="A17" s="456">
        <v>5.2</v>
      </c>
      <c r="B17" s="416" t="s">
        <v>569</v>
      </c>
      <c r="C17" s="676"/>
      <c r="D17" s="676">
        <v>1422190.4432785469</v>
      </c>
      <c r="E17" s="677">
        <f t="shared" si="0"/>
        <v>1422190.4432785469</v>
      </c>
      <c r="F17" s="676"/>
      <c r="G17" s="676"/>
      <c r="H17" s="677">
        <f t="shared" si="1"/>
        <v>0</v>
      </c>
    </row>
    <row r="18" spans="1:8">
      <c r="A18" s="456">
        <v>5.3</v>
      </c>
      <c r="B18" s="416" t="s">
        <v>736</v>
      </c>
      <c r="C18" s="676"/>
      <c r="D18" s="676"/>
      <c r="E18" s="677">
        <f t="shared" si="0"/>
        <v>0</v>
      </c>
      <c r="F18" s="676"/>
      <c r="G18" s="676"/>
      <c r="H18" s="677">
        <f t="shared" si="1"/>
        <v>0</v>
      </c>
    </row>
    <row r="19" spans="1:8">
      <c r="A19" s="456">
        <v>6</v>
      </c>
      <c r="B19" s="414" t="s">
        <v>737</v>
      </c>
      <c r="C19" s="676">
        <f>SUM(C20:C21)</f>
        <v>160357204.7722483</v>
      </c>
      <c r="D19" s="676">
        <f>SUM(D20:D21)</f>
        <v>140248636.5554885</v>
      </c>
      <c r="E19" s="677">
        <f t="shared" si="0"/>
        <v>300605841.32773679</v>
      </c>
      <c r="F19" s="676">
        <f>SUM(F20:F21)</f>
        <v>0</v>
      </c>
      <c r="G19" s="676">
        <f>SUM(G20:G21)</f>
        <v>0</v>
      </c>
      <c r="H19" s="677">
        <f t="shared" si="1"/>
        <v>0</v>
      </c>
    </row>
    <row r="20" spans="1:8">
      <c r="A20" s="456">
        <v>6.1</v>
      </c>
      <c r="B20" s="416" t="s">
        <v>569</v>
      </c>
      <c r="C20" s="676"/>
      <c r="D20" s="676"/>
      <c r="E20" s="677">
        <f t="shared" si="0"/>
        <v>0</v>
      </c>
      <c r="F20" s="676"/>
      <c r="G20" s="676"/>
      <c r="H20" s="677">
        <f t="shared" si="1"/>
        <v>0</v>
      </c>
    </row>
    <row r="21" spans="1:8">
      <c r="A21" s="456">
        <v>6.2</v>
      </c>
      <c r="B21" s="416" t="s">
        <v>736</v>
      </c>
      <c r="C21" s="674">
        <v>160357204.7722483</v>
      </c>
      <c r="D21" s="675">
        <v>140248636.5554885</v>
      </c>
      <c r="E21" s="677">
        <f t="shared" si="0"/>
        <v>300605841.32773679</v>
      </c>
      <c r="F21" s="676"/>
      <c r="G21" s="676"/>
      <c r="H21" s="677">
        <f t="shared" si="1"/>
        <v>0</v>
      </c>
    </row>
    <row r="22" spans="1:8">
      <c r="A22" s="456">
        <v>7</v>
      </c>
      <c r="B22" s="417" t="s">
        <v>738</v>
      </c>
      <c r="C22" s="676"/>
      <c r="D22" s="676"/>
      <c r="E22" s="677">
        <f t="shared" si="0"/>
        <v>0</v>
      </c>
      <c r="F22" s="676"/>
      <c r="G22" s="676"/>
      <c r="H22" s="677">
        <f t="shared" si="1"/>
        <v>0</v>
      </c>
    </row>
    <row r="23" spans="1:8" ht="21">
      <c r="A23" s="456">
        <v>8</v>
      </c>
      <c r="B23" s="418" t="s">
        <v>739</v>
      </c>
      <c r="C23" s="676"/>
      <c r="D23" s="676"/>
      <c r="E23" s="677">
        <f t="shared" si="0"/>
        <v>0</v>
      </c>
      <c r="F23" s="676"/>
      <c r="G23" s="676"/>
      <c r="H23" s="677">
        <f t="shared" si="1"/>
        <v>0</v>
      </c>
    </row>
    <row r="24" spans="1:8">
      <c r="A24" s="456">
        <v>9</v>
      </c>
      <c r="B24" s="415" t="s">
        <v>740</v>
      </c>
      <c r="C24" s="676">
        <f>SUM(C25:C26)</f>
        <v>6433233.8899999978</v>
      </c>
      <c r="D24" s="676">
        <f>SUM(D25:D26)</f>
        <v>0</v>
      </c>
      <c r="E24" s="677">
        <f t="shared" si="0"/>
        <v>6433233.8899999978</v>
      </c>
      <c r="F24" s="676">
        <f>SUM(F25:F26)</f>
        <v>0</v>
      </c>
      <c r="G24" s="676">
        <f>SUM(G25:G26)</f>
        <v>0</v>
      </c>
      <c r="H24" s="677">
        <f t="shared" si="1"/>
        <v>0</v>
      </c>
    </row>
    <row r="25" spans="1:8">
      <c r="A25" s="456">
        <v>9.1</v>
      </c>
      <c r="B25" s="419" t="s">
        <v>741</v>
      </c>
      <c r="C25" s="676">
        <v>6433233.8899999978</v>
      </c>
      <c r="D25" s="676"/>
      <c r="E25" s="677">
        <f t="shared" si="0"/>
        <v>6433233.8899999978</v>
      </c>
      <c r="F25" s="676"/>
      <c r="G25" s="676"/>
      <c r="H25" s="677">
        <f t="shared" si="1"/>
        <v>0</v>
      </c>
    </row>
    <row r="26" spans="1:8">
      <c r="A26" s="456">
        <v>9.1999999999999993</v>
      </c>
      <c r="B26" s="419" t="s">
        <v>742</v>
      </c>
      <c r="C26" s="676"/>
      <c r="D26" s="676"/>
      <c r="E26" s="677">
        <f t="shared" si="0"/>
        <v>0</v>
      </c>
      <c r="F26" s="676"/>
      <c r="G26" s="676"/>
      <c r="H26" s="677">
        <f t="shared" si="1"/>
        <v>0</v>
      </c>
    </row>
    <row r="27" spans="1:8">
      <c r="A27" s="456">
        <v>10</v>
      </c>
      <c r="B27" s="415" t="s">
        <v>36</v>
      </c>
      <c r="C27" s="676">
        <f>SUM(C28:C29)</f>
        <v>200414.37000000002</v>
      </c>
      <c r="D27" s="676">
        <f>SUM(D28:D29)</f>
        <v>0</v>
      </c>
      <c r="E27" s="677">
        <f t="shared" si="0"/>
        <v>200414.37000000002</v>
      </c>
      <c r="F27" s="676">
        <f>SUM(F28:F29)</f>
        <v>0</v>
      </c>
      <c r="G27" s="676">
        <f>SUM(G28:G29)</f>
        <v>0</v>
      </c>
      <c r="H27" s="677">
        <f t="shared" si="1"/>
        <v>0</v>
      </c>
    </row>
    <row r="28" spans="1:8">
      <c r="A28" s="456">
        <v>10.1</v>
      </c>
      <c r="B28" s="419" t="s">
        <v>743</v>
      </c>
      <c r="C28" s="676"/>
      <c r="D28" s="676"/>
      <c r="E28" s="677">
        <f t="shared" si="0"/>
        <v>0</v>
      </c>
      <c r="F28" s="676"/>
      <c r="G28" s="676"/>
      <c r="H28" s="677">
        <f t="shared" si="1"/>
        <v>0</v>
      </c>
    </row>
    <row r="29" spans="1:8">
      <c r="A29" s="456">
        <v>10.199999999999999</v>
      </c>
      <c r="B29" s="419" t="s">
        <v>744</v>
      </c>
      <c r="C29" s="676">
        <v>200414.37000000002</v>
      </c>
      <c r="D29" s="676"/>
      <c r="E29" s="677">
        <f t="shared" si="0"/>
        <v>200414.37000000002</v>
      </c>
      <c r="F29" s="676"/>
      <c r="G29" s="676"/>
      <c r="H29" s="677">
        <f t="shared" si="1"/>
        <v>0</v>
      </c>
    </row>
    <row r="30" spans="1:8">
      <c r="A30" s="456">
        <v>11</v>
      </c>
      <c r="B30" s="415" t="s">
        <v>745</v>
      </c>
      <c r="C30" s="676">
        <f>SUM(C31:C32)</f>
        <v>1748352</v>
      </c>
      <c r="D30" s="676">
        <f>SUM(D31:D32)</f>
        <v>0</v>
      </c>
      <c r="E30" s="677">
        <f t="shared" si="0"/>
        <v>1748352</v>
      </c>
      <c r="F30" s="676">
        <f>SUM(F31:F32)</f>
        <v>0</v>
      </c>
      <c r="G30" s="676">
        <f>SUM(G31:G32)</f>
        <v>0</v>
      </c>
      <c r="H30" s="677">
        <f t="shared" si="1"/>
        <v>0</v>
      </c>
    </row>
    <row r="31" spans="1:8">
      <c r="A31" s="456">
        <v>11.1</v>
      </c>
      <c r="B31" s="419" t="s">
        <v>746</v>
      </c>
      <c r="C31" s="676">
        <v>1748352</v>
      </c>
      <c r="D31" s="676"/>
      <c r="E31" s="677">
        <f t="shared" si="0"/>
        <v>1748352</v>
      </c>
      <c r="F31" s="676"/>
      <c r="G31" s="676"/>
      <c r="H31" s="677">
        <f t="shared" si="1"/>
        <v>0</v>
      </c>
    </row>
    <row r="32" spans="1:8">
      <c r="A32" s="456">
        <v>11.2</v>
      </c>
      <c r="B32" s="419" t="s">
        <v>747</v>
      </c>
      <c r="C32" s="676"/>
      <c r="D32" s="676"/>
      <c r="E32" s="677">
        <f t="shared" si="0"/>
        <v>0</v>
      </c>
      <c r="F32" s="676"/>
      <c r="G32" s="676"/>
      <c r="H32" s="677">
        <f t="shared" si="1"/>
        <v>0</v>
      </c>
    </row>
    <row r="33" spans="1:8">
      <c r="A33" s="456">
        <v>13</v>
      </c>
      <c r="B33" s="415" t="s">
        <v>99</v>
      </c>
      <c r="C33" s="676">
        <v>3104577.4906485197</v>
      </c>
      <c r="D33" s="676">
        <v>191785.28</v>
      </c>
      <c r="E33" s="677">
        <f t="shared" si="0"/>
        <v>3296362.7706485195</v>
      </c>
      <c r="F33" s="676"/>
      <c r="G33" s="676"/>
      <c r="H33" s="677">
        <f t="shared" si="1"/>
        <v>0</v>
      </c>
    </row>
    <row r="34" spans="1:8">
      <c r="A34" s="456">
        <v>13.1</v>
      </c>
      <c r="B34" s="420" t="s">
        <v>748</v>
      </c>
      <c r="C34" s="676">
        <v>1349093.18</v>
      </c>
      <c r="D34" s="676"/>
      <c r="E34" s="677">
        <f t="shared" si="0"/>
        <v>1349093.18</v>
      </c>
      <c r="F34" s="676"/>
      <c r="G34" s="676"/>
      <c r="H34" s="677">
        <f t="shared" si="1"/>
        <v>0</v>
      </c>
    </row>
    <row r="35" spans="1:8">
      <c r="A35" s="456">
        <v>13.2</v>
      </c>
      <c r="B35" s="420" t="s">
        <v>749</v>
      </c>
      <c r="C35" s="676"/>
      <c r="D35" s="676"/>
      <c r="E35" s="677">
        <f t="shared" si="0"/>
        <v>0</v>
      </c>
      <c r="F35" s="676"/>
      <c r="G35" s="676"/>
      <c r="H35" s="677">
        <f t="shared" si="1"/>
        <v>0</v>
      </c>
    </row>
    <row r="36" spans="1:8">
      <c r="A36" s="456">
        <v>14</v>
      </c>
      <c r="B36" s="421" t="s">
        <v>750</v>
      </c>
      <c r="C36" s="676">
        <f>SUM(C7,C11,C13,C14,C15,C19,C22,C23,C24,C27,C30,C33)</f>
        <v>175363978.00928017</v>
      </c>
      <c r="D36" s="676">
        <f>SUM(D7,D11,D13,D14,D15,D19,D22,D23,D24,D27,D30,D33)</f>
        <v>257756443.03389597</v>
      </c>
      <c r="E36" s="677">
        <f t="shared" si="0"/>
        <v>433120421.04317617</v>
      </c>
      <c r="F36" s="676">
        <f>SUM(F7,F11,F13,F14,F15,F19,F22,F23,F24,F27,F30,F33)</f>
        <v>0</v>
      </c>
      <c r="G36" s="676">
        <f>SUM(G7,G11,G13,G14,G15,G19,G22,G23,G24,G27,G30,G33)</f>
        <v>0</v>
      </c>
      <c r="H36" s="677">
        <f t="shared" si="1"/>
        <v>0</v>
      </c>
    </row>
    <row r="37" spans="1:8" ht="22.5" customHeight="1">
      <c r="A37" s="456"/>
      <c r="B37" s="422" t="s">
        <v>104</v>
      </c>
      <c r="C37" s="838"/>
      <c r="D37" s="839"/>
      <c r="E37" s="839"/>
      <c r="F37" s="839"/>
      <c r="G37" s="839"/>
      <c r="H37" s="840"/>
    </row>
    <row r="38" spans="1:8">
      <c r="A38" s="456">
        <v>15</v>
      </c>
      <c r="B38" s="423" t="s">
        <v>751</v>
      </c>
      <c r="C38" s="680"/>
      <c r="D38" s="680"/>
      <c r="E38" s="681">
        <f>C38+D38</f>
        <v>0</v>
      </c>
      <c r="F38" s="680"/>
      <c r="G38" s="680"/>
      <c r="H38" s="681">
        <f>F38+G38</f>
        <v>0</v>
      </c>
    </row>
    <row r="39" spans="1:8">
      <c r="A39" s="456">
        <v>15.1</v>
      </c>
      <c r="B39" s="426" t="s">
        <v>731</v>
      </c>
      <c r="C39" s="680"/>
      <c r="D39" s="680"/>
      <c r="E39" s="681">
        <f t="shared" ref="E39:E53" si="2">C39+D39</f>
        <v>0</v>
      </c>
      <c r="F39" s="680"/>
      <c r="G39" s="680"/>
      <c r="H39" s="681">
        <f t="shared" ref="H39:H53" si="3">F39+G39</f>
        <v>0</v>
      </c>
    </row>
    <row r="40" spans="1:8" ht="24" customHeight="1">
      <c r="A40" s="456">
        <v>16</v>
      </c>
      <c r="B40" s="417" t="s">
        <v>752</v>
      </c>
      <c r="C40" s="680"/>
      <c r="D40" s="680"/>
      <c r="E40" s="681">
        <f t="shared" si="2"/>
        <v>0</v>
      </c>
      <c r="F40" s="680"/>
      <c r="G40" s="680"/>
      <c r="H40" s="681">
        <f t="shared" si="3"/>
        <v>0</v>
      </c>
    </row>
    <row r="41" spans="1:8" ht="21">
      <c r="A41" s="456">
        <v>17</v>
      </c>
      <c r="B41" s="417" t="s">
        <v>753</v>
      </c>
      <c r="C41" s="680">
        <f>SUM(C42:C45)</f>
        <v>51237542.839999996</v>
      </c>
      <c r="D41" s="680">
        <f>SUM(D42:D45)</f>
        <v>255421302.87999997</v>
      </c>
      <c r="E41" s="681">
        <f t="shared" si="2"/>
        <v>306658845.71999997</v>
      </c>
      <c r="F41" s="680">
        <f>SUM(F42:F45)</f>
        <v>0</v>
      </c>
      <c r="G41" s="680">
        <f>SUM(G42:G45)</f>
        <v>0</v>
      </c>
      <c r="H41" s="681">
        <f t="shared" si="3"/>
        <v>0</v>
      </c>
    </row>
    <row r="42" spans="1:8">
      <c r="A42" s="456">
        <v>17.100000000000001</v>
      </c>
      <c r="B42" s="427" t="s">
        <v>754</v>
      </c>
      <c r="C42" s="680">
        <v>51237542.839999996</v>
      </c>
      <c r="D42" s="680">
        <v>196780052.23999995</v>
      </c>
      <c r="E42" s="681">
        <f t="shared" si="2"/>
        <v>248017595.07999995</v>
      </c>
      <c r="F42" s="680"/>
      <c r="G42" s="680"/>
      <c r="H42" s="681">
        <f t="shared" si="3"/>
        <v>0</v>
      </c>
    </row>
    <row r="43" spans="1:8">
      <c r="A43" s="456">
        <v>17.2</v>
      </c>
      <c r="B43" s="428" t="s">
        <v>100</v>
      </c>
      <c r="C43" s="680">
        <v>0</v>
      </c>
      <c r="D43" s="680">
        <v>53766384.670000002</v>
      </c>
      <c r="E43" s="681">
        <f t="shared" si="2"/>
        <v>53766384.670000002</v>
      </c>
      <c r="F43" s="680"/>
      <c r="G43" s="680"/>
      <c r="H43" s="681">
        <f t="shared" si="3"/>
        <v>0</v>
      </c>
    </row>
    <row r="44" spans="1:8">
      <c r="A44" s="456">
        <v>17.3</v>
      </c>
      <c r="B44" s="427" t="s">
        <v>755</v>
      </c>
      <c r="C44" s="680"/>
      <c r="D44" s="680"/>
      <c r="E44" s="681">
        <f t="shared" si="2"/>
        <v>0</v>
      </c>
      <c r="F44" s="680"/>
      <c r="G44" s="680"/>
      <c r="H44" s="681">
        <f t="shared" si="3"/>
        <v>0</v>
      </c>
    </row>
    <row r="45" spans="1:8">
      <c r="A45" s="456">
        <v>17.399999999999999</v>
      </c>
      <c r="B45" s="427" t="s">
        <v>756</v>
      </c>
      <c r="C45" s="680">
        <v>0</v>
      </c>
      <c r="D45" s="680">
        <v>4874865.97</v>
      </c>
      <c r="E45" s="681">
        <f t="shared" si="2"/>
        <v>4874865.97</v>
      </c>
      <c r="F45" s="680"/>
      <c r="G45" s="680"/>
      <c r="H45" s="681">
        <f t="shared" si="3"/>
        <v>0</v>
      </c>
    </row>
    <row r="46" spans="1:8">
      <c r="A46" s="456">
        <v>18</v>
      </c>
      <c r="B46" s="429" t="s">
        <v>757</v>
      </c>
      <c r="C46" s="680">
        <v>145658.82231973603</v>
      </c>
      <c r="D46" s="680">
        <v>255023.76637135277</v>
      </c>
      <c r="E46" s="681">
        <f t="shared" si="2"/>
        <v>400682.58869108884</v>
      </c>
      <c r="F46" s="680"/>
      <c r="G46" s="680"/>
      <c r="H46" s="681">
        <f t="shared" si="3"/>
        <v>0</v>
      </c>
    </row>
    <row r="47" spans="1:8">
      <c r="A47" s="456">
        <v>19</v>
      </c>
      <c r="B47" s="429" t="s">
        <v>758</v>
      </c>
      <c r="C47" s="680">
        <f>SUM(C48:C49)</f>
        <v>2311576.29</v>
      </c>
      <c r="D47" s="680">
        <f>SUM(D48:D49)</f>
        <v>0</v>
      </c>
      <c r="E47" s="681">
        <f t="shared" si="2"/>
        <v>2311576.29</v>
      </c>
      <c r="F47" s="680">
        <f>SUM(F48:F49)</f>
        <v>0</v>
      </c>
      <c r="G47" s="680">
        <f>SUM(G48:G49)</f>
        <v>0</v>
      </c>
      <c r="H47" s="681">
        <f t="shared" si="3"/>
        <v>0</v>
      </c>
    </row>
    <row r="48" spans="1:8">
      <c r="A48" s="456">
        <v>19.100000000000001</v>
      </c>
      <c r="B48" s="430" t="s">
        <v>759</v>
      </c>
      <c r="C48" s="680">
        <v>2311576.29</v>
      </c>
      <c r="D48" s="680">
        <v>0</v>
      </c>
      <c r="E48" s="681">
        <f t="shared" si="2"/>
        <v>2311576.29</v>
      </c>
      <c r="F48" s="680"/>
      <c r="G48" s="680"/>
      <c r="H48" s="681">
        <f t="shared" si="3"/>
        <v>0</v>
      </c>
    </row>
    <row r="49" spans="1:8">
      <c r="A49" s="456">
        <v>19.2</v>
      </c>
      <c r="B49" s="431" t="s">
        <v>760</v>
      </c>
      <c r="C49" s="680"/>
      <c r="D49" s="680"/>
      <c r="E49" s="681">
        <f t="shared" si="2"/>
        <v>0</v>
      </c>
      <c r="F49" s="680"/>
      <c r="G49" s="680"/>
      <c r="H49" s="681">
        <f t="shared" si="3"/>
        <v>0</v>
      </c>
    </row>
    <row r="50" spans="1:8">
      <c r="A50" s="456">
        <v>20</v>
      </c>
      <c r="B50" s="432" t="s">
        <v>101</v>
      </c>
      <c r="C50" s="680"/>
      <c r="D50" s="680"/>
      <c r="E50" s="681">
        <f t="shared" si="2"/>
        <v>0</v>
      </c>
      <c r="F50" s="680"/>
      <c r="G50" s="680"/>
      <c r="H50" s="681">
        <f t="shared" si="3"/>
        <v>0</v>
      </c>
    </row>
    <row r="51" spans="1:8">
      <c r="A51" s="456">
        <v>21</v>
      </c>
      <c r="B51" s="433" t="s">
        <v>89</v>
      </c>
      <c r="C51" s="680">
        <v>1243886.3900000001</v>
      </c>
      <c r="D51" s="680">
        <v>831521.27</v>
      </c>
      <c r="E51" s="681">
        <f t="shared" si="2"/>
        <v>2075407.6600000001</v>
      </c>
      <c r="F51" s="680"/>
      <c r="G51" s="680"/>
      <c r="H51" s="681">
        <f t="shared" si="3"/>
        <v>0</v>
      </c>
    </row>
    <row r="52" spans="1:8">
      <c r="A52" s="456">
        <v>21.1</v>
      </c>
      <c r="B52" s="428" t="s">
        <v>761</v>
      </c>
      <c r="C52" s="680"/>
      <c r="D52" s="680"/>
      <c r="E52" s="681">
        <f t="shared" si="2"/>
        <v>0</v>
      </c>
      <c r="F52" s="680"/>
      <c r="G52" s="680"/>
      <c r="H52" s="681">
        <f t="shared" si="3"/>
        <v>0</v>
      </c>
    </row>
    <row r="53" spans="1:8">
      <c r="A53" s="456">
        <v>22</v>
      </c>
      <c r="B53" s="432" t="s">
        <v>762</v>
      </c>
      <c r="C53" s="680">
        <f>SUM(C38,C40,C41,C46,C47,C50,C51)</f>
        <v>54938664.342319734</v>
      </c>
      <c r="D53" s="680">
        <f>SUM(D38,D40,D41,D46,D47,D50,D51)</f>
        <v>256507847.91637132</v>
      </c>
      <c r="E53" s="681">
        <f t="shared" si="2"/>
        <v>311446512.25869107</v>
      </c>
      <c r="F53" s="680">
        <f>SUM(F38,F40,F41,F46,F47,F50,F51)</f>
        <v>0</v>
      </c>
      <c r="G53" s="680">
        <f>SUM(G38,G40,G41,G46,G47,G50,G51)</f>
        <v>0</v>
      </c>
      <c r="H53" s="681">
        <f t="shared" si="3"/>
        <v>0</v>
      </c>
    </row>
    <row r="54" spans="1:8" ht="24" customHeight="1">
      <c r="A54" s="456"/>
      <c r="B54" s="434" t="s">
        <v>763</v>
      </c>
      <c r="C54" s="841"/>
      <c r="D54" s="842"/>
      <c r="E54" s="842"/>
      <c r="F54" s="842"/>
      <c r="G54" s="842"/>
      <c r="H54" s="843"/>
    </row>
    <row r="55" spans="1:8">
      <c r="A55" s="456">
        <v>23</v>
      </c>
      <c r="B55" s="432" t="s">
        <v>105</v>
      </c>
      <c r="C55" s="680">
        <v>69161600</v>
      </c>
      <c r="D55" s="680"/>
      <c r="E55" s="681">
        <f>C55+D55</f>
        <v>69161600</v>
      </c>
      <c r="F55" s="680"/>
      <c r="G55" s="680"/>
      <c r="H55" s="681">
        <f>F55+G55</f>
        <v>0</v>
      </c>
    </row>
    <row r="56" spans="1:8">
      <c r="A56" s="456">
        <v>24</v>
      </c>
      <c r="B56" s="432" t="s">
        <v>764</v>
      </c>
      <c r="C56" s="680"/>
      <c r="D56" s="680"/>
      <c r="E56" s="681">
        <f t="shared" ref="E56:E69" si="4">C56+D56</f>
        <v>0</v>
      </c>
      <c r="F56" s="680"/>
      <c r="G56" s="680"/>
      <c r="H56" s="681">
        <f t="shared" ref="H56:H69" si="5">F56+G56</f>
        <v>0</v>
      </c>
    </row>
    <row r="57" spans="1:8">
      <c r="A57" s="456">
        <v>25</v>
      </c>
      <c r="B57" s="435" t="s">
        <v>102</v>
      </c>
      <c r="C57" s="680"/>
      <c r="D57" s="680"/>
      <c r="E57" s="681">
        <f t="shared" si="4"/>
        <v>0</v>
      </c>
      <c r="F57" s="680"/>
      <c r="G57" s="680"/>
      <c r="H57" s="681">
        <f t="shared" si="5"/>
        <v>0</v>
      </c>
    </row>
    <row r="58" spans="1:8">
      <c r="A58" s="456">
        <v>26</v>
      </c>
      <c r="B58" s="429" t="s">
        <v>765</v>
      </c>
      <c r="C58" s="680"/>
      <c r="D58" s="680"/>
      <c r="E58" s="681">
        <f t="shared" si="4"/>
        <v>0</v>
      </c>
      <c r="F58" s="680"/>
      <c r="G58" s="680"/>
      <c r="H58" s="681">
        <f t="shared" si="5"/>
        <v>0</v>
      </c>
    </row>
    <row r="59" spans="1:8" ht="21">
      <c r="A59" s="456">
        <v>27</v>
      </c>
      <c r="B59" s="429" t="s">
        <v>766</v>
      </c>
      <c r="C59" s="680">
        <f>SUM(C60:C61)</f>
        <v>0</v>
      </c>
      <c r="D59" s="680">
        <f>SUM(D60:D61)</f>
        <v>0</v>
      </c>
      <c r="E59" s="681">
        <f t="shared" si="4"/>
        <v>0</v>
      </c>
      <c r="F59" s="680"/>
      <c r="G59" s="680"/>
      <c r="H59" s="681">
        <f t="shared" si="5"/>
        <v>0</v>
      </c>
    </row>
    <row r="60" spans="1:8">
      <c r="A60" s="456">
        <v>27.1</v>
      </c>
      <c r="B60" s="436" t="s">
        <v>767</v>
      </c>
      <c r="C60" s="680"/>
      <c r="D60" s="680"/>
      <c r="E60" s="681">
        <f t="shared" si="4"/>
        <v>0</v>
      </c>
      <c r="F60" s="680"/>
      <c r="G60" s="680"/>
      <c r="H60" s="681">
        <f t="shared" si="5"/>
        <v>0</v>
      </c>
    </row>
    <row r="61" spans="1:8">
      <c r="A61" s="456">
        <v>27.2</v>
      </c>
      <c r="B61" s="427" t="s">
        <v>768</v>
      </c>
      <c r="C61" s="680"/>
      <c r="D61" s="680"/>
      <c r="E61" s="681">
        <f t="shared" si="4"/>
        <v>0</v>
      </c>
      <c r="F61" s="680"/>
      <c r="G61" s="680"/>
      <c r="H61" s="681">
        <f t="shared" si="5"/>
        <v>0</v>
      </c>
    </row>
    <row r="62" spans="1:8">
      <c r="A62" s="456">
        <v>28</v>
      </c>
      <c r="B62" s="433" t="s">
        <v>769</v>
      </c>
      <c r="C62" s="680"/>
      <c r="D62" s="680"/>
      <c r="E62" s="681">
        <f t="shared" si="4"/>
        <v>0</v>
      </c>
      <c r="F62" s="680"/>
      <c r="G62" s="680"/>
      <c r="H62" s="681">
        <f t="shared" si="5"/>
        <v>0</v>
      </c>
    </row>
    <row r="63" spans="1:8">
      <c r="A63" s="456">
        <v>29</v>
      </c>
      <c r="B63" s="429" t="s">
        <v>770</v>
      </c>
      <c r="C63" s="680">
        <f>SUM(C64:C66)</f>
        <v>0</v>
      </c>
      <c r="D63" s="680">
        <f>SUM(D64:D66)</f>
        <v>0</v>
      </c>
      <c r="E63" s="681">
        <f t="shared" si="4"/>
        <v>0</v>
      </c>
      <c r="F63" s="680"/>
      <c r="G63" s="680"/>
      <c r="H63" s="681">
        <f t="shared" si="5"/>
        <v>0</v>
      </c>
    </row>
    <row r="64" spans="1:8">
      <c r="A64" s="456">
        <v>29.1</v>
      </c>
      <c r="B64" s="416" t="s">
        <v>771</v>
      </c>
      <c r="C64" s="680"/>
      <c r="D64" s="680"/>
      <c r="E64" s="681">
        <f t="shared" si="4"/>
        <v>0</v>
      </c>
      <c r="F64" s="680"/>
      <c r="G64" s="680"/>
      <c r="H64" s="681">
        <f t="shared" si="5"/>
        <v>0</v>
      </c>
    </row>
    <row r="65" spans="1:8" ht="24.95" customHeight="1">
      <c r="A65" s="456">
        <v>29.2</v>
      </c>
      <c r="B65" s="436" t="s">
        <v>772</v>
      </c>
      <c r="C65" s="680"/>
      <c r="D65" s="680"/>
      <c r="E65" s="681">
        <f t="shared" si="4"/>
        <v>0</v>
      </c>
      <c r="F65" s="680"/>
      <c r="G65" s="680"/>
      <c r="H65" s="681">
        <f t="shared" si="5"/>
        <v>0</v>
      </c>
    </row>
    <row r="66" spans="1:8" ht="22.5" customHeight="1">
      <c r="A66" s="456">
        <v>29.3</v>
      </c>
      <c r="B66" s="419" t="s">
        <v>773</v>
      </c>
      <c r="C66" s="680"/>
      <c r="D66" s="680"/>
      <c r="E66" s="681">
        <f t="shared" si="4"/>
        <v>0</v>
      </c>
      <c r="F66" s="680"/>
      <c r="G66" s="680"/>
      <c r="H66" s="681">
        <f t="shared" si="5"/>
        <v>0</v>
      </c>
    </row>
    <row r="67" spans="1:8">
      <c r="A67" s="456">
        <v>30</v>
      </c>
      <c r="B67" s="415" t="s">
        <v>103</v>
      </c>
      <c r="C67" s="680">
        <v>52512308.257327221</v>
      </c>
      <c r="D67" s="680"/>
      <c r="E67" s="681">
        <f t="shared" si="4"/>
        <v>52512308.257327221</v>
      </c>
      <c r="F67" s="680"/>
      <c r="G67" s="680"/>
      <c r="H67" s="681">
        <f t="shared" si="5"/>
        <v>0</v>
      </c>
    </row>
    <row r="68" spans="1:8">
      <c r="A68" s="456">
        <v>31</v>
      </c>
      <c r="B68" s="437" t="s">
        <v>774</v>
      </c>
      <c r="C68" s="680">
        <f>SUM(C55,C56,C57,C58,C59,C62,C63,C67)</f>
        <v>121673908.25732723</v>
      </c>
      <c r="D68" s="680">
        <f>SUM(D55,D56,D57,D58,D59,D62,D63,D67)</f>
        <v>0</v>
      </c>
      <c r="E68" s="681">
        <f t="shared" si="4"/>
        <v>121673908.25732723</v>
      </c>
      <c r="F68" s="680">
        <f>SUM(F55,F56,F57,F58,F59,F62,F63,F67)</f>
        <v>0</v>
      </c>
      <c r="G68" s="680">
        <f>SUM(G55,G56,G57,G58,G59,G62,G63,G67)</f>
        <v>0</v>
      </c>
      <c r="H68" s="681">
        <f t="shared" si="5"/>
        <v>0</v>
      </c>
    </row>
    <row r="69" spans="1:8">
      <c r="A69" s="456">
        <v>32</v>
      </c>
      <c r="B69" s="438" t="s">
        <v>775</v>
      </c>
      <c r="C69" s="680">
        <f>SUM(C53,C68)</f>
        <v>176612572.59964696</v>
      </c>
      <c r="D69" s="680">
        <f>SUM(D53,D68)</f>
        <v>256507847.91637132</v>
      </c>
      <c r="E69" s="681">
        <f t="shared" si="4"/>
        <v>433120420.51601827</v>
      </c>
      <c r="F69" s="680">
        <f>SUM(F68)</f>
        <v>0</v>
      </c>
      <c r="G69" s="680">
        <f>SUM(G68)</f>
        <v>0</v>
      </c>
      <c r="H69" s="681">
        <f t="shared" si="5"/>
        <v>0</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showGridLines="0" zoomScale="80" zoomScaleNormal="80" workbookViewId="0">
      <selection activeCell="B2" sqref="B2:C2"/>
    </sheetView>
  </sheetViews>
  <sheetFormatPr defaultColWidth="43.5703125" defaultRowHeight="11.25"/>
  <cols>
    <col min="1" max="1" width="8" style="162" customWidth="1"/>
    <col min="2" max="2" width="66.140625" style="163" customWidth="1"/>
    <col min="3" max="3" width="131.42578125" style="164" customWidth="1"/>
    <col min="4" max="5" width="10.28515625" style="155" customWidth="1"/>
    <col min="6" max="6" width="67.5703125" style="155" customWidth="1"/>
    <col min="7" max="16384" width="43.5703125" style="155"/>
  </cols>
  <sheetData>
    <row r="1" spans="1:3" ht="12.75" thickTop="1" thickBot="1">
      <c r="A1" s="1013" t="s">
        <v>187</v>
      </c>
      <c r="B1" s="1014"/>
      <c r="C1" s="1015"/>
    </row>
    <row r="2" spans="1:3" ht="26.25" customHeight="1">
      <c r="A2" s="397"/>
      <c r="B2" s="1016" t="s">
        <v>188</v>
      </c>
      <c r="C2" s="1016"/>
    </row>
    <row r="3" spans="1:3" s="160" customFormat="1" ht="11.25" customHeight="1">
      <c r="A3" s="159"/>
      <c r="B3" s="1016" t="s">
        <v>263</v>
      </c>
      <c r="C3" s="1016"/>
    </row>
    <row r="4" spans="1:3" ht="12" customHeight="1" thickBot="1">
      <c r="A4" s="995" t="s">
        <v>267</v>
      </c>
      <c r="B4" s="996"/>
      <c r="C4" s="997"/>
    </row>
    <row r="5" spans="1:3" ht="12" thickTop="1">
      <c r="A5" s="156"/>
      <c r="B5" s="998" t="s">
        <v>189</v>
      </c>
      <c r="C5" s="999"/>
    </row>
    <row r="6" spans="1:3">
      <c r="A6" s="397"/>
      <c r="B6" s="975" t="s">
        <v>264</v>
      </c>
      <c r="C6" s="976"/>
    </row>
    <row r="7" spans="1:3">
      <c r="A7" s="397"/>
      <c r="B7" s="975" t="s">
        <v>190</v>
      </c>
      <c r="C7" s="976"/>
    </row>
    <row r="8" spans="1:3">
      <c r="A8" s="397"/>
      <c r="B8" s="975" t="s">
        <v>265</v>
      </c>
      <c r="C8" s="976"/>
    </row>
    <row r="9" spans="1:3">
      <c r="A9" s="397"/>
      <c r="B9" s="1019" t="s">
        <v>266</v>
      </c>
      <c r="C9" s="1020"/>
    </row>
    <row r="10" spans="1:3">
      <c r="A10" s="397"/>
      <c r="B10" s="1011" t="s">
        <v>191</v>
      </c>
      <c r="C10" s="1012" t="s">
        <v>191</v>
      </c>
    </row>
    <row r="11" spans="1:3">
      <c r="A11" s="397"/>
      <c r="B11" s="1011" t="s">
        <v>192</v>
      </c>
      <c r="C11" s="1012" t="s">
        <v>192</v>
      </c>
    </row>
    <row r="12" spans="1:3">
      <c r="A12" s="397"/>
      <c r="B12" s="1011" t="s">
        <v>193</v>
      </c>
      <c r="C12" s="1012" t="s">
        <v>193</v>
      </c>
    </row>
    <row r="13" spans="1:3">
      <c r="A13" s="397"/>
      <c r="B13" s="1011" t="s">
        <v>194</v>
      </c>
      <c r="C13" s="1012" t="s">
        <v>194</v>
      </c>
    </row>
    <row r="14" spans="1:3">
      <c r="A14" s="397"/>
      <c r="B14" s="1011" t="s">
        <v>195</v>
      </c>
      <c r="C14" s="1012" t="s">
        <v>195</v>
      </c>
    </row>
    <row r="15" spans="1:3" ht="21.75" customHeight="1">
      <c r="A15" s="397"/>
      <c r="B15" s="1011" t="s">
        <v>196</v>
      </c>
      <c r="C15" s="1012" t="s">
        <v>196</v>
      </c>
    </row>
    <row r="16" spans="1:3">
      <c r="A16" s="397"/>
      <c r="B16" s="1011" t="s">
        <v>197</v>
      </c>
      <c r="C16" s="1012" t="s">
        <v>198</v>
      </c>
    </row>
    <row r="17" spans="1:6">
      <c r="A17" s="397"/>
      <c r="B17" s="1011" t="s">
        <v>199</v>
      </c>
      <c r="C17" s="1012" t="s">
        <v>200</v>
      </c>
    </row>
    <row r="18" spans="1:6">
      <c r="A18" s="397"/>
      <c r="B18" s="1011" t="s">
        <v>201</v>
      </c>
      <c r="C18" s="1012" t="s">
        <v>202</v>
      </c>
    </row>
    <row r="19" spans="1:6">
      <c r="A19" s="397"/>
      <c r="B19" s="1011" t="s">
        <v>203</v>
      </c>
      <c r="C19" s="1012" t="s">
        <v>203</v>
      </c>
    </row>
    <row r="20" spans="1:6">
      <c r="A20" s="397"/>
      <c r="B20" s="1017" t="s">
        <v>958</v>
      </c>
      <c r="C20" s="1018" t="s">
        <v>204</v>
      </c>
    </row>
    <row r="21" spans="1:6">
      <c r="A21" s="397"/>
      <c r="B21" s="1011" t="s">
        <v>947</v>
      </c>
      <c r="C21" s="1012" t="s">
        <v>205</v>
      </c>
    </row>
    <row r="22" spans="1:6" ht="23.25" customHeight="1">
      <c r="A22" s="397"/>
      <c r="B22" s="1011" t="s">
        <v>206</v>
      </c>
      <c r="C22" s="1012" t="s">
        <v>207</v>
      </c>
      <c r="F22" s="633"/>
    </row>
    <row r="23" spans="1:6">
      <c r="A23" s="397"/>
      <c r="B23" s="1011" t="s">
        <v>208</v>
      </c>
      <c r="C23" s="1012" t="s">
        <v>208</v>
      </c>
    </row>
    <row r="24" spans="1:6">
      <c r="A24" s="397"/>
      <c r="B24" s="1011" t="s">
        <v>209</v>
      </c>
      <c r="C24" s="1012" t="s">
        <v>210</v>
      </c>
    </row>
    <row r="25" spans="1:6" ht="12" thickBot="1">
      <c r="A25" s="157"/>
      <c r="B25" s="1005" t="s">
        <v>211</v>
      </c>
      <c r="C25" s="1006"/>
    </row>
    <row r="26" spans="1:6" ht="12.75" thickTop="1" thickBot="1">
      <c r="A26" s="995" t="s">
        <v>844</v>
      </c>
      <c r="B26" s="996"/>
      <c r="C26" s="997"/>
    </row>
    <row r="27" spans="1:6" ht="12.75" thickTop="1" thickBot="1">
      <c r="A27" s="158"/>
      <c r="B27" s="1007" t="s">
        <v>845</v>
      </c>
      <c r="C27" s="1008"/>
    </row>
    <row r="28" spans="1:6" ht="12.75" thickTop="1" thickBot="1">
      <c r="A28" s="995" t="s">
        <v>268</v>
      </c>
      <c r="B28" s="996"/>
      <c r="C28" s="997"/>
    </row>
    <row r="29" spans="1:6" ht="12" thickTop="1">
      <c r="A29" s="156"/>
      <c r="B29" s="1009" t="s">
        <v>848</v>
      </c>
      <c r="C29" s="1010" t="s">
        <v>212</v>
      </c>
    </row>
    <row r="30" spans="1:6">
      <c r="A30" s="397"/>
      <c r="B30" s="1000" t="s">
        <v>216</v>
      </c>
      <c r="C30" s="1001" t="s">
        <v>213</v>
      </c>
    </row>
    <row r="31" spans="1:6">
      <c r="A31" s="397"/>
      <c r="B31" s="1000" t="s">
        <v>846</v>
      </c>
      <c r="C31" s="1001" t="s">
        <v>214</v>
      </c>
    </row>
    <row r="32" spans="1:6">
      <c r="A32" s="397"/>
      <c r="B32" s="1000" t="s">
        <v>847</v>
      </c>
      <c r="C32" s="1001" t="s">
        <v>215</v>
      </c>
    </row>
    <row r="33" spans="1:3">
      <c r="A33" s="397"/>
      <c r="B33" s="1000" t="s">
        <v>219</v>
      </c>
      <c r="C33" s="1001" t="s">
        <v>220</v>
      </c>
    </row>
    <row r="34" spans="1:3">
      <c r="A34" s="397"/>
      <c r="B34" s="1000" t="s">
        <v>849</v>
      </c>
      <c r="C34" s="1001" t="s">
        <v>217</v>
      </c>
    </row>
    <row r="35" spans="1:3">
      <c r="A35" s="397"/>
      <c r="B35" s="1000" t="s">
        <v>850</v>
      </c>
      <c r="C35" s="1001" t="s">
        <v>218</v>
      </c>
    </row>
    <row r="36" spans="1:3">
      <c r="A36" s="397"/>
      <c r="B36" s="1002" t="s">
        <v>851</v>
      </c>
      <c r="C36" s="1003"/>
    </row>
    <row r="37" spans="1:3" ht="24.75" customHeight="1">
      <c r="A37" s="397"/>
      <c r="B37" s="1000" t="s">
        <v>852</v>
      </c>
      <c r="C37" s="1001" t="s">
        <v>221</v>
      </c>
    </row>
    <row r="38" spans="1:3" ht="23.25" customHeight="1">
      <c r="A38" s="397"/>
      <c r="B38" s="1000" t="s">
        <v>853</v>
      </c>
      <c r="C38" s="1001" t="s">
        <v>222</v>
      </c>
    </row>
    <row r="39" spans="1:3" ht="23.25" customHeight="1">
      <c r="A39" s="468"/>
      <c r="B39" s="1002" t="s">
        <v>854</v>
      </c>
      <c r="C39" s="1004"/>
    </row>
    <row r="40" spans="1:3" ht="12" customHeight="1">
      <c r="A40" s="397"/>
      <c r="B40" s="1000" t="s">
        <v>855</v>
      </c>
      <c r="C40" s="1001"/>
    </row>
    <row r="41" spans="1:3" ht="12" thickBot="1">
      <c r="A41" s="995" t="s">
        <v>269</v>
      </c>
      <c r="B41" s="996"/>
      <c r="C41" s="997"/>
    </row>
    <row r="42" spans="1:3" ht="12" thickTop="1">
      <c r="A42" s="156"/>
      <c r="B42" s="998" t="s">
        <v>299</v>
      </c>
      <c r="C42" s="999" t="s">
        <v>223</v>
      </c>
    </row>
    <row r="43" spans="1:3">
      <c r="A43" s="397"/>
      <c r="B43" s="975" t="s">
        <v>298</v>
      </c>
      <c r="C43" s="976"/>
    </row>
    <row r="44" spans="1:3" ht="23.25" customHeight="1" thickBot="1">
      <c r="A44" s="157"/>
      <c r="B44" s="993" t="s">
        <v>224</v>
      </c>
      <c r="C44" s="994" t="s">
        <v>225</v>
      </c>
    </row>
    <row r="45" spans="1:3" ht="11.25" customHeight="1" thickTop="1" thickBot="1">
      <c r="A45" s="995" t="s">
        <v>270</v>
      </c>
      <c r="B45" s="996"/>
      <c r="C45" s="997"/>
    </row>
    <row r="46" spans="1:3" ht="26.25" customHeight="1" thickTop="1">
      <c r="A46" s="397"/>
      <c r="B46" s="975" t="s">
        <v>271</v>
      </c>
      <c r="C46" s="976"/>
    </row>
    <row r="47" spans="1:3" ht="12" thickBot="1">
      <c r="A47" s="995" t="s">
        <v>272</v>
      </c>
      <c r="B47" s="996"/>
      <c r="C47" s="997"/>
    </row>
    <row r="48" spans="1:3" ht="12" thickTop="1">
      <c r="A48" s="156"/>
      <c r="B48" s="998" t="s">
        <v>226</v>
      </c>
      <c r="C48" s="999" t="s">
        <v>226</v>
      </c>
    </row>
    <row r="49" spans="1:3" ht="11.25" customHeight="1">
      <c r="A49" s="397"/>
      <c r="B49" s="975" t="s">
        <v>227</v>
      </c>
      <c r="C49" s="976" t="s">
        <v>227</v>
      </c>
    </row>
    <row r="50" spans="1:3">
      <c r="A50" s="397"/>
      <c r="B50" s="975" t="s">
        <v>228</v>
      </c>
      <c r="C50" s="976" t="s">
        <v>228</v>
      </c>
    </row>
    <row r="51" spans="1:3" ht="11.25" customHeight="1">
      <c r="A51" s="397"/>
      <c r="B51" s="975" t="s">
        <v>857</v>
      </c>
      <c r="C51" s="976" t="s">
        <v>229</v>
      </c>
    </row>
    <row r="52" spans="1:3" ht="33.6" customHeight="1">
      <c r="A52" s="397"/>
      <c r="B52" s="975" t="s">
        <v>230</v>
      </c>
      <c r="C52" s="976" t="s">
        <v>230</v>
      </c>
    </row>
    <row r="53" spans="1:3" ht="11.25" customHeight="1">
      <c r="A53" s="397"/>
      <c r="B53" s="975" t="s">
        <v>319</v>
      </c>
      <c r="C53" s="976" t="s">
        <v>231</v>
      </c>
    </row>
    <row r="54" spans="1:3" ht="11.25" customHeight="1" thickBot="1">
      <c r="A54" s="995" t="s">
        <v>273</v>
      </c>
      <c r="B54" s="996"/>
      <c r="C54" s="997"/>
    </row>
    <row r="55" spans="1:3" ht="12" thickTop="1">
      <c r="A55" s="156"/>
      <c r="B55" s="998" t="s">
        <v>226</v>
      </c>
      <c r="C55" s="999" t="s">
        <v>226</v>
      </c>
    </row>
    <row r="56" spans="1:3">
      <c r="A56" s="397"/>
      <c r="B56" s="975" t="s">
        <v>232</v>
      </c>
      <c r="C56" s="976" t="s">
        <v>232</v>
      </c>
    </row>
    <row r="57" spans="1:3">
      <c r="A57" s="397"/>
      <c r="B57" s="975" t="s">
        <v>276</v>
      </c>
      <c r="C57" s="976" t="s">
        <v>233</v>
      </c>
    </row>
    <row r="58" spans="1:3">
      <c r="A58" s="397"/>
      <c r="B58" s="975" t="s">
        <v>234</v>
      </c>
      <c r="C58" s="976" t="s">
        <v>234</v>
      </c>
    </row>
    <row r="59" spans="1:3">
      <c r="A59" s="397"/>
      <c r="B59" s="975" t="s">
        <v>235</v>
      </c>
      <c r="C59" s="976" t="s">
        <v>235</v>
      </c>
    </row>
    <row r="60" spans="1:3">
      <c r="A60" s="397"/>
      <c r="B60" s="975" t="s">
        <v>236</v>
      </c>
      <c r="C60" s="976" t="s">
        <v>236</v>
      </c>
    </row>
    <row r="61" spans="1:3">
      <c r="A61" s="397"/>
      <c r="B61" s="975" t="s">
        <v>277</v>
      </c>
      <c r="C61" s="976" t="s">
        <v>237</v>
      </c>
    </row>
    <row r="62" spans="1:3">
      <c r="A62" s="397"/>
      <c r="B62" s="975" t="s">
        <v>238</v>
      </c>
      <c r="C62" s="976" t="s">
        <v>238</v>
      </c>
    </row>
    <row r="63" spans="1:3" ht="12" thickBot="1">
      <c r="A63" s="157"/>
      <c r="B63" s="993" t="s">
        <v>239</v>
      </c>
      <c r="C63" s="994" t="s">
        <v>239</v>
      </c>
    </row>
    <row r="64" spans="1:3" ht="11.25" customHeight="1" thickTop="1">
      <c r="A64" s="981" t="s">
        <v>274</v>
      </c>
      <c r="B64" s="982"/>
      <c r="C64" s="983"/>
    </row>
    <row r="65" spans="1:3" ht="12" thickBot="1">
      <c r="A65" s="157"/>
      <c r="B65" s="993" t="s">
        <v>240</v>
      </c>
      <c r="C65" s="994" t="s">
        <v>240</v>
      </c>
    </row>
    <row r="66" spans="1:3" ht="11.25" customHeight="1" thickTop="1" thickBot="1">
      <c r="A66" s="995" t="s">
        <v>275</v>
      </c>
      <c r="B66" s="996"/>
      <c r="C66" s="997"/>
    </row>
    <row r="67" spans="1:3" ht="12" thickTop="1">
      <c r="A67" s="156"/>
      <c r="B67" s="998" t="s">
        <v>241</v>
      </c>
      <c r="C67" s="999" t="s">
        <v>241</v>
      </c>
    </row>
    <row r="68" spans="1:3">
      <c r="A68" s="397"/>
      <c r="B68" s="975" t="s">
        <v>859</v>
      </c>
      <c r="C68" s="976" t="s">
        <v>242</v>
      </c>
    </row>
    <row r="69" spans="1:3">
      <c r="A69" s="397"/>
      <c r="B69" s="975" t="s">
        <v>243</v>
      </c>
      <c r="C69" s="976" t="s">
        <v>243</v>
      </c>
    </row>
    <row r="70" spans="1:3" ht="54.95" customHeight="1">
      <c r="A70" s="397"/>
      <c r="B70" s="991" t="s">
        <v>688</v>
      </c>
      <c r="C70" s="992" t="s">
        <v>244</v>
      </c>
    </row>
    <row r="71" spans="1:3" ht="33.75" customHeight="1">
      <c r="A71" s="397"/>
      <c r="B71" s="991" t="s">
        <v>278</v>
      </c>
      <c r="C71" s="992" t="s">
        <v>245</v>
      </c>
    </row>
    <row r="72" spans="1:3" ht="15.75" customHeight="1">
      <c r="A72" s="397"/>
      <c r="B72" s="991" t="s">
        <v>860</v>
      </c>
      <c r="C72" s="992" t="s">
        <v>246</v>
      </c>
    </row>
    <row r="73" spans="1:3">
      <c r="A73" s="397"/>
      <c r="B73" s="975" t="s">
        <v>247</v>
      </c>
      <c r="C73" s="976" t="s">
        <v>247</v>
      </c>
    </row>
    <row r="74" spans="1:3" ht="12" thickBot="1">
      <c r="A74" s="157"/>
      <c r="B74" s="993" t="s">
        <v>248</v>
      </c>
      <c r="C74" s="994" t="s">
        <v>248</v>
      </c>
    </row>
    <row r="75" spans="1:3" ht="12" thickTop="1">
      <c r="A75" s="981" t="s">
        <v>302</v>
      </c>
      <c r="B75" s="982"/>
      <c r="C75" s="983"/>
    </row>
    <row r="76" spans="1:3">
      <c r="A76" s="397"/>
      <c r="B76" s="975" t="s">
        <v>240</v>
      </c>
      <c r="C76" s="976"/>
    </row>
    <row r="77" spans="1:3">
      <c r="A77" s="397"/>
      <c r="B77" s="975" t="s">
        <v>300</v>
      </c>
      <c r="C77" s="976"/>
    </row>
    <row r="78" spans="1:3">
      <c r="A78" s="397"/>
      <c r="B78" s="975" t="s">
        <v>301</v>
      </c>
      <c r="C78" s="976"/>
    </row>
    <row r="79" spans="1:3">
      <c r="A79" s="981" t="s">
        <v>303</v>
      </c>
      <c r="B79" s="982"/>
      <c r="C79" s="983"/>
    </row>
    <row r="80" spans="1:3">
      <c r="A80" s="397"/>
      <c r="B80" s="975" t="s">
        <v>240</v>
      </c>
      <c r="C80" s="976"/>
    </row>
    <row r="81" spans="1:3">
      <c r="A81" s="397"/>
      <c r="B81" s="975" t="s">
        <v>304</v>
      </c>
      <c r="C81" s="976"/>
    </row>
    <row r="82" spans="1:3" ht="79.5" customHeight="1">
      <c r="A82" s="397"/>
      <c r="B82" s="975" t="s">
        <v>318</v>
      </c>
      <c r="C82" s="976"/>
    </row>
    <row r="83" spans="1:3" ht="53.25" customHeight="1">
      <c r="A83" s="397"/>
      <c r="B83" s="975" t="s">
        <v>317</v>
      </c>
      <c r="C83" s="976"/>
    </row>
    <row r="84" spans="1:3">
      <c r="A84" s="397"/>
      <c r="B84" s="975" t="s">
        <v>305</v>
      </c>
      <c r="C84" s="976"/>
    </row>
    <row r="85" spans="1:3">
      <c r="A85" s="397"/>
      <c r="B85" s="975" t="s">
        <v>306</v>
      </c>
      <c r="C85" s="976"/>
    </row>
    <row r="86" spans="1:3">
      <c r="A86" s="397"/>
      <c r="B86" s="975" t="s">
        <v>307</v>
      </c>
      <c r="C86" s="976"/>
    </row>
    <row r="87" spans="1:3">
      <c r="A87" s="981" t="s">
        <v>308</v>
      </c>
      <c r="B87" s="982"/>
      <c r="C87" s="983"/>
    </row>
    <row r="88" spans="1:3">
      <c r="A88" s="397"/>
      <c r="B88" s="975" t="s">
        <v>240</v>
      </c>
      <c r="C88" s="976"/>
    </row>
    <row r="89" spans="1:3">
      <c r="A89" s="397"/>
      <c r="B89" s="975" t="s">
        <v>310</v>
      </c>
      <c r="C89" s="976"/>
    </row>
    <row r="90" spans="1:3" ht="12" customHeight="1">
      <c r="A90" s="397"/>
      <c r="B90" s="975" t="s">
        <v>311</v>
      </c>
      <c r="C90" s="976"/>
    </row>
    <row r="91" spans="1:3">
      <c r="A91" s="397"/>
      <c r="B91" s="975" t="s">
        <v>312</v>
      </c>
      <c r="C91" s="976"/>
    </row>
    <row r="92" spans="1:3" ht="24.75" customHeight="1">
      <c r="A92" s="397"/>
      <c r="B92" s="984" t="s">
        <v>348</v>
      </c>
      <c r="C92" s="985"/>
    </row>
    <row r="93" spans="1:3" ht="24" customHeight="1">
      <c r="A93" s="397"/>
      <c r="B93" s="984" t="s">
        <v>349</v>
      </c>
      <c r="C93" s="985"/>
    </row>
    <row r="94" spans="1:3" ht="13.5" customHeight="1">
      <c r="A94" s="397"/>
      <c r="B94" s="986" t="s">
        <v>313</v>
      </c>
      <c r="C94" s="987"/>
    </row>
    <row r="95" spans="1:3" ht="11.25" customHeight="1" thickBot="1">
      <c r="A95" s="988" t="s">
        <v>344</v>
      </c>
      <c r="B95" s="989"/>
      <c r="C95" s="990"/>
    </row>
    <row r="96" spans="1:3" ht="12.75" thickTop="1" thickBot="1">
      <c r="A96" s="980" t="s">
        <v>249</v>
      </c>
      <c r="B96" s="980"/>
      <c r="C96" s="980"/>
    </row>
    <row r="97" spans="1:3">
      <c r="A97" s="225">
        <v>2</v>
      </c>
      <c r="B97" s="383" t="s">
        <v>324</v>
      </c>
      <c r="C97" s="383" t="s">
        <v>345</v>
      </c>
    </row>
    <row r="98" spans="1:3">
      <c r="A98" s="161">
        <v>3</v>
      </c>
      <c r="B98" s="384" t="s">
        <v>325</v>
      </c>
      <c r="C98" s="385" t="s">
        <v>346</v>
      </c>
    </row>
    <row r="99" spans="1:3">
      <c r="A99" s="161">
        <v>4</v>
      </c>
      <c r="B99" s="384" t="s">
        <v>326</v>
      </c>
      <c r="C99" s="385" t="s">
        <v>350</v>
      </c>
    </row>
    <row r="100" spans="1:3" ht="11.25" customHeight="1">
      <c r="A100" s="161">
        <v>5</v>
      </c>
      <c r="B100" s="384" t="s">
        <v>327</v>
      </c>
      <c r="C100" s="385" t="s">
        <v>347</v>
      </c>
    </row>
    <row r="101" spans="1:3" ht="12" customHeight="1">
      <c r="A101" s="161">
        <v>6</v>
      </c>
      <c r="B101" s="384" t="s">
        <v>342</v>
      </c>
      <c r="C101" s="385" t="s">
        <v>328</v>
      </c>
    </row>
    <row r="102" spans="1:3" ht="12" customHeight="1">
      <c r="A102" s="161">
        <v>7</v>
      </c>
      <c r="B102" s="384" t="s">
        <v>329</v>
      </c>
      <c r="C102" s="385" t="s">
        <v>343</v>
      </c>
    </row>
    <row r="103" spans="1:3">
      <c r="A103" s="161">
        <v>8</v>
      </c>
      <c r="B103" s="384" t="s">
        <v>334</v>
      </c>
      <c r="C103" s="385" t="s">
        <v>354</v>
      </c>
    </row>
    <row r="104" spans="1:3" ht="11.25" customHeight="1">
      <c r="A104" s="981" t="s">
        <v>314</v>
      </c>
      <c r="B104" s="982"/>
      <c r="C104" s="983"/>
    </row>
    <row r="105" spans="1:3" ht="12" customHeight="1">
      <c r="A105" s="397"/>
      <c r="B105" s="975" t="s">
        <v>240</v>
      </c>
      <c r="C105" s="976"/>
    </row>
    <row r="106" spans="1:3">
      <c r="A106" s="981" t="s">
        <v>489</v>
      </c>
      <c r="B106" s="982"/>
      <c r="C106" s="983"/>
    </row>
    <row r="107" spans="1:3" ht="12" customHeight="1">
      <c r="A107" s="397"/>
      <c r="B107" s="975" t="s">
        <v>491</v>
      </c>
      <c r="C107" s="976"/>
    </row>
    <row r="108" spans="1:3">
      <c r="A108" s="397"/>
      <c r="B108" s="975" t="s">
        <v>492</v>
      </c>
      <c r="C108" s="976"/>
    </row>
    <row r="109" spans="1:3">
      <c r="A109" s="397"/>
      <c r="B109" s="975" t="s">
        <v>490</v>
      </c>
      <c r="C109" s="976"/>
    </row>
    <row r="110" spans="1:3">
      <c r="A110" s="972" t="s">
        <v>724</v>
      </c>
      <c r="B110" s="972"/>
      <c r="C110" s="972"/>
    </row>
    <row r="111" spans="1:3">
      <c r="A111" s="977" t="s">
        <v>187</v>
      </c>
      <c r="B111" s="977"/>
      <c r="C111" s="977"/>
    </row>
    <row r="112" spans="1:3">
      <c r="A112" s="612">
        <v>1</v>
      </c>
      <c r="B112" s="962" t="s">
        <v>607</v>
      </c>
      <c r="C112" s="963"/>
    </row>
    <row r="113" spans="1:3">
      <c r="A113" s="612">
        <v>2</v>
      </c>
      <c r="B113" s="978" t="s">
        <v>608</v>
      </c>
      <c r="C113" s="979"/>
    </row>
    <row r="114" spans="1:3">
      <c r="A114" s="612">
        <v>3</v>
      </c>
      <c r="B114" s="962" t="s">
        <v>934</v>
      </c>
      <c r="C114" s="963"/>
    </row>
    <row r="115" spans="1:3">
      <c r="A115" s="612">
        <v>4</v>
      </c>
      <c r="B115" s="962" t="s">
        <v>933</v>
      </c>
      <c r="C115" s="963"/>
    </row>
    <row r="116" spans="1:3">
      <c r="A116" s="612">
        <v>5</v>
      </c>
      <c r="B116" s="616" t="s">
        <v>932</v>
      </c>
      <c r="C116" s="615"/>
    </row>
    <row r="117" spans="1:3">
      <c r="A117" s="612">
        <v>6</v>
      </c>
      <c r="B117" s="962" t="s">
        <v>945</v>
      </c>
      <c r="C117" s="963"/>
    </row>
    <row r="118" spans="1:3" ht="48.6" customHeight="1">
      <c r="A118" s="612">
        <v>7</v>
      </c>
      <c r="B118" s="962" t="s">
        <v>946</v>
      </c>
      <c r="C118" s="963"/>
    </row>
    <row r="119" spans="1:3">
      <c r="A119" s="586">
        <v>8</v>
      </c>
      <c r="B119" s="583" t="s">
        <v>634</v>
      </c>
      <c r="C119" s="609" t="s">
        <v>931</v>
      </c>
    </row>
    <row r="120" spans="1:3" ht="22.5">
      <c r="A120" s="612">
        <v>9.01</v>
      </c>
      <c r="B120" s="583" t="s">
        <v>518</v>
      </c>
      <c r="C120" s="596" t="s">
        <v>683</v>
      </c>
    </row>
    <row r="121" spans="1:3" ht="33.75">
      <c r="A121" s="612">
        <v>9.02</v>
      </c>
      <c r="B121" s="583" t="s">
        <v>519</v>
      </c>
      <c r="C121" s="596" t="s">
        <v>686</v>
      </c>
    </row>
    <row r="122" spans="1:3">
      <c r="A122" s="612">
        <v>9.0299999999999994</v>
      </c>
      <c r="B122" s="599" t="s">
        <v>868</v>
      </c>
      <c r="C122" s="599" t="s">
        <v>609</v>
      </c>
    </row>
    <row r="123" spans="1:3">
      <c r="A123" s="612">
        <v>9.0399999999999991</v>
      </c>
      <c r="B123" s="583" t="s">
        <v>520</v>
      </c>
      <c r="C123" s="599" t="s">
        <v>610</v>
      </c>
    </row>
    <row r="124" spans="1:3">
      <c r="A124" s="612">
        <v>9.0500000000000007</v>
      </c>
      <c r="B124" s="583" t="s">
        <v>521</v>
      </c>
      <c r="C124" s="599" t="s">
        <v>611</v>
      </c>
    </row>
    <row r="125" spans="1:3" ht="22.5">
      <c r="A125" s="612">
        <v>9.06</v>
      </c>
      <c r="B125" s="583" t="s">
        <v>522</v>
      </c>
      <c r="C125" s="599" t="s">
        <v>612</v>
      </c>
    </row>
    <row r="126" spans="1:3">
      <c r="A126" s="612">
        <v>9.07</v>
      </c>
      <c r="B126" s="614" t="s">
        <v>523</v>
      </c>
      <c r="C126" s="599" t="s">
        <v>613</v>
      </c>
    </row>
    <row r="127" spans="1:3" ht="22.5">
      <c r="A127" s="612">
        <v>9.08</v>
      </c>
      <c r="B127" s="583" t="s">
        <v>524</v>
      </c>
      <c r="C127" s="599" t="s">
        <v>614</v>
      </c>
    </row>
    <row r="128" spans="1:3" ht="22.5">
      <c r="A128" s="612">
        <v>9.09</v>
      </c>
      <c r="B128" s="583" t="s">
        <v>525</v>
      </c>
      <c r="C128" s="599" t="s">
        <v>615</v>
      </c>
    </row>
    <row r="129" spans="1:3">
      <c r="A129" s="613">
        <v>9.1</v>
      </c>
      <c r="B129" s="583" t="s">
        <v>526</v>
      </c>
      <c r="C129" s="599" t="s">
        <v>616</v>
      </c>
    </row>
    <row r="130" spans="1:3">
      <c r="A130" s="612">
        <v>9.11</v>
      </c>
      <c r="B130" s="583" t="s">
        <v>527</v>
      </c>
      <c r="C130" s="599" t="s">
        <v>617</v>
      </c>
    </row>
    <row r="131" spans="1:3">
      <c r="A131" s="612">
        <v>9.1199999999999992</v>
      </c>
      <c r="B131" s="583" t="s">
        <v>528</v>
      </c>
      <c r="C131" s="599" t="s">
        <v>618</v>
      </c>
    </row>
    <row r="132" spans="1:3">
      <c r="A132" s="612">
        <v>9.1300000000000008</v>
      </c>
      <c r="B132" s="583" t="s">
        <v>529</v>
      </c>
      <c r="C132" s="599" t="s">
        <v>619</v>
      </c>
    </row>
    <row r="133" spans="1:3">
      <c r="A133" s="612">
        <v>9.14</v>
      </c>
      <c r="B133" s="583" t="s">
        <v>530</v>
      </c>
      <c r="C133" s="599" t="s">
        <v>620</v>
      </c>
    </row>
    <row r="134" spans="1:3">
      <c r="A134" s="612">
        <v>9.15</v>
      </c>
      <c r="B134" s="583" t="s">
        <v>531</v>
      </c>
      <c r="C134" s="599" t="s">
        <v>621</v>
      </c>
    </row>
    <row r="135" spans="1:3" ht="22.5">
      <c r="A135" s="612">
        <v>9.16</v>
      </c>
      <c r="B135" s="583" t="s">
        <v>532</v>
      </c>
      <c r="C135" s="599" t="s">
        <v>622</v>
      </c>
    </row>
    <row r="136" spans="1:3">
      <c r="A136" s="612">
        <v>9.17</v>
      </c>
      <c r="B136" s="599" t="s">
        <v>533</v>
      </c>
      <c r="C136" s="599" t="s">
        <v>623</v>
      </c>
    </row>
    <row r="137" spans="1:3" ht="22.5">
      <c r="A137" s="612">
        <v>9.18</v>
      </c>
      <c r="B137" s="583" t="s">
        <v>534</v>
      </c>
      <c r="C137" s="599" t="s">
        <v>624</v>
      </c>
    </row>
    <row r="138" spans="1:3">
      <c r="A138" s="612">
        <v>9.19</v>
      </c>
      <c r="B138" s="583" t="s">
        <v>535</v>
      </c>
      <c r="C138" s="599" t="s">
        <v>625</v>
      </c>
    </row>
    <row r="139" spans="1:3">
      <c r="A139" s="613">
        <v>9.1999999999999993</v>
      </c>
      <c r="B139" s="583" t="s">
        <v>536</v>
      </c>
      <c r="C139" s="599" t="s">
        <v>626</v>
      </c>
    </row>
    <row r="140" spans="1:3">
      <c r="A140" s="612">
        <v>9.2100000000000009</v>
      </c>
      <c r="B140" s="583" t="s">
        <v>537</v>
      </c>
      <c r="C140" s="599" t="s">
        <v>627</v>
      </c>
    </row>
    <row r="141" spans="1:3">
      <c r="A141" s="612">
        <v>9.2200000000000006</v>
      </c>
      <c r="B141" s="583" t="s">
        <v>538</v>
      </c>
      <c r="C141" s="599" t="s">
        <v>628</v>
      </c>
    </row>
    <row r="142" spans="1:3" ht="22.5">
      <c r="A142" s="612">
        <v>9.23</v>
      </c>
      <c r="B142" s="583" t="s">
        <v>539</v>
      </c>
      <c r="C142" s="599" t="s">
        <v>629</v>
      </c>
    </row>
    <row r="143" spans="1:3" ht="22.5">
      <c r="A143" s="612">
        <v>9.24</v>
      </c>
      <c r="B143" s="583" t="s">
        <v>540</v>
      </c>
      <c r="C143" s="599" t="s">
        <v>630</v>
      </c>
    </row>
    <row r="144" spans="1:3">
      <c r="A144" s="612">
        <v>9.2500000000000107</v>
      </c>
      <c r="B144" s="583" t="s">
        <v>541</v>
      </c>
      <c r="C144" s="599" t="s">
        <v>631</v>
      </c>
    </row>
    <row r="145" spans="1:3" ht="22.5">
      <c r="A145" s="612">
        <v>9.2600000000000193</v>
      </c>
      <c r="B145" s="583" t="s">
        <v>632</v>
      </c>
      <c r="C145" s="611" t="s">
        <v>633</v>
      </c>
    </row>
    <row r="146" spans="1:3" s="398" customFormat="1" ht="22.5">
      <c r="A146" s="612">
        <v>9.2700000000000298</v>
      </c>
      <c r="B146" s="583" t="s">
        <v>99</v>
      </c>
      <c r="C146" s="611" t="s">
        <v>684</v>
      </c>
    </row>
    <row r="147" spans="1:3" s="398" customFormat="1">
      <c r="A147" s="587"/>
      <c r="B147" s="958" t="s">
        <v>635</v>
      </c>
      <c r="C147" s="959"/>
    </row>
    <row r="148" spans="1:3" s="398" customFormat="1">
      <c r="A148" s="586">
        <v>1</v>
      </c>
      <c r="B148" s="964" t="s">
        <v>930</v>
      </c>
      <c r="C148" s="965"/>
    </row>
    <row r="149" spans="1:3" s="398" customFormat="1">
      <c r="A149" s="586">
        <v>2</v>
      </c>
      <c r="B149" s="964" t="s">
        <v>685</v>
      </c>
      <c r="C149" s="965"/>
    </row>
    <row r="150" spans="1:3" s="398" customFormat="1">
      <c r="A150" s="586">
        <v>3</v>
      </c>
      <c r="B150" s="964" t="s">
        <v>682</v>
      </c>
      <c r="C150" s="965"/>
    </row>
    <row r="151" spans="1:3" s="398" customFormat="1">
      <c r="A151" s="587"/>
      <c r="B151" s="958" t="s">
        <v>636</v>
      </c>
      <c r="C151" s="959"/>
    </row>
    <row r="152" spans="1:3" s="398" customFormat="1">
      <c r="A152" s="586">
        <v>1</v>
      </c>
      <c r="B152" s="966" t="s">
        <v>929</v>
      </c>
      <c r="C152" s="967"/>
    </row>
    <row r="153" spans="1:3" s="398" customFormat="1">
      <c r="A153" s="586">
        <v>2</v>
      </c>
      <c r="B153" s="583" t="s">
        <v>866</v>
      </c>
      <c r="C153" s="609" t="s">
        <v>950</v>
      </c>
    </row>
    <row r="154" spans="1:3" ht="22.5">
      <c r="A154" s="586">
        <v>3</v>
      </c>
      <c r="B154" s="583" t="s">
        <v>865</v>
      </c>
      <c r="C154" s="609" t="s">
        <v>928</v>
      </c>
    </row>
    <row r="155" spans="1:3">
      <c r="A155" s="586">
        <v>4</v>
      </c>
      <c r="B155" s="583" t="s">
        <v>511</v>
      </c>
      <c r="C155" s="583" t="s">
        <v>951</v>
      </c>
    </row>
    <row r="156" spans="1:3" ht="24.95" customHeight="1">
      <c r="A156" s="587"/>
      <c r="B156" s="958" t="s">
        <v>637</v>
      </c>
      <c r="C156" s="959"/>
    </row>
    <row r="157" spans="1:3" ht="33.75">
      <c r="A157" s="586"/>
      <c r="B157" s="583" t="s">
        <v>917</v>
      </c>
      <c r="C157" s="588" t="s">
        <v>952</v>
      </c>
    </row>
    <row r="158" spans="1:3">
      <c r="A158" s="587"/>
      <c r="B158" s="958" t="s">
        <v>638</v>
      </c>
      <c r="C158" s="959"/>
    </row>
    <row r="159" spans="1:3" ht="39" customHeight="1">
      <c r="A159" s="587"/>
      <c r="B159" s="960" t="s">
        <v>927</v>
      </c>
      <c r="C159" s="961"/>
    </row>
    <row r="160" spans="1:3">
      <c r="A160" s="587" t="s">
        <v>639</v>
      </c>
      <c r="B160" s="610" t="s">
        <v>549</v>
      </c>
      <c r="C160" s="601" t="s">
        <v>640</v>
      </c>
    </row>
    <row r="161" spans="1:3">
      <c r="A161" s="587" t="s">
        <v>369</v>
      </c>
      <c r="B161" s="607" t="s">
        <v>550</v>
      </c>
      <c r="C161" s="609" t="s">
        <v>926</v>
      </c>
    </row>
    <row r="162" spans="1:3" ht="22.5">
      <c r="A162" s="587" t="s">
        <v>376</v>
      </c>
      <c r="B162" s="601" t="s">
        <v>551</v>
      </c>
      <c r="C162" s="609" t="s">
        <v>641</v>
      </c>
    </row>
    <row r="163" spans="1:3">
      <c r="A163" s="587" t="s">
        <v>642</v>
      </c>
      <c r="B163" s="607" t="s">
        <v>552</v>
      </c>
      <c r="C163" s="608" t="s">
        <v>643</v>
      </c>
    </row>
    <row r="164" spans="1:3" ht="22.5">
      <c r="A164" s="587" t="s">
        <v>644</v>
      </c>
      <c r="B164" s="607" t="s">
        <v>881</v>
      </c>
      <c r="C164" s="606" t="s">
        <v>925</v>
      </c>
    </row>
    <row r="165" spans="1:3" ht="22.5">
      <c r="A165" s="587" t="s">
        <v>377</v>
      </c>
      <c r="B165" s="607" t="s">
        <v>553</v>
      </c>
      <c r="C165" s="606" t="s">
        <v>646</v>
      </c>
    </row>
    <row r="166" spans="1:3" ht="22.5">
      <c r="A166" s="587" t="s">
        <v>645</v>
      </c>
      <c r="B166" s="604" t="s">
        <v>556</v>
      </c>
      <c r="C166" s="605" t="s">
        <v>653</v>
      </c>
    </row>
    <row r="167" spans="1:3" ht="22.5">
      <c r="A167" s="587" t="s">
        <v>647</v>
      </c>
      <c r="B167" s="604" t="s">
        <v>554</v>
      </c>
      <c r="C167" s="606" t="s">
        <v>649</v>
      </c>
    </row>
    <row r="168" spans="1:3" ht="26.45" customHeight="1">
      <c r="A168" s="587" t="s">
        <v>648</v>
      </c>
      <c r="B168" s="604" t="s">
        <v>555</v>
      </c>
      <c r="C168" s="605" t="s">
        <v>651</v>
      </c>
    </row>
    <row r="169" spans="1:3" ht="22.5">
      <c r="A169" s="587" t="s">
        <v>650</v>
      </c>
      <c r="B169" s="581" t="s">
        <v>557</v>
      </c>
      <c r="C169" s="605" t="s">
        <v>655</v>
      </c>
    </row>
    <row r="170" spans="1:3" ht="22.5">
      <c r="A170" s="587" t="s">
        <v>652</v>
      </c>
      <c r="B170" s="604" t="s">
        <v>558</v>
      </c>
      <c r="C170" s="603" t="s">
        <v>656</v>
      </c>
    </row>
    <row r="171" spans="1:3">
      <c r="A171" s="587" t="s">
        <v>654</v>
      </c>
      <c r="B171" s="602" t="s">
        <v>559</v>
      </c>
      <c r="C171" s="601" t="s">
        <v>657</v>
      </c>
    </row>
    <row r="172" spans="1:3" ht="22.5">
      <c r="A172" s="587"/>
      <c r="B172" s="600" t="s">
        <v>924</v>
      </c>
      <c r="C172" s="599" t="s">
        <v>658</v>
      </c>
    </row>
    <row r="173" spans="1:3" ht="22.5">
      <c r="A173" s="587"/>
      <c r="B173" s="600" t="s">
        <v>923</v>
      </c>
      <c r="C173" s="599" t="s">
        <v>659</v>
      </c>
    </row>
    <row r="174" spans="1:3" ht="22.5">
      <c r="A174" s="587"/>
      <c r="B174" s="600" t="s">
        <v>922</v>
      </c>
      <c r="C174" s="599" t="s">
        <v>660</v>
      </c>
    </row>
    <row r="175" spans="1:3">
      <c r="A175" s="587"/>
      <c r="B175" s="958" t="s">
        <v>661</v>
      </c>
      <c r="C175" s="959"/>
    </row>
    <row r="176" spans="1:3">
      <c r="A176" s="587"/>
      <c r="B176" s="964" t="s">
        <v>921</v>
      </c>
      <c r="C176" s="965"/>
    </row>
    <row r="177" spans="1:3">
      <c r="A177" s="586">
        <v>1</v>
      </c>
      <c r="B177" s="599" t="s">
        <v>563</v>
      </c>
      <c r="C177" s="599" t="s">
        <v>563</v>
      </c>
    </row>
    <row r="178" spans="1:3" ht="33.75">
      <c r="A178" s="586">
        <v>2</v>
      </c>
      <c r="B178" s="599" t="s">
        <v>662</v>
      </c>
      <c r="C178" s="599" t="s">
        <v>663</v>
      </c>
    </row>
    <row r="179" spans="1:3">
      <c r="A179" s="586">
        <v>3</v>
      </c>
      <c r="B179" s="599" t="s">
        <v>565</v>
      </c>
      <c r="C179" s="599" t="s">
        <v>664</v>
      </c>
    </row>
    <row r="180" spans="1:3" ht="22.5">
      <c r="A180" s="586">
        <v>4</v>
      </c>
      <c r="B180" s="599" t="s">
        <v>566</v>
      </c>
      <c r="C180" s="599" t="s">
        <v>665</v>
      </c>
    </row>
    <row r="181" spans="1:3" ht="22.5">
      <c r="A181" s="586">
        <v>5</v>
      </c>
      <c r="B181" s="599" t="s">
        <v>567</v>
      </c>
      <c r="C181" s="599" t="s">
        <v>687</v>
      </c>
    </row>
    <row r="182" spans="1:3" ht="45">
      <c r="A182" s="586">
        <v>6</v>
      </c>
      <c r="B182" s="599" t="s">
        <v>568</v>
      </c>
      <c r="C182" s="599" t="s">
        <v>666</v>
      </c>
    </row>
    <row r="183" spans="1:3">
      <c r="A183" s="587"/>
      <c r="B183" s="958" t="s">
        <v>667</v>
      </c>
      <c r="C183" s="959"/>
    </row>
    <row r="184" spans="1:3">
      <c r="A184" s="587"/>
      <c r="B184" s="969" t="s">
        <v>920</v>
      </c>
      <c r="C184" s="970"/>
    </row>
    <row r="185" spans="1:3" ht="22.5">
      <c r="A185" s="587">
        <v>1.1000000000000001</v>
      </c>
      <c r="B185" s="598" t="s">
        <v>573</v>
      </c>
      <c r="C185" s="596" t="s">
        <v>668</v>
      </c>
    </row>
    <row r="186" spans="1:3" ht="50.1" customHeight="1">
      <c r="A186" s="587" t="s">
        <v>157</v>
      </c>
      <c r="B186" s="582" t="s">
        <v>574</v>
      </c>
      <c r="C186" s="596" t="s">
        <v>669</v>
      </c>
    </row>
    <row r="187" spans="1:3">
      <c r="A187" s="587" t="s">
        <v>575</v>
      </c>
      <c r="B187" s="597" t="s">
        <v>576</v>
      </c>
      <c r="C187" s="971" t="s">
        <v>919</v>
      </c>
    </row>
    <row r="188" spans="1:3">
      <c r="A188" s="587" t="s">
        <v>577</v>
      </c>
      <c r="B188" s="597" t="s">
        <v>578</v>
      </c>
      <c r="C188" s="971"/>
    </row>
    <row r="189" spans="1:3">
      <c r="A189" s="587" t="s">
        <v>579</v>
      </c>
      <c r="B189" s="597" t="s">
        <v>580</v>
      </c>
      <c r="C189" s="971"/>
    </row>
    <row r="190" spans="1:3">
      <c r="A190" s="587" t="s">
        <v>581</v>
      </c>
      <c r="B190" s="597" t="s">
        <v>582</v>
      </c>
      <c r="C190" s="971"/>
    </row>
    <row r="191" spans="1:3" ht="25.5" customHeight="1">
      <c r="A191" s="587">
        <v>1.2</v>
      </c>
      <c r="B191" s="595" t="s">
        <v>895</v>
      </c>
      <c r="C191" s="580" t="s">
        <v>953</v>
      </c>
    </row>
    <row r="192" spans="1:3" ht="22.5">
      <c r="A192" s="587" t="s">
        <v>584</v>
      </c>
      <c r="B192" s="590" t="s">
        <v>585</v>
      </c>
      <c r="C192" s="593" t="s">
        <v>670</v>
      </c>
    </row>
    <row r="193" spans="1:4" ht="22.5">
      <c r="A193" s="587" t="s">
        <v>586</v>
      </c>
      <c r="B193" s="594" t="s">
        <v>587</v>
      </c>
      <c r="C193" s="593" t="s">
        <v>671</v>
      </c>
    </row>
    <row r="194" spans="1:4" ht="26.1" customHeight="1">
      <c r="A194" s="587" t="s">
        <v>588</v>
      </c>
      <c r="B194" s="592" t="s">
        <v>589</v>
      </c>
      <c r="C194" s="580" t="s">
        <v>672</v>
      </c>
    </row>
    <row r="195" spans="1:4" ht="22.5">
      <c r="A195" s="587" t="s">
        <v>590</v>
      </c>
      <c r="B195" s="591" t="s">
        <v>591</v>
      </c>
      <c r="C195" s="580" t="s">
        <v>673</v>
      </c>
      <c r="D195" s="399"/>
    </row>
    <row r="196" spans="1:4" ht="22.5">
      <c r="A196" s="587">
        <v>1.4</v>
      </c>
      <c r="B196" s="590" t="s">
        <v>680</v>
      </c>
      <c r="C196" s="589" t="s">
        <v>674</v>
      </c>
      <c r="D196" s="400"/>
    </row>
    <row r="197" spans="1:4" ht="12.75">
      <c r="A197" s="587">
        <v>1.5</v>
      </c>
      <c r="B197" s="590" t="s">
        <v>681</v>
      </c>
      <c r="C197" s="589" t="s">
        <v>674</v>
      </c>
      <c r="D197" s="401"/>
    </row>
    <row r="198" spans="1:4" ht="12.75">
      <c r="A198" s="587"/>
      <c r="B198" s="972" t="s">
        <v>675</v>
      </c>
      <c r="C198" s="972"/>
      <c r="D198" s="401"/>
    </row>
    <row r="199" spans="1:4" ht="12.75">
      <c r="A199" s="587"/>
      <c r="B199" s="969" t="s">
        <v>918</v>
      </c>
      <c r="C199" s="969"/>
      <c r="D199" s="401"/>
    </row>
    <row r="200" spans="1:4" ht="12.75">
      <c r="A200" s="586"/>
      <c r="B200" s="583" t="s">
        <v>917</v>
      </c>
      <c r="C200" s="588" t="s">
        <v>950</v>
      </c>
      <c r="D200" s="401"/>
    </row>
    <row r="201" spans="1:4" ht="12.75">
      <c r="A201" s="587"/>
      <c r="B201" s="972" t="s">
        <v>676</v>
      </c>
      <c r="C201" s="972"/>
      <c r="D201" s="402"/>
    </row>
    <row r="202" spans="1:4" ht="12.75">
      <c r="A202" s="586"/>
      <c r="B202" s="973" t="s">
        <v>916</v>
      </c>
      <c r="C202" s="973"/>
      <c r="D202" s="403"/>
    </row>
    <row r="203" spans="1:4" ht="12.75">
      <c r="B203" s="972" t="s">
        <v>714</v>
      </c>
      <c r="C203" s="972"/>
      <c r="D203" s="404"/>
    </row>
    <row r="204" spans="1:4" ht="22.5">
      <c r="A204" s="582">
        <v>1</v>
      </c>
      <c r="B204" s="583" t="s">
        <v>690</v>
      </c>
      <c r="C204" s="580" t="s">
        <v>702</v>
      </c>
      <c r="D204" s="403"/>
    </row>
    <row r="205" spans="1:4" ht="18" customHeight="1">
      <c r="A205" s="582">
        <v>2</v>
      </c>
      <c r="B205" s="583" t="s">
        <v>691</v>
      </c>
      <c r="C205" s="580" t="s">
        <v>703</v>
      </c>
      <c r="D205" s="404"/>
    </row>
    <row r="206" spans="1:4" ht="22.5">
      <c r="A206" s="582">
        <v>3</v>
      </c>
      <c r="B206" s="583" t="s">
        <v>692</v>
      </c>
      <c r="C206" s="583" t="s">
        <v>704</v>
      </c>
      <c r="D206" s="405"/>
    </row>
    <row r="207" spans="1:4" ht="12.75">
      <c r="A207" s="582">
        <v>4</v>
      </c>
      <c r="B207" s="583" t="s">
        <v>693</v>
      </c>
      <c r="C207" s="583" t="s">
        <v>705</v>
      </c>
      <c r="D207" s="405"/>
    </row>
    <row r="208" spans="1:4" ht="22.5">
      <c r="A208" s="582">
        <v>5</v>
      </c>
      <c r="B208" s="583" t="s">
        <v>694</v>
      </c>
      <c r="C208" s="583" t="s">
        <v>706</v>
      </c>
    </row>
    <row r="209" spans="1:3" ht="24.6" customHeight="1">
      <c r="A209" s="582">
        <v>6</v>
      </c>
      <c r="B209" s="583" t="s">
        <v>695</v>
      </c>
      <c r="C209" s="583" t="s">
        <v>707</v>
      </c>
    </row>
    <row r="210" spans="1:3" ht="22.5">
      <c r="A210" s="582">
        <v>7</v>
      </c>
      <c r="B210" s="583" t="s">
        <v>696</v>
      </c>
      <c r="C210" s="583" t="s">
        <v>708</v>
      </c>
    </row>
    <row r="211" spans="1:3">
      <c r="A211" s="582">
        <v>7.1</v>
      </c>
      <c r="B211" s="585" t="s">
        <v>697</v>
      </c>
      <c r="C211" s="583" t="s">
        <v>709</v>
      </c>
    </row>
    <row r="212" spans="1:3" ht="22.5">
      <c r="A212" s="582">
        <v>7.2</v>
      </c>
      <c r="B212" s="585" t="s">
        <v>698</v>
      </c>
      <c r="C212" s="583" t="s">
        <v>710</v>
      </c>
    </row>
    <row r="213" spans="1:3">
      <c r="A213" s="582">
        <v>7.3</v>
      </c>
      <c r="B213" s="584" t="s">
        <v>699</v>
      </c>
      <c r="C213" s="583" t="s">
        <v>711</v>
      </c>
    </row>
    <row r="214" spans="1:3" ht="39.6" customHeight="1">
      <c r="A214" s="582">
        <v>8</v>
      </c>
      <c r="B214" s="583" t="s">
        <v>700</v>
      </c>
      <c r="C214" s="580" t="s">
        <v>712</v>
      </c>
    </row>
    <row r="215" spans="1:3">
      <c r="A215" s="582">
        <v>9</v>
      </c>
      <c r="B215" s="583" t="s">
        <v>701</v>
      </c>
      <c r="C215" s="580" t="s">
        <v>713</v>
      </c>
    </row>
    <row r="216" spans="1:3" ht="22.5">
      <c r="A216" s="625">
        <v>10.1</v>
      </c>
      <c r="B216" s="626" t="s">
        <v>721</v>
      </c>
      <c r="C216" s="617" t="s">
        <v>722</v>
      </c>
    </row>
    <row r="217" spans="1:3">
      <c r="A217" s="974"/>
      <c r="B217" s="627" t="s">
        <v>908</v>
      </c>
      <c r="C217" s="580" t="s">
        <v>915</v>
      </c>
    </row>
    <row r="218" spans="1:3">
      <c r="A218" s="974"/>
      <c r="B218" s="581" t="s">
        <v>572</v>
      </c>
      <c r="C218" s="580" t="s">
        <v>914</v>
      </c>
    </row>
    <row r="219" spans="1:3">
      <c r="A219" s="974"/>
      <c r="B219" s="581" t="s">
        <v>907</v>
      </c>
      <c r="C219" s="580" t="s">
        <v>954</v>
      </c>
    </row>
    <row r="220" spans="1:3">
      <c r="A220" s="974"/>
      <c r="B220" s="581" t="s">
        <v>715</v>
      </c>
      <c r="C220" s="580" t="s">
        <v>913</v>
      </c>
    </row>
    <row r="221" spans="1:3" ht="22.5">
      <c r="A221" s="974"/>
      <c r="B221" s="581" t="s">
        <v>719</v>
      </c>
      <c r="C221" s="596" t="s">
        <v>912</v>
      </c>
    </row>
    <row r="222" spans="1:3" ht="33.75">
      <c r="A222" s="974"/>
      <c r="B222" s="581" t="s">
        <v>718</v>
      </c>
      <c r="C222" s="580" t="s">
        <v>911</v>
      </c>
    </row>
    <row r="223" spans="1:3">
      <c r="A223" s="974"/>
      <c r="B223" s="581" t="s">
        <v>955</v>
      </c>
      <c r="C223" s="580" t="s">
        <v>910</v>
      </c>
    </row>
    <row r="224" spans="1:3" ht="22.5">
      <c r="A224" s="974"/>
      <c r="B224" s="581" t="s">
        <v>956</v>
      </c>
      <c r="C224" s="580" t="s">
        <v>909</v>
      </c>
    </row>
    <row r="225" spans="1:3" ht="12.75">
      <c r="A225" s="618"/>
      <c r="B225" s="619"/>
      <c r="C225" s="620"/>
    </row>
    <row r="226" spans="1:3" ht="12.75">
      <c r="A226" s="618"/>
      <c r="B226" s="620"/>
      <c r="C226" s="621"/>
    </row>
    <row r="227" spans="1:3" ht="12.75">
      <c r="A227" s="618"/>
      <c r="B227" s="620"/>
      <c r="C227" s="621"/>
    </row>
    <row r="228" spans="1:3" ht="12.75">
      <c r="A228" s="618"/>
      <c r="B228" s="622"/>
      <c r="C228" s="621"/>
    </row>
    <row r="229" spans="1:3" ht="12.75">
      <c r="A229" s="968"/>
      <c r="B229" s="623"/>
      <c r="C229" s="621"/>
    </row>
    <row r="230" spans="1:3" ht="12.75">
      <c r="A230" s="968"/>
      <c r="B230" s="623"/>
      <c r="C230" s="621"/>
    </row>
    <row r="231" spans="1:3" ht="12.75">
      <c r="A231" s="968"/>
      <c r="B231" s="623"/>
      <c r="C231" s="621"/>
    </row>
    <row r="232" spans="1:3" ht="12.75">
      <c r="A232" s="968"/>
      <c r="B232" s="623"/>
      <c r="C232" s="624"/>
    </row>
    <row r="233" spans="1:3" ht="40.5" customHeight="1">
      <c r="A233" s="968"/>
      <c r="B233" s="623"/>
      <c r="C233" s="621"/>
    </row>
    <row r="234" spans="1:3" ht="24" customHeight="1">
      <c r="A234" s="968"/>
      <c r="B234" s="623"/>
      <c r="C234" s="621"/>
    </row>
    <row r="235" spans="1:3" ht="12.75">
      <c r="A235" s="968"/>
      <c r="B235" s="623"/>
      <c r="C235" s="621"/>
    </row>
  </sheetData>
  <mergeCells count="131">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 ref="B22:C22"/>
    <mergeCell ref="B23:C23"/>
    <mergeCell ref="B24:C24"/>
    <mergeCell ref="B16:C16"/>
    <mergeCell ref="B17:C17"/>
    <mergeCell ref="B18:C18"/>
    <mergeCell ref="B31:C31"/>
    <mergeCell ref="B32:C32"/>
    <mergeCell ref="B34:C34"/>
    <mergeCell ref="B35:C35"/>
    <mergeCell ref="B33:C33"/>
    <mergeCell ref="B36:C36"/>
    <mergeCell ref="B39:C39"/>
    <mergeCell ref="B25:C25"/>
    <mergeCell ref="A26:C26"/>
    <mergeCell ref="B27:C27"/>
    <mergeCell ref="A28:C28"/>
    <mergeCell ref="B29:C29"/>
    <mergeCell ref="B30:C30"/>
    <mergeCell ref="B42:C42"/>
    <mergeCell ref="B43:C43"/>
    <mergeCell ref="B44:C44"/>
    <mergeCell ref="A45:C45"/>
    <mergeCell ref="B46:C46"/>
    <mergeCell ref="A47:C47"/>
    <mergeCell ref="B37:C37"/>
    <mergeCell ref="B38:C38"/>
    <mergeCell ref="B40:C40"/>
    <mergeCell ref="A41:C41"/>
    <mergeCell ref="A54:C54"/>
    <mergeCell ref="B55:C55"/>
    <mergeCell ref="B56:C56"/>
    <mergeCell ref="B57:C57"/>
    <mergeCell ref="B58:C58"/>
    <mergeCell ref="B59:C59"/>
    <mergeCell ref="B48:C48"/>
    <mergeCell ref="B49:C49"/>
    <mergeCell ref="B50:C50"/>
    <mergeCell ref="B51:C51"/>
    <mergeCell ref="B52:C52"/>
    <mergeCell ref="B53:C53"/>
    <mergeCell ref="A66:C66"/>
    <mergeCell ref="B67:C67"/>
    <mergeCell ref="B68:C68"/>
    <mergeCell ref="B69:C69"/>
    <mergeCell ref="B70:C70"/>
    <mergeCell ref="B71:C71"/>
    <mergeCell ref="B60:C60"/>
    <mergeCell ref="B61:C61"/>
    <mergeCell ref="B62:C62"/>
    <mergeCell ref="B63:C63"/>
    <mergeCell ref="A64:C64"/>
    <mergeCell ref="B65:C65"/>
    <mergeCell ref="B78:C78"/>
    <mergeCell ref="A79:C79"/>
    <mergeCell ref="B80:C80"/>
    <mergeCell ref="B81:C81"/>
    <mergeCell ref="B82:C82"/>
    <mergeCell ref="B83:C83"/>
    <mergeCell ref="B72:C72"/>
    <mergeCell ref="B73:C73"/>
    <mergeCell ref="B74:C74"/>
    <mergeCell ref="A75:C75"/>
    <mergeCell ref="B76:C76"/>
    <mergeCell ref="B77:C77"/>
    <mergeCell ref="B90:C90"/>
    <mergeCell ref="B91:C91"/>
    <mergeCell ref="B92:C92"/>
    <mergeCell ref="B93:C93"/>
    <mergeCell ref="B94:C94"/>
    <mergeCell ref="A95:C95"/>
    <mergeCell ref="B84:C84"/>
    <mergeCell ref="B85:C85"/>
    <mergeCell ref="B86:C86"/>
    <mergeCell ref="A87:C87"/>
    <mergeCell ref="B88:C88"/>
    <mergeCell ref="B89:C89"/>
    <mergeCell ref="B109:C109"/>
    <mergeCell ref="A110:C110"/>
    <mergeCell ref="A111:C111"/>
    <mergeCell ref="B112:C112"/>
    <mergeCell ref="B113:C113"/>
    <mergeCell ref="B114:C114"/>
    <mergeCell ref="A96:C96"/>
    <mergeCell ref="A104:C104"/>
    <mergeCell ref="B105:C105"/>
    <mergeCell ref="A106:C106"/>
    <mergeCell ref="B107:C107"/>
    <mergeCell ref="B108:C108"/>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5"/>
  <sheetViews>
    <sheetView showGridLines="0" zoomScaleNormal="100" workbookViewId="0">
      <selection activeCell="B1" sqref="B1:B2"/>
    </sheetView>
  </sheetViews>
  <sheetFormatPr defaultRowHeight="15"/>
  <cols>
    <col min="2" max="2" width="66.5703125" customWidth="1"/>
    <col min="3" max="8" width="17.85546875" customWidth="1"/>
  </cols>
  <sheetData>
    <row r="1" spans="1:8" ht="15.75">
      <c r="A1" s="17" t="s">
        <v>108</v>
      </c>
      <c r="B1" s="636" t="str">
        <f>'1. key ratios'!B1</f>
        <v>სს იშბანკი საქართველო</v>
      </c>
      <c r="C1" s="16"/>
      <c r="D1" s="222"/>
      <c r="E1" s="222"/>
      <c r="F1" s="222"/>
      <c r="G1" s="222"/>
    </row>
    <row r="2" spans="1:8" ht="15.75">
      <c r="A2" s="17" t="s">
        <v>109</v>
      </c>
      <c r="B2" s="637">
        <f>'1. key ratios'!B2</f>
        <v>45016</v>
      </c>
      <c r="C2" s="29"/>
      <c r="D2" s="18"/>
      <c r="E2" s="18"/>
      <c r="F2" s="18"/>
      <c r="G2" s="18"/>
      <c r="H2" s="1"/>
    </row>
    <row r="3" spans="1:8" ht="15.75">
      <c r="A3" s="17"/>
      <c r="B3" s="16"/>
      <c r="C3" s="29"/>
      <c r="D3" s="18"/>
      <c r="E3" s="18"/>
      <c r="F3" s="18"/>
      <c r="G3" s="18"/>
      <c r="H3" s="1"/>
    </row>
    <row r="4" spans="1:8">
      <c r="A4" s="854" t="s">
        <v>25</v>
      </c>
      <c r="B4" s="852" t="s">
        <v>166</v>
      </c>
      <c r="C4" s="847" t="s">
        <v>114</v>
      </c>
      <c r="D4" s="847"/>
      <c r="E4" s="847"/>
      <c r="F4" s="847" t="s">
        <v>115</v>
      </c>
      <c r="G4" s="847"/>
      <c r="H4" s="848"/>
    </row>
    <row r="5" spans="1:8" ht="15.6" customHeight="1">
      <c r="A5" s="855"/>
      <c r="B5" s="853"/>
      <c r="C5" s="440" t="s">
        <v>26</v>
      </c>
      <c r="D5" s="440" t="s">
        <v>88</v>
      </c>
      <c r="E5" s="440" t="s">
        <v>66</v>
      </c>
      <c r="F5" s="440" t="s">
        <v>26</v>
      </c>
      <c r="G5" s="440" t="s">
        <v>88</v>
      </c>
      <c r="H5" s="440" t="s">
        <v>66</v>
      </c>
    </row>
    <row r="6" spans="1:8">
      <c r="A6" s="469">
        <v>1</v>
      </c>
      <c r="B6" s="441" t="s">
        <v>776</v>
      </c>
      <c r="C6" s="680">
        <f>SUM(C7:C12)</f>
        <v>5465658.2346065687</v>
      </c>
      <c r="D6" s="680">
        <f>SUM(D7:D12)</f>
        <v>3105948.97729473</v>
      </c>
      <c r="E6" s="681">
        <f>C6+D6</f>
        <v>8571607.2119012997</v>
      </c>
      <c r="F6" s="424">
        <f>SUM(F7:F12)</f>
        <v>0</v>
      </c>
      <c r="G6" s="424">
        <f>SUM(G7:G12)</f>
        <v>0</v>
      </c>
      <c r="H6" s="425">
        <f>F6+G6</f>
        <v>0</v>
      </c>
    </row>
    <row r="7" spans="1:8">
      <c r="A7" s="469">
        <v>1.1000000000000001</v>
      </c>
      <c r="B7" s="442" t="s">
        <v>730</v>
      </c>
      <c r="C7" s="680"/>
      <c r="D7" s="680"/>
      <c r="E7" s="681">
        <f t="shared" ref="E7:E45" si="0">C7+D7</f>
        <v>0</v>
      </c>
      <c r="F7" s="424"/>
      <c r="G7" s="424"/>
      <c r="H7" s="425">
        <f t="shared" ref="H7:H45" si="1">F7+G7</f>
        <v>0</v>
      </c>
    </row>
    <row r="8" spans="1:8" ht="21">
      <c r="A8" s="469">
        <v>1.2</v>
      </c>
      <c r="B8" s="442" t="s">
        <v>777</v>
      </c>
      <c r="C8" s="680"/>
      <c r="D8" s="680"/>
      <c r="E8" s="681">
        <f t="shared" si="0"/>
        <v>0</v>
      </c>
      <c r="F8" s="424"/>
      <c r="G8" s="424"/>
      <c r="H8" s="425">
        <f t="shared" si="1"/>
        <v>0</v>
      </c>
    </row>
    <row r="9" spans="1:8" ht="21.6" customHeight="1">
      <c r="A9" s="469">
        <v>1.3</v>
      </c>
      <c r="B9" s="436" t="s">
        <v>778</v>
      </c>
      <c r="C9" s="680"/>
      <c r="D9" s="680"/>
      <c r="E9" s="681">
        <f t="shared" si="0"/>
        <v>0</v>
      </c>
      <c r="F9" s="424"/>
      <c r="G9" s="424"/>
      <c r="H9" s="425">
        <f t="shared" si="1"/>
        <v>0</v>
      </c>
    </row>
    <row r="10" spans="1:8" ht="21">
      <c r="A10" s="469">
        <v>1.4</v>
      </c>
      <c r="B10" s="436" t="s">
        <v>734</v>
      </c>
      <c r="C10" s="680">
        <v>2762.8174175824179</v>
      </c>
      <c r="D10" s="680">
        <v>15603.108844776407</v>
      </c>
      <c r="E10" s="681">
        <f t="shared" si="0"/>
        <v>18365.926262358826</v>
      </c>
      <c r="F10" s="424"/>
      <c r="G10" s="424"/>
      <c r="H10" s="425">
        <f t="shared" si="1"/>
        <v>0</v>
      </c>
    </row>
    <row r="11" spans="1:8">
      <c r="A11" s="469">
        <v>1.5</v>
      </c>
      <c r="B11" s="436" t="s">
        <v>737</v>
      </c>
      <c r="C11" s="680">
        <v>5462895.4171889862</v>
      </c>
      <c r="D11" s="680">
        <v>3090345.8684499534</v>
      </c>
      <c r="E11" s="681">
        <f t="shared" si="0"/>
        <v>8553241.2856389396</v>
      </c>
      <c r="F11" s="424"/>
      <c r="G11" s="424"/>
      <c r="H11" s="425">
        <f t="shared" si="1"/>
        <v>0</v>
      </c>
    </row>
    <row r="12" spans="1:8">
      <c r="A12" s="469">
        <v>1.6</v>
      </c>
      <c r="B12" s="443" t="s">
        <v>99</v>
      </c>
      <c r="C12" s="680"/>
      <c r="D12" s="680"/>
      <c r="E12" s="681">
        <f t="shared" si="0"/>
        <v>0</v>
      </c>
      <c r="F12" s="424"/>
      <c r="G12" s="424"/>
      <c r="H12" s="425">
        <f t="shared" si="1"/>
        <v>0</v>
      </c>
    </row>
    <row r="13" spans="1:8">
      <c r="A13" s="469">
        <v>2</v>
      </c>
      <c r="B13" s="444" t="s">
        <v>779</v>
      </c>
      <c r="C13" s="680">
        <f>SUM(C14:C17)</f>
        <v>-838733.51606290217</v>
      </c>
      <c r="D13" s="680">
        <f>SUM(D14:D17)</f>
        <v>-1484796.3874028369</v>
      </c>
      <c r="E13" s="681">
        <f t="shared" si="0"/>
        <v>-2323529.903465739</v>
      </c>
      <c r="F13" s="424">
        <f>SUM(F14:F17)</f>
        <v>0</v>
      </c>
      <c r="G13" s="424">
        <f>SUM(G14:G17)</f>
        <v>0</v>
      </c>
      <c r="H13" s="425">
        <f t="shared" si="1"/>
        <v>0</v>
      </c>
    </row>
    <row r="14" spans="1:8">
      <c r="A14" s="469">
        <v>2.1</v>
      </c>
      <c r="B14" s="436" t="s">
        <v>780</v>
      </c>
      <c r="C14" s="680"/>
      <c r="D14" s="680"/>
      <c r="E14" s="681">
        <f t="shared" si="0"/>
        <v>0</v>
      </c>
      <c r="F14" s="424"/>
      <c r="G14" s="424"/>
      <c r="H14" s="425">
        <f t="shared" si="1"/>
        <v>0</v>
      </c>
    </row>
    <row r="15" spans="1:8" ht="24.6" customHeight="1">
      <c r="A15" s="469">
        <v>2.2000000000000002</v>
      </c>
      <c r="B15" s="436" t="s">
        <v>781</v>
      </c>
      <c r="C15" s="680"/>
      <c r="D15" s="680"/>
      <c r="E15" s="681">
        <f t="shared" si="0"/>
        <v>0</v>
      </c>
      <c r="F15" s="424"/>
      <c r="G15" s="424"/>
      <c r="H15" s="425">
        <f t="shared" si="1"/>
        <v>0</v>
      </c>
    </row>
    <row r="16" spans="1:8" ht="20.45" customHeight="1">
      <c r="A16" s="469">
        <v>2.2999999999999998</v>
      </c>
      <c r="B16" s="436" t="s">
        <v>782</v>
      </c>
      <c r="C16" s="680">
        <v>-838733.51606290217</v>
      </c>
      <c r="D16" s="680">
        <v>-1484796.3874028369</v>
      </c>
      <c r="E16" s="681">
        <f t="shared" si="0"/>
        <v>-2323529.903465739</v>
      </c>
      <c r="F16" s="424"/>
      <c r="G16" s="424"/>
      <c r="H16" s="425">
        <f t="shared" si="1"/>
        <v>0</v>
      </c>
    </row>
    <row r="17" spans="1:8">
      <c r="A17" s="469">
        <v>2.4</v>
      </c>
      <c r="B17" s="436" t="s">
        <v>783</v>
      </c>
      <c r="C17" s="680"/>
      <c r="D17" s="680"/>
      <c r="E17" s="681">
        <f t="shared" si="0"/>
        <v>0</v>
      </c>
      <c r="F17" s="424"/>
      <c r="G17" s="424"/>
      <c r="H17" s="425">
        <f t="shared" si="1"/>
        <v>0</v>
      </c>
    </row>
    <row r="18" spans="1:8">
      <c r="A18" s="469">
        <v>3</v>
      </c>
      <c r="B18" s="444" t="s">
        <v>784</v>
      </c>
      <c r="C18" s="680"/>
      <c r="D18" s="680"/>
      <c r="E18" s="681">
        <f t="shared" si="0"/>
        <v>0</v>
      </c>
      <c r="F18" s="424"/>
      <c r="G18" s="424"/>
      <c r="H18" s="425">
        <f t="shared" si="1"/>
        <v>0</v>
      </c>
    </row>
    <row r="19" spans="1:8">
      <c r="A19" s="469">
        <v>4</v>
      </c>
      <c r="B19" s="444" t="s">
        <v>785</v>
      </c>
      <c r="C19" s="680">
        <v>30669.140000000036</v>
      </c>
      <c r="D19" s="680">
        <v>137073.50077200006</v>
      </c>
      <c r="E19" s="681">
        <f t="shared" si="0"/>
        <v>167742.6407720001</v>
      </c>
      <c r="F19" s="424"/>
      <c r="G19" s="424"/>
      <c r="H19" s="425">
        <f t="shared" si="1"/>
        <v>0</v>
      </c>
    </row>
    <row r="20" spans="1:8">
      <c r="A20" s="469">
        <v>5</v>
      </c>
      <c r="B20" s="444" t="s">
        <v>786</v>
      </c>
      <c r="C20" s="680">
        <v>-9105.9600000000009</v>
      </c>
      <c r="D20" s="680">
        <v>-217219.67725199999</v>
      </c>
      <c r="E20" s="681">
        <f t="shared" si="0"/>
        <v>-226325.63725199999</v>
      </c>
      <c r="F20" s="424"/>
      <c r="G20" s="424"/>
      <c r="H20" s="425">
        <f t="shared" si="1"/>
        <v>0</v>
      </c>
    </row>
    <row r="21" spans="1:8" ht="38.450000000000003" customHeight="1">
      <c r="A21" s="469">
        <v>6</v>
      </c>
      <c r="B21" s="444" t="s">
        <v>787</v>
      </c>
      <c r="C21" s="680"/>
      <c r="D21" s="680"/>
      <c r="E21" s="681">
        <f t="shared" si="0"/>
        <v>0</v>
      </c>
      <c r="F21" s="424"/>
      <c r="G21" s="424"/>
      <c r="H21" s="425">
        <f t="shared" si="1"/>
        <v>0</v>
      </c>
    </row>
    <row r="22" spans="1:8" ht="27.6" customHeight="1">
      <c r="A22" s="469">
        <v>7</v>
      </c>
      <c r="B22" s="444" t="s">
        <v>788</v>
      </c>
      <c r="C22" s="680"/>
      <c r="D22" s="680"/>
      <c r="E22" s="681">
        <f t="shared" si="0"/>
        <v>0</v>
      </c>
      <c r="F22" s="424"/>
      <c r="G22" s="424"/>
      <c r="H22" s="425">
        <f t="shared" si="1"/>
        <v>0</v>
      </c>
    </row>
    <row r="23" spans="1:8" ht="36.950000000000003" customHeight="1">
      <c r="A23" s="469">
        <v>8</v>
      </c>
      <c r="B23" s="445" t="s">
        <v>789</v>
      </c>
      <c r="C23" s="680"/>
      <c r="D23" s="680"/>
      <c r="E23" s="681">
        <f t="shared" si="0"/>
        <v>0</v>
      </c>
      <c r="F23" s="424"/>
      <c r="G23" s="424"/>
      <c r="H23" s="425">
        <f t="shared" si="1"/>
        <v>0</v>
      </c>
    </row>
    <row r="24" spans="1:8" ht="34.5" customHeight="1">
      <c r="A24" s="469">
        <v>9</v>
      </c>
      <c r="B24" s="445" t="s">
        <v>790</v>
      </c>
      <c r="C24" s="680"/>
      <c r="D24" s="680"/>
      <c r="E24" s="681">
        <f t="shared" si="0"/>
        <v>0</v>
      </c>
      <c r="F24" s="424"/>
      <c r="G24" s="424"/>
      <c r="H24" s="425">
        <f t="shared" si="1"/>
        <v>0</v>
      </c>
    </row>
    <row r="25" spans="1:8">
      <c r="A25" s="469">
        <v>10</v>
      </c>
      <c r="B25" s="444" t="s">
        <v>791</v>
      </c>
      <c r="C25" s="680">
        <v>1222200.5300000035</v>
      </c>
      <c r="D25" s="680"/>
      <c r="E25" s="681">
        <f t="shared" si="0"/>
        <v>1222200.5300000035</v>
      </c>
      <c r="F25" s="424"/>
      <c r="G25" s="424"/>
      <c r="H25" s="425">
        <f t="shared" si="1"/>
        <v>0</v>
      </c>
    </row>
    <row r="26" spans="1:8" ht="27" customHeight="1">
      <c r="A26" s="469">
        <v>11</v>
      </c>
      <c r="B26" s="446" t="s">
        <v>792</v>
      </c>
      <c r="C26" s="680"/>
      <c r="D26" s="680"/>
      <c r="E26" s="681">
        <f t="shared" si="0"/>
        <v>0</v>
      </c>
      <c r="F26" s="424"/>
      <c r="G26" s="424"/>
      <c r="H26" s="425">
        <f t="shared" si="1"/>
        <v>0</v>
      </c>
    </row>
    <row r="27" spans="1:8">
      <c r="A27" s="469">
        <v>12</v>
      </c>
      <c r="B27" s="444" t="s">
        <v>793</v>
      </c>
      <c r="C27" s="680">
        <v>588839.12000000011</v>
      </c>
      <c r="D27" s="680">
        <v>293593.51183599996</v>
      </c>
      <c r="E27" s="681">
        <f t="shared" si="0"/>
        <v>882432.63183600013</v>
      </c>
      <c r="F27" s="424"/>
      <c r="G27" s="424"/>
      <c r="H27" s="425">
        <f t="shared" si="1"/>
        <v>0</v>
      </c>
    </row>
    <row r="28" spans="1:8">
      <c r="A28" s="469">
        <v>13</v>
      </c>
      <c r="B28" s="447" t="s">
        <v>794</v>
      </c>
      <c r="C28" s="680"/>
      <c r="D28" s="680"/>
      <c r="E28" s="681">
        <f t="shared" si="0"/>
        <v>0</v>
      </c>
      <c r="F28" s="424"/>
      <c r="G28" s="424"/>
      <c r="H28" s="425">
        <f t="shared" si="1"/>
        <v>0</v>
      </c>
    </row>
    <row r="29" spans="1:8">
      <c r="A29" s="469">
        <v>14</v>
      </c>
      <c r="B29" s="448" t="s">
        <v>795</v>
      </c>
      <c r="C29" s="680">
        <f>SUM(C30:C31)</f>
        <v>-1410055.9731352041</v>
      </c>
      <c r="D29" s="680">
        <f>SUM(D30:D31)</f>
        <v>-307447.18449999997</v>
      </c>
      <c r="E29" s="681">
        <f t="shared" si="0"/>
        <v>-1717503.157635204</v>
      </c>
      <c r="F29" s="424">
        <f>SUM(F30:F31)</f>
        <v>0</v>
      </c>
      <c r="G29" s="424">
        <f>SUM(G30:G31)</f>
        <v>0</v>
      </c>
      <c r="H29" s="425">
        <f t="shared" si="1"/>
        <v>0</v>
      </c>
    </row>
    <row r="30" spans="1:8">
      <c r="A30" s="469">
        <v>14.1</v>
      </c>
      <c r="B30" s="419" t="s">
        <v>796</v>
      </c>
      <c r="C30" s="680">
        <v>-785203.56313520414</v>
      </c>
      <c r="D30" s="680">
        <v>-260423.00449999998</v>
      </c>
      <c r="E30" s="681">
        <f t="shared" si="0"/>
        <v>-1045626.5676352042</v>
      </c>
      <c r="F30" s="424"/>
      <c r="G30" s="424"/>
      <c r="H30" s="425">
        <f t="shared" si="1"/>
        <v>0</v>
      </c>
    </row>
    <row r="31" spans="1:8">
      <c r="A31" s="469">
        <v>14.2</v>
      </c>
      <c r="B31" s="419" t="s">
        <v>797</v>
      </c>
      <c r="C31" s="680">
        <v>-624852.41</v>
      </c>
      <c r="D31" s="680">
        <v>-47024.18</v>
      </c>
      <c r="E31" s="681">
        <f t="shared" si="0"/>
        <v>-671876.59000000008</v>
      </c>
      <c r="F31" s="424"/>
      <c r="G31" s="424"/>
      <c r="H31" s="425">
        <f t="shared" si="1"/>
        <v>0</v>
      </c>
    </row>
    <row r="32" spans="1:8">
      <c r="A32" s="469">
        <v>15</v>
      </c>
      <c r="B32" s="449" t="s">
        <v>798</v>
      </c>
      <c r="C32" s="680">
        <v>-277917.87264383561</v>
      </c>
      <c r="D32" s="680"/>
      <c r="E32" s="681">
        <f t="shared" si="0"/>
        <v>-277917.87264383561</v>
      </c>
      <c r="F32" s="424"/>
      <c r="G32" s="424"/>
      <c r="H32" s="425">
        <f t="shared" si="1"/>
        <v>0</v>
      </c>
    </row>
    <row r="33" spans="1:8" ht="22.5" customHeight="1">
      <c r="A33" s="469">
        <v>16</v>
      </c>
      <c r="B33" s="415" t="s">
        <v>799</v>
      </c>
      <c r="C33" s="680"/>
      <c r="D33" s="680"/>
      <c r="E33" s="681">
        <f t="shared" si="0"/>
        <v>0</v>
      </c>
      <c r="F33" s="424"/>
      <c r="G33" s="424"/>
      <c r="H33" s="425">
        <f t="shared" si="1"/>
        <v>0</v>
      </c>
    </row>
    <row r="34" spans="1:8">
      <c r="A34" s="469">
        <v>17</v>
      </c>
      <c r="B34" s="444" t="s">
        <v>800</v>
      </c>
      <c r="C34" s="680">
        <f>SUM(C35:C36)</f>
        <v>6436.3974903908456</v>
      </c>
      <c r="D34" s="680">
        <f>SUM(D35:D36)</f>
        <v>-543567.85191868932</v>
      </c>
      <c r="E34" s="681">
        <f t="shared" si="0"/>
        <v>-537131.45442829852</v>
      </c>
      <c r="F34" s="424">
        <f>SUM(F35:F36)</f>
        <v>0</v>
      </c>
      <c r="G34" s="424">
        <f>SUM(G35:G36)</f>
        <v>0</v>
      </c>
      <c r="H34" s="425">
        <f t="shared" si="1"/>
        <v>0</v>
      </c>
    </row>
    <row r="35" spans="1:8">
      <c r="A35" s="469">
        <v>17.100000000000001</v>
      </c>
      <c r="B35" s="450" t="s">
        <v>801</v>
      </c>
      <c r="C35" s="680">
        <v>-4865.6317758906098</v>
      </c>
      <c r="D35" s="680">
        <v>-12950.948902655407</v>
      </c>
      <c r="E35" s="681">
        <f t="shared" si="0"/>
        <v>-17816.580678546015</v>
      </c>
      <c r="F35" s="424"/>
      <c r="G35" s="424"/>
      <c r="H35" s="425">
        <f t="shared" si="1"/>
        <v>0</v>
      </c>
    </row>
    <row r="36" spans="1:8">
      <c r="A36" s="469">
        <v>17.2</v>
      </c>
      <c r="B36" s="419" t="s">
        <v>802</v>
      </c>
      <c r="C36" s="680">
        <v>11302.029266281455</v>
      </c>
      <c r="D36" s="680">
        <v>-530616.90301603393</v>
      </c>
      <c r="E36" s="681">
        <f t="shared" si="0"/>
        <v>-519314.87374975247</v>
      </c>
      <c r="F36" s="424"/>
      <c r="G36" s="424"/>
      <c r="H36" s="425">
        <f t="shared" si="1"/>
        <v>0</v>
      </c>
    </row>
    <row r="37" spans="1:8" ht="41.45" customHeight="1">
      <c r="A37" s="469">
        <v>18</v>
      </c>
      <c r="B37" s="451" t="s">
        <v>803</v>
      </c>
      <c r="C37" s="680">
        <f>SUM(C38:C39)</f>
        <v>128.018881890183</v>
      </c>
      <c r="D37" s="680">
        <f>SUM(D38:D39)</f>
        <v>6146.4243442921097</v>
      </c>
      <c r="E37" s="681">
        <f t="shared" si="0"/>
        <v>6274.4432261822931</v>
      </c>
      <c r="F37" s="424">
        <f>SUM(F38:F39)</f>
        <v>0</v>
      </c>
      <c r="G37" s="452">
        <f>SUM(G38:G39)</f>
        <v>0</v>
      </c>
      <c r="H37" s="425">
        <f t="shared" si="1"/>
        <v>0</v>
      </c>
    </row>
    <row r="38" spans="1:8" ht="21">
      <c r="A38" s="469">
        <v>18.100000000000001</v>
      </c>
      <c r="B38" s="436" t="s">
        <v>804</v>
      </c>
      <c r="C38" s="680">
        <v>128.018881890183</v>
      </c>
      <c r="D38" s="680">
        <v>6146.4243442921097</v>
      </c>
      <c r="E38" s="681">
        <f t="shared" si="0"/>
        <v>6274.4432261822931</v>
      </c>
      <c r="F38" s="424"/>
      <c r="G38" s="424"/>
      <c r="H38" s="425">
        <f t="shared" si="1"/>
        <v>0</v>
      </c>
    </row>
    <row r="39" spans="1:8">
      <c r="A39" s="469">
        <v>18.2</v>
      </c>
      <c r="B39" s="436" t="s">
        <v>805</v>
      </c>
      <c r="C39" s="680"/>
      <c r="D39" s="680"/>
      <c r="E39" s="681">
        <f t="shared" si="0"/>
        <v>0</v>
      </c>
      <c r="F39" s="424"/>
      <c r="G39" s="424"/>
      <c r="H39" s="425">
        <f t="shared" si="1"/>
        <v>0</v>
      </c>
    </row>
    <row r="40" spans="1:8" ht="24.6" customHeight="1">
      <c r="A40" s="469">
        <v>19</v>
      </c>
      <c r="B40" s="451" t="s">
        <v>806</v>
      </c>
      <c r="C40" s="680"/>
      <c r="D40" s="680"/>
      <c r="E40" s="681">
        <f t="shared" si="0"/>
        <v>0</v>
      </c>
      <c r="F40" s="424"/>
      <c r="G40" s="424"/>
      <c r="H40" s="425">
        <f t="shared" si="1"/>
        <v>0</v>
      </c>
    </row>
    <row r="41" spans="1:8" ht="24.95" customHeight="1">
      <c r="A41" s="469">
        <v>20</v>
      </c>
      <c r="B41" s="451" t="s">
        <v>807</v>
      </c>
      <c r="C41" s="680"/>
      <c r="D41" s="680"/>
      <c r="E41" s="681">
        <f t="shared" si="0"/>
        <v>0</v>
      </c>
      <c r="F41" s="424"/>
      <c r="G41" s="424"/>
      <c r="H41" s="425">
        <f t="shared" si="1"/>
        <v>0</v>
      </c>
    </row>
    <row r="42" spans="1:8" ht="33" customHeight="1">
      <c r="A42" s="469">
        <v>21</v>
      </c>
      <c r="B42" s="453" t="s">
        <v>808</v>
      </c>
      <c r="C42" s="680"/>
      <c r="D42" s="680"/>
      <c r="E42" s="681">
        <f t="shared" si="0"/>
        <v>0</v>
      </c>
      <c r="F42" s="424"/>
      <c r="G42" s="424"/>
      <c r="H42" s="425">
        <f t="shared" si="1"/>
        <v>0</v>
      </c>
    </row>
    <row r="43" spans="1:8">
      <c r="A43" s="469">
        <v>22</v>
      </c>
      <c r="B43" s="454" t="s">
        <v>809</v>
      </c>
      <c r="C43" s="680">
        <f>SUM(C6,C13,C18,C19,C20,C21,C22,C23,C24,C25,C26,C27,C28,C29,C32,C33,C34,C37,C40,C41,C42)</f>
        <v>4778118.1191369109</v>
      </c>
      <c r="D43" s="680">
        <f>SUM(D6,D13,D18,D19,D20,D21,D22,D23,D24,D25,D26,D27,D28,D29,D32,D33,D34,D37,D40,D41,D42)</f>
        <v>989731.31317349605</v>
      </c>
      <c r="E43" s="681">
        <f t="shared" si="0"/>
        <v>5767849.432310407</v>
      </c>
      <c r="F43" s="424">
        <f>SUM(F6,F13,F18,F19,F20,F21,F22,F23,F24,F25,F26,F27,F28,F29,F32,F33,F34,F37,F40,F41,F42)</f>
        <v>0</v>
      </c>
      <c r="G43" s="424">
        <f>SUM(G6,G13,G18,G19,G20,G21,G22,G23,G24,G25,G26,G27,G28,G29,G32,G33,G34,G37,G40,G41,G42)</f>
        <v>0</v>
      </c>
      <c r="H43" s="425">
        <f t="shared" si="1"/>
        <v>0</v>
      </c>
    </row>
    <row r="44" spans="1:8">
      <c r="A44" s="469">
        <v>23</v>
      </c>
      <c r="B44" s="454" t="s">
        <v>810</v>
      </c>
      <c r="C44" s="675">
        <v>1440541.9</v>
      </c>
      <c r="D44" s="680"/>
      <c r="E44" s="681">
        <f t="shared" si="0"/>
        <v>1440541.9</v>
      </c>
      <c r="F44" s="424"/>
      <c r="G44" s="424"/>
      <c r="H44" s="425">
        <f t="shared" si="1"/>
        <v>0</v>
      </c>
    </row>
    <row r="45" spans="1:8">
      <c r="A45" s="469">
        <v>24</v>
      </c>
      <c r="B45" s="454" t="s">
        <v>811</v>
      </c>
      <c r="C45" s="680">
        <f>C43-C44</f>
        <v>3337576.219136911</v>
      </c>
      <c r="D45" s="680">
        <f>D43-D44</f>
        <v>989731.31317349605</v>
      </c>
      <c r="E45" s="681">
        <f t="shared" si="0"/>
        <v>4327307.5323104067</v>
      </c>
      <c r="F45" s="424">
        <f>F43-F44</f>
        <v>0</v>
      </c>
      <c r="G45" s="424">
        <f>G43-G44</f>
        <v>0</v>
      </c>
      <c r="H45" s="425">
        <f t="shared" si="1"/>
        <v>0</v>
      </c>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7"/>
  <sheetViews>
    <sheetView showGridLines="0" zoomScale="90" zoomScaleNormal="90" workbookViewId="0">
      <selection activeCell="B1" sqref="B1:B2"/>
    </sheetView>
  </sheetViews>
  <sheetFormatPr defaultRowHeight="15"/>
  <cols>
    <col min="1" max="1" width="8.7109375" style="466"/>
    <col min="2" max="2" width="87.5703125" bestFit="1" customWidth="1"/>
    <col min="3" max="8" width="12.7109375" customWidth="1"/>
  </cols>
  <sheetData>
    <row r="1" spans="1:8" ht="15.75">
      <c r="A1" s="17" t="s">
        <v>108</v>
      </c>
      <c r="B1" s="636" t="str">
        <f>'1. key ratios'!B1</f>
        <v>სს იშბანკი საქართველო</v>
      </c>
      <c r="C1" s="16"/>
      <c r="D1" s="222"/>
      <c r="E1" s="222"/>
      <c r="F1" s="222"/>
      <c r="G1" s="222"/>
    </row>
    <row r="2" spans="1:8" ht="15.75">
      <c r="A2" s="17" t="s">
        <v>109</v>
      </c>
      <c r="B2" s="637">
        <f>'1. key ratios'!B2</f>
        <v>45016</v>
      </c>
      <c r="C2" s="29"/>
      <c r="D2" s="18"/>
      <c r="E2" s="18"/>
      <c r="F2" s="18"/>
      <c r="G2" s="18"/>
      <c r="H2" s="1"/>
    </row>
    <row r="3" spans="1:8" ht="15.75">
      <c r="A3" s="17"/>
      <c r="B3" s="16"/>
      <c r="C3" s="29"/>
      <c r="D3" s="18"/>
      <c r="E3" s="18"/>
      <c r="F3" s="18"/>
      <c r="G3" s="18"/>
      <c r="H3" s="1"/>
    </row>
    <row r="4" spans="1:8" ht="15.75">
      <c r="A4" s="844" t="s">
        <v>25</v>
      </c>
      <c r="B4" s="856" t="s">
        <v>151</v>
      </c>
      <c r="C4" s="857" t="s">
        <v>114</v>
      </c>
      <c r="D4" s="857"/>
      <c r="E4" s="857"/>
      <c r="F4" s="857" t="s">
        <v>115</v>
      </c>
      <c r="G4" s="857"/>
      <c r="H4" s="858"/>
    </row>
    <row r="5" spans="1:8">
      <c r="A5" s="844"/>
      <c r="B5" s="856"/>
      <c r="C5" s="440" t="s">
        <v>26</v>
      </c>
      <c r="D5" s="440" t="s">
        <v>88</v>
      </c>
      <c r="E5" s="440" t="s">
        <v>66</v>
      </c>
      <c r="F5" s="440" t="s">
        <v>26</v>
      </c>
      <c r="G5" s="440" t="s">
        <v>88</v>
      </c>
      <c r="H5" s="455" t="s">
        <v>66</v>
      </c>
    </row>
    <row r="6" spans="1:8" ht="15.75">
      <c r="A6" s="456">
        <v>1</v>
      </c>
      <c r="B6" s="457" t="s">
        <v>812</v>
      </c>
      <c r="C6" s="682"/>
      <c r="D6" s="682"/>
      <c r="E6" s="683">
        <f t="shared" ref="E6:E43" si="0">C6+D6</f>
        <v>0</v>
      </c>
      <c r="F6" s="682"/>
      <c r="G6" s="682"/>
      <c r="H6" s="684">
        <f t="shared" ref="H6:H43" si="1">F6+G6</f>
        <v>0</v>
      </c>
    </row>
    <row r="7" spans="1:8" ht="15.75">
      <c r="A7" s="456">
        <v>2</v>
      </c>
      <c r="B7" s="458" t="s">
        <v>177</v>
      </c>
      <c r="C7" s="682"/>
      <c r="D7" s="682"/>
      <c r="E7" s="683">
        <f t="shared" si="0"/>
        <v>0</v>
      </c>
      <c r="F7" s="682"/>
      <c r="G7" s="682"/>
      <c r="H7" s="684">
        <f t="shared" si="1"/>
        <v>0</v>
      </c>
    </row>
    <row r="8" spans="1:8" ht="15.75">
      <c r="A8" s="456">
        <v>3</v>
      </c>
      <c r="B8" s="458" t="s">
        <v>179</v>
      </c>
      <c r="C8" s="682">
        <f>C9+C10</f>
        <v>123353888.85000001</v>
      </c>
      <c r="D8" s="682">
        <f>D9+D10</f>
        <v>114639995</v>
      </c>
      <c r="E8" s="683">
        <f t="shared" si="0"/>
        <v>237993883.85000002</v>
      </c>
      <c r="F8" s="682">
        <f>F9+F10</f>
        <v>0</v>
      </c>
      <c r="G8" s="682">
        <f>G9+G10</f>
        <v>0</v>
      </c>
      <c r="H8" s="684">
        <f t="shared" si="1"/>
        <v>0</v>
      </c>
    </row>
    <row r="9" spans="1:8" ht="15.75">
      <c r="A9" s="456">
        <v>3.1</v>
      </c>
      <c r="B9" s="459" t="s">
        <v>813</v>
      </c>
      <c r="C9" s="682">
        <v>80849710.940000013</v>
      </c>
      <c r="D9" s="682">
        <v>80442550.420000002</v>
      </c>
      <c r="E9" s="683">
        <f t="shared" si="0"/>
        <v>161292261.36000001</v>
      </c>
      <c r="F9" s="682"/>
      <c r="G9" s="682"/>
      <c r="H9" s="684">
        <f t="shared" si="1"/>
        <v>0</v>
      </c>
    </row>
    <row r="10" spans="1:8" ht="15.75">
      <c r="A10" s="456">
        <v>3.2</v>
      </c>
      <c r="B10" s="459" t="s">
        <v>814</v>
      </c>
      <c r="C10" s="682">
        <v>42504177.909999996</v>
      </c>
      <c r="D10" s="682">
        <v>34197444.579999998</v>
      </c>
      <c r="E10" s="683">
        <f t="shared" si="0"/>
        <v>76701622.489999995</v>
      </c>
      <c r="F10" s="682"/>
      <c r="G10" s="682"/>
      <c r="H10" s="684">
        <f t="shared" si="1"/>
        <v>0</v>
      </c>
    </row>
    <row r="11" spans="1:8" ht="15.75">
      <c r="A11" s="456">
        <v>4</v>
      </c>
      <c r="B11" s="458" t="s">
        <v>178</v>
      </c>
      <c r="C11" s="682">
        <f>C12+C13</f>
        <v>0</v>
      </c>
      <c r="D11" s="682">
        <f>D12+D13</f>
        <v>0</v>
      </c>
      <c r="E11" s="683">
        <f t="shared" si="0"/>
        <v>0</v>
      </c>
      <c r="F11" s="682">
        <f>F12+F13</f>
        <v>0</v>
      </c>
      <c r="G11" s="682">
        <f>G12+G13</f>
        <v>0</v>
      </c>
      <c r="H11" s="684">
        <f t="shared" si="1"/>
        <v>0</v>
      </c>
    </row>
    <row r="12" spans="1:8" ht="15.75">
      <c r="A12" s="456">
        <v>4.0999999999999996</v>
      </c>
      <c r="B12" s="459" t="s">
        <v>815</v>
      </c>
      <c r="C12" s="682"/>
      <c r="D12" s="682"/>
      <c r="E12" s="683">
        <f t="shared" si="0"/>
        <v>0</v>
      </c>
      <c r="F12" s="682"/>
      <c r="G12" s="682"/>
      <c r="H12" s="684">
        <f t="shared" si="1"/>
        <v>0</v>
      </c>
    </row>
    <row r="13" spans="1:8" ht="15.75">
      <c r="A13" s="456">
        <v>4.2</v>
      </c>
      <c r="B13" s="459" t="s">
        <v>816</v>
      </c>
      <c r="C13" s="682"/>
      <c r="D13" s="682"/>
      <c r="E13" s="683">
        <f t="shared" si="0"/>
        <v>0</v>
      </c>
      <c r="F13" s="682"/>
      <c r="G13" s="682"/>
      <c r="H13" s="684">
        <f t="shared" si="1"/>
        <v>0</v>
      </c>
    </row>
    <row r="14" spans="1:8" ht="15.75">
      <c r="A14" s="456">
        <v>5</v>
      </c>
      <c r="B14" s="460" t="s">
        <v>817</v>
      </c>
      <c r="C14" s="682">
        <f>C15+C16+C17+C23+C24+C25+C26</f>
        <v>10481207.9815</v>
      </c>
      <c r="D14" s="682">
        <f>D15+D16+D17+D23+D24+D25+D26</f>
        <v>291047303.51161116</v>
      </c>
      <c r="E14" s="683">
        <f t="shared" si="0"/>
        <v>301528511.49311113</v>
      </c>
      <c r="F14" s="682">
        <f>F15+F16+F17+F23+F24+F25+F26</f>
        <v>0</v>
      </c>
      <c r="G14" s="682">
        <f>G15+G16+G17+G23+G24+G25+G26</f>
        <v>0</v>
      </c>
      <c r="H14" s="684">
        <f t="shared" si="1"/>
        <v>0</v>
      </c>
    </row>
    <row r="15" spans="1:8" ht="15.75">
      <c r="A15" s="456">
        <v>5.0999999999999996</v>
      </c>
      <c r="B15" s="461" t="s">
        <v>818</v>
      </c>
      <c r="C15" s="682">
        <v>10481207.9815</v>
      </c>
      <c r="D15" s="682">
        <v>8849696.9451325089</v>
      </c>
      <c r="E15" s="683">
        <f t="shared" si="0"/>
        <v>19330904.926632509</v>
      </c>
      <c r="F15" s="682"/>
      <c r="G15" s="682"/>
      <c r="H15" s="684">
        <f t="shared" si="1"/>
        <v>0</v>
      </c>
    </row>
    <row r="16" spans="1:8" ht="15.75">
      <c r="A16" s="456">
        <v>5.2</v>
      </c>
      <c r="B16" s="461" t="s">
        <v>819</v>
      </c>
      <c r="C16" s="682"/>
      <c r="D16" s="682"/>
      <c r="E16" s="683">
        <f t="shared" si="0"/>
        <v>0</v>
      </c>
      <c r="F16" s="682"/>
      <c r="G16" s="682"/>
      <c r="H16" s="684">
        <f t="shared" si="1"/>
        <v>0</v>
      </c>
    </row>
    <row r="17" spans="1:8" ht="15.75">
      <c r="A17" s="456">
        <v>5.3</v>
      </c>
      <c r="B17" s="461" t="s">
        <v>820</v>
      </c>
      <c r="C17" s="682">
        <f>C18+C19+C20+C21+C22</f>
        <v>0</v>
      </c>
      <c r="D17" s="682">
        <f>D18+D19+D20+D21+D22</f>
        <v>245346514.04388332</v>
      </c>
      <c r="E17" s="683">
        <f t="shared" si="0"/>
        <v>245346514.04388332</v>
      </c>
      <c r="F17" s="682"/>
      <c r="G17" s="682"/>
      <c r="H17" s="684">
        <f t="shared" si="1"/>
        <v>0</v>
      </c>
    </row>
    <row r="18" spans="1:8" ht="15.75">
      <c r="A18" s="456" t="s">
        <v>180</v>
      </c>
      <c r="B18" s="462" t="s">
        <v>821</v>
      </c>
      <c r="C18" s="682"/>
      <c r="D18" s="682">
        <v>35810661.852017529</v>
      </c>
      <c r="E18" s="683">
        <f t="shared" si="0"/>
        <v>35810661.852017529</v>
      </c>
      <c r="F18" s="682"/>
      <c r="G18" s="682"/>
      <c r="H18" s="684">
        <f t="shared" si="1"/>
        <v>0</v>
      </c>
    </row>
    <row r="19" spans="1:8" ht="15.75">
      <c r="A19" s="456" t="s">
        <v>181</v>
      </c>
      <c r="B19" s="463" t="s">
        <v>822</v>
      </c>
      <c r="C19" s="682"/>
      <c r="D19" s="682">
        <v>177062548.25670883</v>
      </c>
      <c r="E19" s="683">
        <f t="shared" si="0"/>
        <v>177062548.25670883</v>
      </c>
      <c r="F19" s="682"/>
      <c r="G19" s="682"/>
      <c r="H19" s="684">
        <f t="shared" si="1"/>
        <v>0</v>
      </c>
    </row>
    <row r="20" spans="1:8" ht="15.75">
      <c r="A20" s="456" t="s">
        <v>182</v>
      </c>
      <c r="B20" s="463" t="s">
        <v>823</v>
      </c>
      <c r="C20" s="682"/>
      <c r="D20" s="682">
        <v>176714.33483362582</v>
      </c>
      <c r="E20" s="683">
        <f t="shared" si="0"/>
        <v>176714.33483362582</v>
      </c>
      <c r="F20" s="682"/>
      <c r="G20" s="682"/>
      <c r="H20" s="684">
        <f t="shared" si="1"/>
        <v>0</v>
      </c>
    </row>
    <row r="21" spans="1:8" ht="15.75">
      <c r="A21" s="456" t="s">
        <v>183</v>
      </c>
      <c r="B21" s="463" t="s">
        <v>824</v>
      </c>
      <c r="C21" s="682"/>
      <c r="D21" s="682">
        <v>32296589.600323342</v>
      </c>
      <c r="E21" s="683">
        <f t="shared" si="0"/>
        <v>32296589.600323342</v>
      </c>
      <c r="F21" s="682"/>
      <c r="G21" s="682"/>
      <c r="H21" s="684">
        <f t="shared" si="1"/>
        <v>0</v>
      </c>
    </row>
    <row r="22" spans="1:8" ht="15.75">
      <c r="A22" s="456" t="s">
        <v>184</v>
      </c>
      <c r="B22" s="463" t="s">
        <v>541</v>
      </c>
      <c r="C22" s="682"/>
      <c r="D22" s="682">
        <v>0</v>
      </c>
      <c r="E22" s="683">
        <f t="shared" si="0"/>
        <v>0</v>
      </c>
      <c r="F22" s="682"/>
      <c r="G22" s="682"/>
      <c r="H22" s="684">
        <f t="shared" si="1"/>
        <v>0</v>
      </c>
    </row>
    <row r="23" spans="1:8" ht="15.75">
      <c r="A23" s="456">
        <v>5.4</v>
      </c>
      <c r="B23" s="461" t="s">
        <v>825</v>
      </c>
      <c r="C23" s="682"/>
      <c r="D23" s="682">
        <v>22804975.632934701</v>
      </c>
      <c r="E23" s="683">
        <f t="shared" si="0"/>
        <v>22804975.632934701</v>
      </c>
      <c r="F23" s="682"/>
      <c r="G23" s="682"/>
      <c r="H23" s="684">
        <f t="shared" si="1"/>
        <v>0</v>
      </c>
    </row>
    <row r="24" spans="1:8" ht="15.75">
      <c r="A24" s="456">
        <v>5.5</v>
      </c>
      <c r="B24" s="461" t="s">
        <v>826</v>
      </c>
      <c r="C24" s="682"/>
      <c r="D24" s="682">
        <v>0</v>
      </c>
      <c r="E24" s="683">
        <f t="shared" si="0"/>
        <v>0</v>
      </c>
      <c r="F24" s="682"/>
      <c r="G24" s="682"/>
      <c r="H24" s="684">
        <f t="shared" si="1"/>
        <v>0</v>
      </c>
    </row>
    <row r="25" spans="1:8" ht="15.75">
      <c r="A25" s="456">
        <v>5.6</v>
      </c>
      <c r="B25" s="461" t="s">
        <v>827</v>
      </c>
      <c r="C25" s="682"/>
      <c r="D25" s="682">
        <v>0</v>
      </c>
      <c r="E25" s="683">
        <f t="shared" si="0"/>
        <v>0</v>
      </c>
      <c r="F25" s="682"/>
      <c r="G25" s="682"/>
      <c r="H25" s="684">
        <f t="shared" si="1"/>
        <v>0</v>
      </c>
    </row>
    <row r="26" spans="1:8" ht="15.75">
      <c r="A26" s="456">
        <v>5.7</v>
      </c>
      <c r="B26" s="461" t="s">
        <v>541</v>
      </c>
      <c r="C26" s="682"/>
      <c r="D26" s="682">
        <v>14046116.88966066</v>
      </c>
      <c r="E26" s="683">
        <f t="shared" si="0"/>
        <v>14046116.88966066</v>
      </c>
      <c r="F26" s="682"/>
      <c r="G26" s="682"/>
      <c r="H26" s="684">
        <f t="shared" si="1"/>
        <v>0</v>
      </c>
    </row>
    <row r="27" spans="1:8" ht="15.75">
      <c r="A27" s="456">
        <v>6</v>
      </c>
      <c r="B27" s="460" t="s">
        <v>828</v>
      </c>
      <c r="C27" s="682">
        <v>53571.419999999991</v>
      </c>
      <c r="D27" s="682"/>
      <c r="E27" s="683">
        <f t="shared" si="0"/>
        <v>53571.419999999991</v>
      </c>
      <c r="F27" s="682"/>
      <c r="G27" s="682"/>
      <c r="H27" s="684">
        <f t="shared" si="1"/>
        <v>0</v>
      </c>
    </row>
    <row r="28" spans="1:8" ht="15.75">
      <c r="A28" s="456">
        <v>7</v>
      </c>
      <c r="B28" s="460" t="s">
        <v>829</v>
      </c>
      <c r="C28" s="682">
        <v>46588551.770000003</v>
      </c>
      <c r="D28" s="682">
        <v>55012255.220000006</v>
      </c>
      <c r="E28" s="683">
        <f t="shared" si="0"/>
        <v>101600806.99000001</v>
      </c>
      <c r="F28" s="682"/>
      <c r="G28" s="682"/>
      <c r="H28" s="684">
        <f t="shared" si="1"/>
        <v>0</v>
      </c>
    </row>
    <row r="29" spans="1:8" ht="15.75">
      <c r="A29" s="456">
        <v>8</v>
      </c>
      <c r="B29" s="460" t="s">
        <v>830</v>
      </c>
      <c r="C29" s="682"/>
      <c r="D29" s="682"/>
      <c r="E29" s="683">
        <f t="shared" si="0"/>
        <v>0</v>
      </c>
      <c r="F29" s="682"/>
      <c r="G29" s="682"/>
      <c r="H29" s="684">
        <f t="shared" si="1"/>
        <v>0</v>
      </c>
    </row>
    <row r="30" spans="1:8" ht="15.75">
      <c r="A30" s="456">
        <v>9</v>
      </c>
      <c r="B30" s="458" t="s">
        <v>185</v>
      </c>
      <c r="C30" s="682">
        <f>C31+C32+C33+C34+C35+C36+C37</f>
        <v>0</v>
      </c>
      <c r="D30" s="682">
        <f>D31+D32+D33+D34+D35+D36+D37</f>
        <v>0</v>
      </c>
      <c r="E30" s="683">
        <f t="shared" si="0"/>
        <v>0</v>
      </c>
      <c r="F30" s="682">
        <f>F31+F32+F33+F34+F35+F36+F37</f>
        <v>0</v>
      </c>
      <c r="G30" s="682">
        <f>G31+G32+G33+G34+G35+G36+G37</f>
        <v>0</v>
      </c>
      <c r="H30" s="684">
        <f t="shared" si="1"/>
        <v>0</v>
      </c>
    </row>
    <row r="31" spans="1:8" ht="25.5">
      <c r="A31" s="456">
        <v>9.1</v>
      </c>
      <c r="B31" s="459" t="s">
        <v>831</v>
      </c>
      <c r="C31" s="682"/>
      <c r="D31" s="682"/>
      <c r="E31" s="683">
        <f t="shared" si="0"/>
        <v>0</v>
      </c>
      <c r="F31" s="682"/>
      <c r="G31" s="682"/>
      <c r="H31" s="684">
        <f t="shared" si="1"/>
        <v>0</v>
      </c>
    </row>
    <row r="32" spans="1:8" ht="25.5">
      <c r="A32" s="456">
        <v>9.1999999999999993</v>
      </c>
      <c r="B32" s="459" t="s">
        <v>832</v>
      </c>
      <c r="C32" s="682"/>
      <c r="D32" s="682"/>
      <c r="E32" s="683">
        <f t="shared" si="0"/>
        <v>0</v>
      </c>
      <c r="F32" s="682"/>
      <c r="G32" s="682"/>
      <c r="H32" s="684">
        <f t="shared" si="1"/>
        <v>0</v>
      </c>
    </row>
    <row r="33" spans="1:8" ht="15.75">
      <c r="A33" s="456">
        <v>9.3000000000000007</v>
      </c>
      <c r="B33" s="459" t="s">
        <v>833</v>
      </c>
      <c r="C33" s="682"/>
      <c r="D33" s="682"/>
      <c r="E33" s="683">
        <f t="shared" si="0"/>
        <v>0</v>
      </c>
      <c r="F33" s="682"/>
      <c r="G33" s="682"/>
      <c r="H33" s="684">
        <f t="shared" si="1"/>
        <v>0</v>
      </c>
    </row>
    <row r="34" spans="1:8" ht="15.75">
      <c r="A34" s="456">
        <v>9.4</v>
      </c>
      <c r="B34" s="459" t="s">
        <v>834</v>
      </c>
      <c r="C34" s="682"/>
      <c r="D34" s="682"/>
      <c r="E34" s="683">
        <f t="shared" si="0"/>
        <v>0</v>
      </c>
      <c r="F34" s="682"/>
      <c r="G34" s="682"/>
      <c r="H34" s="684">
        <f t="shared" si="1"/>
        <v>0</v>
      </c>
    </row>
    <row r="35" spans="1:8" ht="15.75">
      <c r="A35" s="456">
        <v>9.5</v>
      </c>
      <c r="B35" s="459" t="s">
        <v>835</v>
      </c>
      <c r="C35" s="682"/>
      <c r="D35" s="682"/>
      <c r="E35" s="683">
        <f t="shared" si="0"/>
        <v>0</v>
      </c>
      <c r="F35" s="682"/>
      <c r="G35" s="682"/>
      <c r="H35" s="684">
        <f t="shared" si="1"/>
        <v>0</v>
      </c>
    </row>
    <row r="36" spans="1:8" ht="25.5">
      <c r="A36" s="456">
        <v>9.6</v>
      </c>
      <c r="B36" s="459" t="s">
        <v>836</v>
      </c>
      <c r="C36" s="682"/>
      <c r="D36" s="682"/>
      <c r="E36" s="683">
        <f t="shared" si="0"/>
        <v>0</v>
      </c>
      <c r="F36" s="682"/>
      <c r="G36" s="682"/>
      <c r="H36" s="684">
        <f t="shared" si="1"/>
        <v>0</v>
      </c>
    </row>
    <row r="37" spans="1:8" ht="25.5">
      <c r="A37" s="456">
        <v>9.6999999999999993</v>
      </c>
      <c r="B37" s="459" t="s">
        <v>837</v>
      </c>
      <c r="C37" s="682"/>
      <c r="D37" s="682"/>
      <c r="E37" s="683">
        <f t="shared" si="0"/>
        <v>0</v>
      </c>
      <c r="F37" s="682"/>
      <c r="G37" s="682"/>
      <c r="H37" s="684">
        <f t="shared" si="1"/>
        <v>0</v>
      </c>
    </row>
    <row r="38" spans="1:8" ht="15.75">
      <c r="A38" s="456">
        <v>10</v>
      </c>
      <c r="B38" s="464" t="s">
        <v>838</v>
      </c>
      <c r="C38" s="682">
        <f>C39+C40+C41+C42</f>
        <v>0</v>
      </c>
      <c r="D38" s="682">
        <f>D39+D40+D41+D42</f>
        <v>0</v>
      </c>
      <c r="E38" s="683">
        <f t="shared" si="0"/>
        <v>0</v>
      </c>
      <c r="F38" s="682">
        <f>F39+F40+F41+F42</f>
        <v>0</v>
      </c>
      <c r="G38" s="682">
        <f>G39+G40+G41+G42</f>
        <v>0</v>
      </c>
      <c r="H38" s="684">
        <f t="shared" si="1"/>
        <v>0</v>
      </c>
    </row>
    <row r="39" spans="1:8" ht="15.75">
      <c r="A39" s="456">
        <v>10.1</v>
      </c>
      <c r="B39" s="459" t="s">
        <v>839</v>
      </c>
      <c r="C39" s="682"/>
      <c r="D39" s="682"/>
      <c r="E39" s="683">
        <f t="shared" si="0"/>
        <v>0</v>
      </c>
      <c r="F39" s="682"/>
      <c r="G39" s="682"/>
      <c r="H39" s="684">
        <f t="shared" si="1"/>
        <v>0</v>
      </c>
    </row>
    <row r="40" spans="1:8" ht="25.5">
      <c r="A40" s="456">
        <v>10.199999999999999</v>
      </c>
      <c r="B40" s="459" t="s">
        <v>840</v>
      </c>
      <c r="C40" s="682"/>
      <c r="D40" s="682"/>
      <c r="E40" s="683">
        <f t="shared" si="0"/>
        <v>0</v>
      </c>
      <c r="F40" s="682"/>
      <c r="G40" s="682"/>
      <c r="H40" s="684">
        <f t="shared" si="1"/>
        <v>0</v>
      </c>
    </row>
    <row r="41" spans="1:8" ht="25.5">
      <c r="A41" s="456">
        <v>10.3</v>
      </c>
      <c r="B41" s="459" t="s">
        <v>841</v>
      </c>
      <c r="C41" s="682"/>
      <c r="D41" s="682"/>
      <c r="E41" s="683">
        <f t="shared" si="0"/>
        <v>0</v>
      </c>
      <c r="F41" s="682"/>
      <c r="G41" s="682"/>
      <c r="H41" s="684">
        <f t="shared" si="1"/>
        <v>0</v>
      </c>
    </row>
    <row r="42" spans="1:8" ht="25.5">
      <c r="A42" s="456">
        <v>10.4</v>
      </c>
      <c r="B42" s="459" t="s">
        <v>842</v>
      </c>
      <c r="C42" s="682"/>
      <c r="D42" s="682"/>
      <c r="E42" s="683">
        <f t="shared" si="0"/>
        <v>0</v>
      </c>
      <c r="F42" s="682"/>
      <c r="G42" s="682"/>
      <c r="H42" s="684">
        <f t="shared" si="1"/>
        <v>0</v>
      </c>
    </row>
    <row r="43" spans="1:8" ht="15.75">
      <c r="A43" s="456">
        <v>11</v>
      </c>
      <c r="B43" s="465" t="s">
        <v>186</v>
      </c>
      <c r="C43" s="682"/>
      <c r="D43" s="682"/>
      <c r="E43" s="683">
        <f t="shared" si="0"/>
        <v>0</v>
      </c>
      <c r="F43" s="682"/>
      <c r="G43" s="682"/>
      <c r="H43" s="684">
        <f t="shared" si="1"/>
        <v>0</v>
      </c>
    </row>
    <row r="44" spans="1:8" ht="15.75">
      <c r="C44" s="467"/>
      <c r="D44" s="467"/>
      <c r="E44" s="467"/>
      <c r="F44" s="467"/>
      <c r="G44" s="467"/>
      <c r="H44" s="467"/>
    </row>
    <row r="45" spans="1:8" ht="15.75">
      <c r="C45" s="467"/>
      <c r="D45" s="467"/>
      <c r="E45" s="467"/>
      <c r="F45" s="467"/>
      <c r="G45" s="467"/>
      <c r="H45" s="467"/>
    </row>
    <row r="46" spans="1:8" ht="15.75">
      <c r="C46" s="467"/>
      <c r="D46" s="467"/>
      <c r="E46" s="467"/>
      <c r="F46" s="467"/>
      <c r="G46" s="467"/>
      <c r="H46" s="467"/>
    </row>
    <row r="47" spans="1:8" ht="15.75">
      <c r="C47" s="467"/>
      <c r="D47" s="467"/>
      <c r="E47" s="467"/>
      <c r="F47" s="467"/>
      <c r="G47" s="467"/>
      <c r="H47" s="467"/>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showGridLines="0" zoomScaleNormal="100" workbookViewId="0">
      <pane xSplit="1" ySplit="4" topLeftCell="B5" activePane="bottomRight" state="frozen"/>
      <selection activeCell="L18" sqref="L18"/>
      <selection pane="topRight" activeCell="L18" sqref="L18"/>
      <selection pane="bottomLeft" activeCell="L18" sqref="L18"/>
      <selection pane="bottomRight" activeCell="B1" sqref="B1:B2"/>
    </sheetView>
  </sheetViews>
  <sheetFormatPr defaultColWidth="9.140625" defaultRowHeight="12.75"/>
  <cols>
    <col min="1" max="1" width="9.5703125" style="2" bestFit="1" customWidth="1"/>
    <col min="2" max="2" width="93.5703125" style="2" customWidth="1"/>
    <col min="3" max="4" width="12.7109375" style="2" customWidth="1"/>
    <col min="5" max="11" width="9.7109375" style="12" customWidth="1"/>
    <col min="12" max="16384" width="9.140625" style="12"/>
  </cols>
  <sheetData>
    <row r="1" spans="1:8" ht="15">
      <c r="A1" s="17" t="s">
        <v>108</v>
      </c>
      <c r="B1" s="636" t="str">
        <f>'1. key ratios'!B1</f>
        <v>სს იშბანკი საქართველო</v>
      </c>
      <c r="C1" s="16"/>
      <c r="D1" s="222"/>
    </row>
    <row r="2" spans="1:8" ht="15">
      <c r="A2" s="17" t="s">
        <v>109</v>
      </c>
      <c r="B2" s="637">
        <f>'1. key ratios'!B2</f>
        <v>45016</v>
      </c>
      <c r="C2" s="29"/>
      <c r="D2" s="18"/>
      <c r="E2" s="11"/>
      <c r="F2" s="11"/>
      <c r="G2" s="11"/>
      <c r="H2" s="11"/>
    </row>
    <row r="3" spans="1:8" ht="15">
      <c r="A3" s="17"/>
      <c r="B3" s="16"/>
      <c r="C3" s="29"/>
      <c r="D3" s="18"/>
      <c r="E3" s="11"/>
      <c r="F3" s="11"/>
      <c r="G3" s="11"/>
      <c r="H3" s="11"/>
    </row>
    <row r="4" spans="1:8" ht="15" customHeight="1" thickBot="1">
      <c r="A4" s="151" t="s">
        <v>253</v>
      </c>
      <c r="B4" s="152" t="s">
        <v>107</v>
      </c>
      <c r="C4" s="153" t="s">
        <v>87</v>
      </c>
    </row>
    <row r="5" spans="1:8" ht="15" customHeight="1">
      <c r="A5" s="149" t="s">
        <v>25</v>
      </c>
      <c r="B5" s="150"/>
      <c r="C5" s="324" t="str">
        <f>INT((MONTH($B$2))/3)&amp;"Q"&amp;"-"&amp;YEAR($B$2)</f>
        <v>1Q-2023</v>
      </c>
      <c r="D5" s="324" t="str">
        <f>IF(INT(MONTH($B$2))=3, "4"&amp;"Q"&amp;"-"&amp;YEAR($B$2)-1, IF(INT(MONTH($B$2))=6, "1"&amp;"Q"&amp;"-"&amp;YEAR($B$2), IF(INT(MONTH($B$2))=9, "2"&amp;"Q"&amp;"-"&amp;YEAR($B$2),IF(INT(MONTH($B$2))=12, "3"&amp;"Q"&amp;"-"&amp;YEAR($B$2), 0))))</f>
        <v>4Q-2022</v>
      </c>
      <c r="E5" s="324" t="str">
        <f>IF(INT(MONTH($B$2))=3, "3"&amp;"Q"&amp;"-"&amp;YEAR($B$2)-1, IF(INT(MONTH($B$2))=6, "4"&amp;"Q"&amp;"-"&amp;YEAR($B$2)-1, IF(INT(MONTH($B$2))=9, "1"&amp;"Q"&amp;"-"&amp;YEAR($B$2),IF(INT(MONTH($B$2))=12, "2"&amp;"Q"&amp;"-"&amp;YEAR($B$2), 0))))</f>
        <v>3Q-2022</v>
      </c>
      <c r="F5" s="324" t="str">
        <f>IF(INT(MONTH($B$2))=3, "2"&amp;"Q"&amp;"-"&amp;YEAR($B$2)-1, IF(INT(MONTH($B$2))=6, "3"&amp;"Q"&amp;"-"&amp;YEAR($B$2)-1, IF(INT(MONTH($B$2))=9, "4"&amp;"Q"&amp;"-"&amp;YEAR($B$2)-1,IF(INT(MONTH($B$2))=12, "1"&amp;"Q"&amp;"-"&amp;YEAR($B$2), 0))))</f>
        <v>2Q-2022</v>
      </c>
      <c r="G5" s="324" t="str">
        <f>IF(INT(MONTH($B$2))=3, "1"&amp;"Q"&amp;"-"&amp;YEAR($B$2)-1, IF(INT(MONTH($B$2))=6, "2"&amp;"Q"&amp;"-"&amp;YEAR($B$2)-1, IF(INT(MONTH($B$2))=9, "3"&amp;"Q"&amp;"-"&amp;YEAR($B$2)-1,IF(INT(MONTH($B$2))=12, "4"&amp;"Q"&amp;"-"&amp;YEAR($B$2)-1, 0))))</f>
        <v>1Q-2022</v>
      </c>
    </row>
    <row r="6" spans="1:8" ht="15" customHeight="1">
      <c r="A6" s="258">
        <v>1</v>
      </c>
      <c r="B6" s="312" t="s">
        <v>112</v>
      </c>
      <c r="C6" s="687">
        <f>C7+C9+C10</f>
        <v>419845683.75233501</v>
      </c>
      <c r="D6" s="688">
        <f>D7+D9+D10</f>
        <v>0</v>
      </c>
      <c r="E6" s="689">
        <f t="shared" ref="E6:G6" si="0">E7+E9+E10</f>
        <v>0</v>
      </c>
      <c r="F6" s="687">
        <f t="shared" si="0"/>
        <v>0</v>
      </c>
      <c r="G6" s="690">
        <f t="shared" si="0"/>
        <v>0</v>
      </c>
    </row>
    <row r="7" spans="1:8" ht="15" customHeight="1">
      <c r="A7" s="258">
        <v>1.1000000000000001</v>
      </c>
      <c r="B7" s="259" t="s">
        <v>436</v>
      </c>
      <c r="C7" s="685">
        <v>368466415.49733502</v>
      </c>
      <c r="D7" s="315"/>
      <c r="E7" s="260"/>
      <c r="F7" s="260"/>
      <c r="G7" s="316"/>
    </row>
    <row r="8" spans="1:8" ht="25.5">
      <c r="A8" s="258" t="s">
        <v>157</v>
      </c>
      <c r="B8" s="261" t="s">
        <v>250</v>
      </c>
      <c r="C8" s="685"/>
      <c r="D8" s="315"/>
      <c r="E8" s="260"/>
      <c r="F8" s="260"/>
      <c r="G8" s="316"/>
    </row>
    <row r="9" spans="1:8" ht="15" customHeight="1">
      <c r="A9" s="258">
        <v>1.2</v>
      </c>
      <c r="B9" s="259" t="s">
        <v>21</v>
      </c>
      <c r="C9" s="685">
        <v>51379268.254999988</v>
      </c>
      <c r="D9" s="315"/>
      <c r="E9" s="260"/>
      <c r="F9" s="260"/>
      <c r="G9" s="316"/>
    </row>
    <row r="10" spans="1:8" ht="15" customHeight="1">
      <c r="A10" s="258">
        <v>1.3</v>
      </c>
      <c r="B10" s="313" t="s">
        <v>74</v>
      </c>
      <c r="C10" s="686"/>
      <c r="D10" s="315"/>
      <c r="E10" s="262"/>
      <c r="F10" s="260"/>
      <c r="G10" s="317"/>
    </row>
    <row r="11" spans="1:8" ht="15" customHeight="1">
      <c r="A11" s="258">
        <v>2</v>
      </c>
      <c r="B11" s="312" t="s">
        <v>113</v>
      </c>
      <c r="C11" s="685">
        <v>2782348.8581453227</v>
      </c>
      <c r="D11" s="315"/>
      <c r="E11" s="260"/>
      <c r="F11" s="260"/>
      <c r="G11" s="316"/>
    </row>
    <row r="12" spans="1:8" ht="15" customHeight="1">
      <c r="A12" s="272">
        <v>3</v>
      </c>
      <c r="B12" s="314" t="s">
        <v>111</v>
      </c>
      <c r="C12" s="686">
        <v>43275000</v>
      </c>
      <c r="D12" s="315"/>
      <c r="E12" s="262"/>
      <c r="F12" s="260"/>
      <c r="G12" s="317"/>
    </row>
    <row r="13" spans="1:8" ht="15" customHeight="1" thickBot="1">
      <c r="A13" s="86">
        <v>4</v>
      </c>
      <c r="B13" s="318" t="s">
        <v>158</v>
      </c>
      <c r="C13" s="691">
        <f>C6+C11+C12</f>
        <v>465903032.61048031</v>
      </c>
      <c r="D13" s="692">
        <f>D6+D11+D12</f>
        <v>0</v>
      </c>
      <c r="E13" s="693">
        <f t="shared" ref="E13:G13" si="1">E6+E11+E12</f>
        <v>0</v>
      </c>
      <c r="F13" s="691">
        <f t="shared" si="1"/>
        <v>0</v>
      </c>
      <c r="G13" s="694">
        <f t="shared" si="1"/>
        <v>0</v>
      </c>
    </row>
    <row r="14" spans="1:8">
      <c r="B14" s="23"/>
    </row>
    <row r="15" spans="1:8" ht="25.5">
      <c r="B15" s="67" t="s">
        <v>437</v>
      </c>
    </row>
    <row r="16" spans="1:8">
      <c r="B16" s="67"/>
    </row>
    <row r="17" spans="2:2">
      <c r="B17" s="67"/>
    </row>
    <row r="18" spans="2:2">
      <c r="B18" s="6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11" activePane="bottomRight" state="frozen"/>
      <selection pane="topRight" activeCell="B1" sqref="B1"/>
      <selection pane="bottomLeft" activeCell="A4" sqref="A4"/>
      <selection pane="bottomRight" activeCell="B1" sqref="B1:B2"/>
    </sheetView>
  </sheetViews>
  <sheetFormatPr defaultRowHeight="15"/>
  <cols>
    <col min="1" max="1" width="9.5703125" style="2" bestFit="1" customWidth="1"/>
    <col min="2" max="2" width="58.85546875" style="2" customWidth="1"/>
    <col min="3" max="3" width="34.28515625" style="2" customWidth="1"/>
  </cols>
  <sheetData>
    <row r="1" spans="1:8">
      <c r="A1" s="2" t="s">
        <v>108</v>
      </c>
      <c r="B1" s="636" t="str">
        <f>'1. key ratios'!B1</f>
        <v>სს იშბანკი საქართველო</v>
      </c>
    </row>
    <row r="2" spans="1:8">
      <c r="A2" s="2" t="s">
        <v>109</v>
      </c>
      <c r="B2" s="637">
        <f>'1. key ratios'!B2</f>
        <v>45016</v>
      </c>
    </row>
    <row r="4" spans="1:8" ht="25.5" customHeight="1" thickBot="1">
      <c r="A4" s="165" t="s">
        <v>254</v>
      </c>
      <c r="B4" s="31" t="s">
        <v>91</v>
      </c>
      <c r="C4" s="13"/>
    </row>
    <row r="5" spans="1:8" ht="15.75">
      <c r="A5" s="10"/>
      <c r="B5" s="307" t="s">
        <v>92</v>
      </c>
      <c r="C5" s="322" t="s">
        <v>450</v>
      </c>
    </row>
    <row r="6" spans="1:8">
      <c r="A6" s="14">
        <v>1</v>
      </c>
      <c r="B6" s="695" t="s">
        <v>960</v>
      </c>
      <c r="C6" s="696" t="s">
        <v>963</v>
      </c>
    </row>
    <row r="7" spans="1:8">
      <c r="A7" s="14">
        <v>2</v>
      </c>
      <c r="B7" s="695" t="s">
        <v>964</v>
      </c>
      <c r="C7" s="696" t="s">
        <v>965</v>
      </c>
    </row>
    <row r="8" spans="1:8">
      <c r="A8" s="14">
        <v>3</v>
      </c>
      <c r="B8" s="695" t="s">
        <v>966</v>
      </c>
      <c r="C8" s="696" t="s">
        <v>965</v>
      </c>
    </row>
    <row r="9" spans="1:8">
      <c r="A9" s="14">
        <v>4</v>
      </c>
      <c r="B9" s="695" t="s">
        <v>967</v>
      </c>
      <c r="C9" s="696" t="s">
        <v>965</v>
      </c>
    </row>
    <row r="10" spans="1:8">
      <c r="A10" s="14">
        <v>5</v>
      </c>
      <c r="B10" s="695" t="s">
        <v>968</v>
      </c>
      <c r="C10" s="696" t="s">
        <v>969</v>
      </c>
    </row>
    <row r="11" spans="1:8">
      <c r="A11" s="14">
        <v>6</v>
      </c>
      <c r="B11" s="695" t="s">
        <v>970</v>
      </c>
      <c r="C11" s="696" t="s">
        <v>969</v>
      </c>
    </row>
    <row r="12" spans="1:8">
      <c r="A12" s="14">
        <v>7</v>
      </c>
      <c r="B12" s="32"/>
      <c r="C12" s="319"/>
      <c r="H12" s="4"/>
    </row>
    <row r="13" spans="1:8">
      <c r="A13" s="14">
        <v>8</v>
      </c>
      <c r="B13" s="32"/>
      <c r="C13" s="319"/>
    </row>
    <row r="14" spans="1:8">
      <c r="A14" s="14">
        <v>9</v>
      </c>
      <c r="B14" s="32"/>
      <c r="C14" s="319"/>
    </row>
    <row r="15" spans="1:8">
      <c r="A15" s="14">
        <v>10</v>
      </c>
      <c r="B15" s="32"/>
      <c r="C15" s="319"/>
    </row>
    <row r="16" spans="1:8">
      <c r="A16" s="14"/>
      <c r="B16" s="859"/>
      <c r="C16" s="860"/>
    </row>
    <row r="17" spans="1:3" ht="60">
      <c r="A17" s="14"/>
      <c r="B17" s="308" t="s">
        <v>93</v>
      </c>
      <c r="C17" s="323" t="s">
        <v>451</v>
      </c>
    </row>
    <row r="18" spans="1:3" ht="15.75">
      <c r="A18" s="14">
        <v>1</v>
      </c>
      <c r="B18" s="697" t="s">
        <v>961</v>
      </c>
      <c r="C18" s="698" t="s">
        <v>971</v>
      </c>
    </row>
    <row r="19" spans="1:3" ht="15.75">
      <c r="A19" s="14">
        <v>2</v>
      </c>
      <c r="B19" s="697" t="s">
        <v>972</v>
      </c>
      <c r="C19" s="698" t="s">
        <v>973</v>
      </c>
    </row>
    <row r="20" spans="1:3" ht="15.75">
      <c r="A20" s="14">
        <v>3</v>
      </c>
      <c r="B20" s="697" t="s">
        <v>974</v>
      </c>
      <c r="C20" s="698" t="s">
        <v>975</v>
      </c>
    </row>
    <row r="21" spans="1:3" ht="15.75">
      <c r="A21" s="14">
        <v>4</v>
      </c>
      <c r="B21" s="697" t="s">
        <v>976</v>
      </c>
      <c r="C21" s="698" t="s">
        <v>977</v>
      </c>
    </row>
    <row r="22" spans="1:3" ht="15.75">
      <c r="A22" s="14">
        <v>5</v>
      </c>
      <c r="B22" s="27"/>
      <c r="C22" s="320"/>
    </row>
    <row r="23" spans="1:3" ht="15.75">
      <c r="A23" s="14">
        <v>6</v>
      </c>
      <c r="B23" s="27"/>
      <c r="C23" s="320"/>
    </row>
    <row r="24" spans="1:3" ht="15.75">
      <c r="A24" s="14">
        <v>7</v>
      </c>
      <c r="B24" s="27"/>
      <c r="C24" s="320"/>
    </row>
    <row r="25" spans="1:3" ht="15.75">
      <c r="A25" s="14">
        <v>8</v>
      </c>
      <c r="B25" s="27"/>
      <c r="C25" s="320"/>
    </row>
    <row r="26" spans="1:3" ht="15.75">
      <c r="A26" s="14">
        <v>9</v>
      </c>
      <c r="B26" s="27"/>
      <c r="C26" s="320"/>
    </row>
    <row r="27" spans="1:3" ht="15.75" customHeight="1">
      <c r="A27" s="14">
        <v>10</v>
      </c>
      <c r="B27" s="27"/>
      <c r="C27" s="321"/>
    </row>
    <row r="28" spans="1:3" ht="15.75" customHeight="1">
      <c r="A28" s="14"/>
      <c r="B28" s="27"/>
      <c r="C28" s="28"/>
    </row>
    <row r="29" spans="1:3" ht="30" customHeight="1">
      <c r="A29" s="14"/>
      <c r="B29" s="861" t="s">
        <v>94</v>
      </c>
      <c r="C29" s="862"/>
    </row>
    <row r="30" spans="1:3">
      <c r="A30" s="14">
        <v>1</v>
      </c>
      <c r="B30" s="695" t="s">
        <v>978</v>
      </c>
      <c r="C30" s="699">
        <v>1</v>
      </c>
    </row>
    <row r="31" spans="1:3" ht="15.75" customHeight="1">
      <c r="A31" s="14"/>
      <c r="B31" s="32"/>
      <c r="C31" s="33"/>
    </row>
    <row r="32" spans="1:3" ht="29.25" customHeight="1">
      <c r="A32" s="14"/>
      <c r="B32" s="861" t="s">
        <v>174</v>
      </c>
      <c r="C32" s="862"/>
    </row>
    <row r="33" spans="1:3">
      <c r="A33" s="14">
        <v>1</v>
      </c>
      <c r="B33" s="695" t="s">
        <v>979</v>
      </c>
      <c r="C33" s="700">
        <v>0.38200000000000001</v>
      </c>
    </row>
    <row r="34" spans="1:3" ht="16.5" thickBot="1">
      <c r="A34" s="15"/>
      <c r="B34" s="34" t="s">
        <v>980</v>
      </c>
      <c r="C34" s="701">
        <v>0.28089999999999998</v>
      </c>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3"/>
  <sheetViews>
    <sheetView showGridLines="0" zoomScaleNormal="100" workbookViewId="0">
      <pane xSplit="1" ySplit="5" topLeftCell="B15" activePane="bottomRight" state="frozen"/>
      <selection activeCell="H6" sqref="H6"/>
      <selection pane="topRight" activeCell="H6" sqref="H6"/>
      <selection pane="bottomLeft" activeCell="H6" sqref="H6"/>
      <selection pane="bottomRight" activeCell="C9" sqref="C9"/>
    </sheetView>
  </sheetViews>
  <sheetFormatPr defaultRowHeight="15"/>
  <cols>
    <col min="1" max="1" width="9.5703125" style="2" bestFit="1" customWidth="1"/>
    <col min="2" max="2" width="47.5703125" style="2" customWidth="1"/>
    <col min="3" max="3" width="28" style="2" customWidth="1"/>
    <col min="4" max="4" width="25.5703125" style="2" customWidth="1"/>
    <col min="5" max="5" width="18.85546875" style="2" customWidth="1"/>
    <col min="6" max="6" width="12" bestFit="1" customWidth="1"/>
    <col min="7" max="7" width="12.5703125" bestFit="1" customWidth="1"/>
  </cols>
  <sheetData>
    <row r="1" spans="1:7" ht="15.75">
      <c r="A1" s="17" t="s">
        <v>108</v>
      </c>
      <c r="B1" s="636" t="str">
        <f>'1. key ratios'!B1</f>
        <v>სს იშბანკი საქართველო</v>
      </c>
    </row>
    <row r="2" spans="1:7" s="21" customFormat="1" ht="15.75" customHeight="1">
      <c r="A2" s="21" t="s">
        <v>109</v>
      </c>
      <c r="B2" s="637">
        <f>'1. key ratios'!B2</f>
        <v>45016</v>
      </c>
    </row>
    <row r="3" spans="1:7" s="21" customFormat="1" ht="15.75" customHeight="1"/>
    <row r="4" spans="1:7" s="21" customFormat="1" ht="15.75" customHeight="1" thickBot="1">
      <c r="A4" s="166" t="s">
        <v>255</v>
      </c>
      <c r="B4" s="167" t="s">
        <v>168</v>
      </c>
      <c r="C4" s="131"/>
      <c r="D4" s="131"/>
      <c r="E4" s="132" t="s">
        <v>87</v>
      </c>
    </row>
    <row r="5" spans="1:7" s="82" customFormat="1" ht="17.45" customHeight="1">
      <c r="A5" s="234"/>
      <c r="B5" s="235"/>
      <c r="C5" s="130" t="s">
        <v>0</v>
      </c>
      <c r="D5" s="130" t="s">
        <v>1</v>
      </c>
      <c r="E5" s="236" t="s">
        <v>2</v>
      </c>
    </row>
    <row r="6" spans="1:7" s="98" customFormat="1" ht="14.45" customHeight="1">
      <c r="A6" s="237"/>
      <c r="B6" s="863" t="s">
        <v>144</v>
      </c>
      <c r="C6" s="863" t="s">
        <v>856</v>
      </c>
      <c r="D6" s="864" t="s">
        <v>143</v>
      </c>
      <c r="E6" s="865"/>
      <c r="G6"/>
    </row>
    <row r="7" spans="1:7" s="98" customFormat="1" ht="99.6" customHeight="1">
      <c r="A7" s="237"/>
      <c r="B7" s="863"/>
      <c r="C7" s="863"/>
      <c r="D7" s="232" t="s">
        <v>142</v>
      </c>
      <c r="E7" s="233" t="s">
        <v>353</v>
      </c>
      <c r="G7"/>
    </row>
    <row r="8" spans="1:7" s="98" customFormat="1" ht="22.5" customHeight="1">
      <c r="A8" s="469">
        <v>1</v>
      </c>
      <c r="B8" s="410" t="s">
        <v>843</v>
      </c>
      <c r="C8" s="702">
        <f>SUM(C9:C11)</f>
        <v>119414026.2415123</v>
      </c>
      <c r="D8" s="703">
        <f>SUM(D9:D11)</f>
        <v>0</v>
      </c>
      <c r="E8" s="704">
        <f>SUM(E9:E11)</f>
        <v>119414026.2415123</v>
      </c>
      <c r="G8"/>
    </row>
    <row r="9" spans="1:7" s="98" customFormat="1">
      <c r="A9" s="469">
        <v>1.1000000000000001</v>
      </c>
      <c r="B9" s="411" t="s">
        <v>96</v>
      </c>
      <c r="C9" s="703">
        <f>'2. SOFP'!E8</f>
        <v>2880754.8200000003</v>
      </c>
      <c r="D9" s="703"/>
      <c r="E9" s="705">
        <f t="shared" ref="E9:E15" si="0">C9-D9</f>
        <v>2880754.8200000003</v>
      </c>
      <c r="G9"/>
    </row>
    <row r="10" spans="1:7" s="98" customFormat="1">
      <c r="A10" s="469">
        <v>1.2</v>
      </c>
      <c r="B10" s="411" t="s">
        <v>97</v>
      </c>
      <c r="C10" s="703">
        <f>'2. SOFP'!E9</f>
        <v>42788938.292609908</v>
      </c>
      <c r="D10" s="703"/>
      <c r="E10" s="705">
        <f t="shared" si="0"/>
        <v>42788938.292609908</v>
      </c>
      <c r="G10"/>
    </row>
    <row r="11" spans="1:7" s="98" customFormat="1">
      <c r="A11" s="469">
        <v>1.3</v>
      </c>
      <c r="B11" s="411" t="s">
        <v>98</v>
      </c>
      <c r="C11" s="703">
        <f>'2. SOFP'!E10</f>
        <v>73744333.128902391</v>
      </c>
      <c r="D11" s="703"/>
      <c r="E11" s="705">
        <f t="shared" si="0"/>
        <v>73744333.128902391</v>
      </c>
      <c r="G11"/>
    </row>
    <row r="12" spans="1:7" s="98" customFormat="1">
      <c r="A12" s="469">
        <v>2</v>
      </c>
      <c r="B12" s="412" t="s">
        <v>730</v>
      </c>
      <c r="C12" s="702">
        <f>'2. SOFP'!E11</f>
        <v>0</v>
      </c>
      <c r="D12" s="703"/>
      <c r="E12" s="705">
        <f t="shared" si="0"/>
        <v>0</v>
      </c>
      <c r="G12"/>
    </row>
    <row r="13" spans="1:7" s="98" customFormat="1" ht="21">
      <c r="A13" s="469">
        <v>2.1</v>
      </c>
      <c r="B13" s="413" t="s">
        <v>731</v>
      </c>
      <c r="C13" s="703">
        <f>'2. SOFP'!E12</f>
        <v>0</v>
      </c>
      <c r="D13" s="703"/>
      <c r="E13" s="705">
        <f t="shared" si="0"/>
        <v>0</v>
      </c>
      <c r="G13"/>
    </row>
    <row r="14" spans="1:7" s="98" customFormat="1" ht="33.950000000000003" customHeight="1">
      <c r="A14" s="469">
        <v>3</v>
      </c>
      <c r="B14" s="414" t="s">
        <v>732</v>
      </c>
      <c r="C14" s="702">
        <f>'2. SOFP'!E13</f>
        <v>0</v>
      </c>
      <c r="D14" s="703"/>
      <c r="E14" s="705">
        <f t="shared" si="0"/>
        <v>0</v>
      </c>
      <c r="G14"/>
    </row>
    <row r="15" spans="1:7" s="98" customFormat="1" ht="32.450000000000003" customHeight="1">
      <c r="A15" s="469">
        <v>4</v>
      </c>
      <c r="B15" s="415" t="s">
        <v>733</v>
      </c>
      <c r="C15" s="702">
        <f>'2. SOFP'!E14</f>
        <v>0</v>
      </c>
      <c r="D15" s="703"/>
      <c r="E15" s="705">
        <f t="shared" si="0"/>
        <v>0</v>
      </c>
      <c r="G15"/>
    </row>
    <row r="16" spans="1:7" s="98" customFormat="1" ht="23.1" customHeight="1">
      <c r="A16" s="469">
        <v>5</v>
      </c>
      <c r="B16" s="415" t="s">
        <v>734</v>
      </c>
      <c r="C16" s="702">
        <f>SUM(C17:C19)</f>
        <v>1422190.4432785469</v>
      </c>
      <c r="D16" s="703">
        <f>SUM(D17:D19)</f>
        <v>0</v>
      </c>
      <c r="E16" s="704">
        <f>SUM(E17:E19)</f>
        <v>1422190.4432785469</v>
      </c>
      <c r="G16"/>
    </row>
    <row r="17" spans="1:7" s="98" customFormat="1">
      <c r="A17" s="469">
        <v>5.0999999999999996</v>
      </c>
      <c r="B17" s="416" t="s">
        <v>735</v>
      </c>
      <c r="C17" s="703">
        <f>'2. SOFP'!E16</f>
        <v>0</v>
      </c>
      <c r="D17" s="703"/>
      <c r="E17" s="705">
        <f>C17-D17</f>
        <v>0</v>
      </c>
      <c r="G17"/>
    </row>
    <row r="18" spans="1:7" s="98" customFormat="1">
      <c r="A18" s="469">
        <v>5.2</v>
      </c>
      <c r="B18" s="416" t="s">
        <v>569</v>
      </c>
      <c r="C18" s="703">
        <f>'2. SOFP'!E17</f>
        <v>1422190.4432785469</v>
      </c>
      <c r="D18" s="703"/>
      <c r="E18" s="705">
        <f>C18-D18</f>
        <v>1422190.4432785469</v>
      </c>
      <c r="G18"/>
    </row>
    <row r="19" spans="1:7" s="98" customFormat="1">
      <c r="A19" s="469">
        <v>5.3</v>
      </c>
      <c r="B19" s="416" t="s">
        <v>736</v>
      </c>
      <c r="C19" s="703">
        <f>'2. SOFP'!E18</f>
        <v>0</v>
      </c>
      <c r="D19" s="703"/>
      <c r="E19" s="705">
        <f>C19-D19</f>
        <v>0</v>
      </c>
      <c r="G19"/>
    </row>
    <row r="20" spans="1:7" s="98" customFormat="1" ht="21">
      <c r="A20" s="469">
        <v>6</v>
      </c>
      <c r="B20" s="414" t="s">
        <v>737</v>
      </c>
      <c r="C20" s="702">
        <f>SUM(C21:C22)</f>
        <v>300605841.32773679</v>
      </c>
      <c r="D20" s="703">
        <f>SUM(D21:D22)</f>
        <v>0</v>
      </c>
      <c r="E20" s="704">
        <f>SUM(E21:E22)</f>
        <v>300605841.32773679</v>
      </c>
      <c r="G20"/>
    </row>
    <row r="21" spans="1:7">
      <c r="A21" s="469">
        <v>6.1</v>
      </c>
      <c r="B21" s="416" t="s">
        <v>569</v>
      </c>
      <c r="C21" s="703">
        <f>'2. SOFP'!E20</f>
        <v>0</v>
      </c>
      <c r="D21" s="703"/>
      <c r="E21" s="705">
        <f>C21-D21</f>
        <v>0</v>
      </c>
    </row>
    <row r="22" spans="1:7">
      <c r="A22" s="469">
        <v>6.2</v>
      </c>
      <c r="B22" s="416" t="s">
        <v>736</v>
      </c>
      <c r="C22" s="703">
        <f>'2. SOFP'!E21</f>
        <v>300605841.32773679</v>
      </c>
      <c r="D22" s="703"/>
      <c r="E22" s="705">
        <f>C22-D22</f>
        <v>300605841.32773679</v>
      </c>
    </row>
    <row r="23" spans="1:7" ht="21">
      <c r="A23" s="469">
        <v>7</v>
      </c>
      <c r="B23" s="417" t="s">
        <v>738</v>
      </c>
      <c r="C23" s="702">
        <f>'2. SOFP'!E22</f>
        <v>0</v>
      </c>
      <c r="D23" s="703"/>
      <c r="E23" s="705">
        <f>C23-D23</f>
        <v>0</v>
      </c>
    </row>
    <row r="24" spans="1:7" ht="21">
      <c r="A24" s="469">
        <v>8</v>
      </c>
      <c r="B24" s="418" t="s">
        <v>739</v>
      </c>
      <c r="C24" s="702">
        <f>'2. SOFP'!E23</f>
        <v>0</v>
      </c>
      <c r="D24" s="703"/>
      <c r="E24" s="705">
        <f>C24-D24</f>
        <v>0</v>
      </c>
    </row>
    <row r="25" spans="1:7">
      <c r="A25" s="469">
        <v>9</v>
      </c>
      <c r="B25" s="415" t="s">
        <v>740</v>
      </c>
      <c r="C25" s="702">
        <f>SUM(C26:C27)</f>
        <v>6433233.8899999978</v>
      </c>
      <c r="D25" s="703">
        <f>SUM(D26:D27)</f>
        <v>0</v>
      </c>
      <c r="E25" s="704">
        <f>SUM(E26:E27)</f>
        <v>6433233.8899999978</v>
      </c>
    </row>
    <row r="26" spans="1:7">
      <c r="A26" s="469">
        <v>9.1</v>
      </c>
      <c r="B26" s="419" t="s">
        <v>741</v>
      </c>
      <c r="C26" s="703">
        <f>'2. SOFP'!E25</f>
        <v>6433233.8899999978</v>
      </c>
      <c r="D26" s="703"/>
      <c r="E26" s="705">
        <f>C26-D26</f>
        <v>6433233.8899999978</v>
      </c>
    </row>
    <row r="27" spans="1:7">
      <c r="A27" s="469">
        <v>9.1999999999999993</v>
      </c>
      <c r="B27" s="419" t="s">
        <v>742</v>
      </c>
      <c r="C27" s="703">
        <f>'2. SOFP'!E26</f>
        <v>0</v>
      </c>
      <c r="D27" s="703"/>
      <c r="E27" s="705">
        <f>C27-D27</f>
        <v>0</v>
      </c>
    </row>
    <row r="28" spans="1:7">
      <c r="A28" s="469">
        <v>10</v>
      </c>
      <c r="B28" s="415" t="s">
        <v>36</v>
      </c>
      <c r="C28" s="702">
        <f>SUM(C29:C30)</f>
        <v>200414.37000000002</v>
      </c>
      <c r="D28" s="702">
        <f>SUM(D29:D30)</f>
        <v>200414.37000000002</v>
      </c>
      <c r="E28" s="704">
        <f>SUM(E29:E30)</f>
        <v>0</v>
      </c>
    </row>
    <row r="29" spans="1:7">
      <c r="A29" s="469">
        <v>10.1</v>
      </c>
      <c r="B29" s="419" t="s">
        <v>743</v>
      </c>
      <c r="C29" s="703">
        <f>'2. SOFP'!E28</f>
        <v>0</v>
      </c>
      <c r="D29" s="703">
        <f>C29</f>
        <v>0</v>
      </c>
      <c r="E29" s="705">
        <f>C29-D29</f>
        <v>0</v>
      </c>
    </row>
    <row r="30" spans="1:7">
      <c r="A30" s="469">
        <v>10.199999999999999</v>
      </c>
      <c r="B30" s="419" t="s">
        <v>744</v>
      </c>
      <c r="C30" s="703">
        <f>'2. SOFP'!E29</f>
        <v>200414.37000000002</v>
      </c>
      <c r="D30" s="703">
        <f>C30</f>
        <v>200414.37000000002</v>
      </c>
      <c r="E30" s="705">
        <f>C30-D30</f>
        <v>0</v>
      </c>
    </row>
    <row r="31" spans="1:7">
      <c r="A31" s="469">
        <v>11</v>
      </c>
      <c r="B31" s="415" t="s">
        <v>745</v>
      </c>
      <c r="C31" s="702">
        <f>SUM(C32:C33)</f>
        <v>1748352</v>
      </c>
      <c r="D31" s="703">
        <f>SUM(D32:D33)</f>
        <v>0</v>
      </c>
      <c r="E31" s="704">
        <f>SUM(E32:E33)</f>
        <v>1748352</v>
      </c>
    </row>
    <row r="32" spans="1:7">
      <c r="A32" s="469">
        <v>11.1</v>
      </c>
      <c r="B32" s="419" t="s">
        <v>746</v>
      </c>
      <c r="C32" s="703">
        <f>'2. SOFP'!E31</f>
        <v>1748352</v>
      </c>
      <c r="D32" s="703"/>
      <c r="E32" s="705">
        <f>C32-D32</f>
        <v>1748352</v>
      </c>
    </row>
    <row r="33" spans="1:7">
      <c r="A33" s="469">
        <v>11.2</v>
      </c>
      <c r="B33" s="419" t="s">
        <v>747</v>
      </c>
      <c r="C33" s="703">
        <f>'2. SOFP'!E32</f>
        <v>0</v>
      </c>
      <c r="D33" s="703"/>
      <c r="E33" s="705">
        <f>C33-D33</f>
        <v>0</v>
      </c>
    </row>
    <row r="34" spans="1:7">
      <c r="A34" s="469">
        <v>13</v>
      </c>
      <c r="B34" s="415" t="s">
        <v>99</v>
      </c>
      <c r="C34" s="703">
        <f>'2. SOFP'!E33</f>
        <v>3296362.7706485195</v>
      </c>
      <c r="D34" s="703"/>
      <c r="E34" s="705">
        <f>C34-D34</f>
        <v>3296362.7706485195</v>
      </c>
    </row>
    <row r="35" spans="1:7">
      <c r="A35" s="469">
        <v>13.1</v>
      </c>
      <c r="B35" s="420" t="s">
        <v>748</v>
      </c>
      <c r="C35" s="703">
        <f>'2. SOFP'!E34</f>
        <v>1349093.18</v>
      </c>
      <c r="D35" s="703"/>
      <c r="E35" s="705">
        <f>C35-D35</f>
        <v>1349093.18</v>
      </c>
    </row>
    <row r="36" spans="1:7">
      <c r="A36" s="469">
        <v>13.2</v>
      </c>
      <c r="B36" s="420" t="s">
        <v>749</v>
      </c>
      <c r="C36" s="703">
        <f>'2. SOFP'!E35</f>
        <v>0</v>
      </c>
      <c r="D36" s="703"/>
      <c r="E36" s="705">
        <f>C36-D36</f>
        <v>0</v>
      </c>
    </row>
    <row r="37" spans="1:7" ht="39" thickBot="1">
      <c r="A37" s="238"/>
      <c r="B37" s="239" t="s">
        <v>320</v>
      </c>
      <c r="C37" s="706">
        <f>SUM(C8,C12,C14,C15,C16,C20,C23,C24,C25,C28,C31,C34)</f>
        <v>433120421.04317617</v>
      </c>
      <c r="D37" s="706">
        <f>SUM(D8,D12,D14,D15,D16,D20,D23,D24,D25,D28,D31,D34)</f>
        <v>200414.37000000002</v>
      </c>
      <c r="E37" s="707">
        <f>SUM(E8,E12,E14,E15,E16,E20,E23,E24,E25,E28,E31,E34)</f>
        <v>432920006.67317617</v>
      </c>
    </row>
    <row r="38" spans="1:7">
      <c r="A38"/>
      <c r="B38"/>
      <c r="C38"/>
      <c r="D38"/>
      <c r="E38"/>
    </row>
    <row r="39" spans="1:7">
      <c r="A39"/>
      <c r="B39"/>
      <c r="C39"/>
      <c r="D39"/>
      <c r="E39"/>
    </row>
    <row r="41" spans="1:7" s="2" customFormat="1">
      <c r="B41" s="36"/>
      <c r="F41"/>
      <c r="G41"/>
    </row>
    <row r="42" spans="1:7" s="2" customFormat="1">
      <c r="B42" s="37"/>
      <c r="F42"/>
      <c r="G42"/>
    </row>
    <row r="43" spans="1:7" s="2" customFormat="1">
      <c r="B43" s="36"/>
      <c r="F43"/>
      <c r="G43"/>
    </row>
    <row r="44" spans="1:7" s="2" customFormat="1">
      <c r="B44" s="36"/>
      <c r="F44"/>
      <c r="G44"/>
    </row>
    <row r="45" spans="1:7" s="2" customFormat="1">
      <c r="B45" s="36"/>
      <c r="F45"/>
      <c r="G45"/>
    </row>
    <row r="46" spans="1:7" s="2" customFormat="1">
      <c r="B46" s="36"/>
      <c r="F46"/>
      <c r="G46"/>
    </row>
    <row r="47" spans="1:7" s="2" customFormat="1">
      <c r="B47" s="36"/>
      <c r="F47"/>
      <c r="G47"/>
    </row>
    <row r="48" spans="1:7" s="2" customFormat="1">
      <c r="B48" s="37"/>
      <c r="F48"/>
      <c r="G48"/>
    </row>
    <row r="49" spans="2:7" s="2" customFormat="1">
      <c r="B49" s="37"/>
      <c r="F49"/>
      <c r="G49"/>
    </row>
    <row r="50" spans="2:7" s="2" customFormat="1">
      <c r="B50" s="37"/>
      <c r="F50"/>
      <c r="G50"/>
    </row>
    <row r="51" spans="2:7" s="2" customFormat="1">
      <c r="B51" s="37"/>
      <c r="F51"/>
      <c r="G51"/>
    </row>
    <row r="52" spans="2:7" s="2" customFormat="1">
      <c r="B52" s="37"/>
      <c r="F52"/>
      <c r="G52"/>
    </row>
    <row r="53" spans="2:7" s="2" customFormat="1">
      <c r="B53" s="37"/>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showGridLines="0" zoomScaleNormal="100" workbookViewId="0">
      <pane xSplit="1" ySplit="4" topLeftCell="B5" activePane="bottomRight" state="frozen"/>
      <selection activeCell="H6" sqref="H6"/>
      <selection pane="topRight" activeCell="H6" sqref="H6"/>
      <selection pane="bottomLeft" activeCell="H6" sqref="H6"/>
      <selection pane="bottomRight" activeCell="B1" sqref="B1:B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108</v>
      </c>
      <c r="B1" s="636" t="str">
        <f>'1. key ratios'!B1</f>
        <v>სს იშბანკი საქართველო</v>
      </c>
    </row>
    <row r="2" spans="1:6" s="21" customFormat="1" ht="15.75" customHeight="1">
      <c r="A2" s="21" t="s">
        <v>109</v>
      </c>
      <c r="B2" s="637">
        <f>'1. key ratios'!B2</f>
        <v>45016</v>
      </c>
      <c r="C2"/>
      <c r="D2"/>
      <c r="E2"/>
      <c r="F2"/>
    </row>
    <row r="3" spans="1:6" s="21" customFormat="1" ht="15.75" customHeight="1">
      <c r="C3"/>
      <c r="D3"/>
      <c r="E3"/>
      <c r="F3"/>
    </row>
    <row r="4" spans="1:6" s="21" customFormat="1" ht="26.25" thickBot="1">
      <c r="A4" s="21" t="s">
        <v>256</v>
      </c>
      <c r="B4" s="138" t="s">
        <v>171</v>
      </c>
      <c r="C4" s="132" t="s">
        <v>87</v>
      </c>
      <c r="D4"/>
      <c r="E4"/>
      <c r="F4"/>
    </row>
    <row r="5" spans="1:6">
      <c r="A5" s="133">
        <v>1</v>
      </c>
      <c r="B5" s="134" t="s">
        <v>727</v>
      </c>
      <c r="C5" s="708">
        <f>'7. LI1'!E37</f>
        <v>432920006.67317617</v>
      </c>
    </row>
    <row r="6" spans="1:6" s="123" customFormat="1">
      <c r="A6" s="81">
        <v>2.1</v>
      </c>
      <c r="B6" s="140" t="s">
        <v>861</v>
      </c>
      <c r="C6" s="173">
        <f>'4. Off-balance'!E27+'4. Off-balance'!E28+'4. Off-balance'!E29</f>
        <v>101654378.41000001</v>
      </c>
    </row>
    <row r="7" spans="1:6" s="4" customFormat="1" ht="25.5" outlineLevel="1">
      <c r="A7" s="139">
        <v>2.2000000000000002</v>
      </c>
      <c r="B7" s="135" t="s">
        <v>862</v>
      </c>
      <c r="C7" s="174"/>
    </row>
    <row r="8" spans="1:6" s="4" customFormat="1" ht="26.25">
      <c r="A8" s="139">
        <v>3</v>
      </c>
      <c r="B8" s="136" t="s">
        <v>728</v>
      </c>
      <c r="C8" s="709">
        <f>SUM(C5:C7)</f>
        <v>534574385.0831762</v>
      </c>
    </row>
    <row r="9" spans="1:6" s="123" customFormat="1">
      <c r="A9" s="81">
        <v>4</v>
      </c>
      <c r="B9" s="143" t="s">
        <v>169</v>
      </c>
      <c r="C9" s="173"/>
    </row>
    <row r="10" spans="1:6" s="4" customFormat="1" ht="25.5" outlineLevel="1">
      <c r="A10" s="139">
        <v>5.0999999999999996</v>
      </c>
      <c r="B10" s="135" t="s">
        <v>175</v>
      </c>
      <c r="C10" s="711">
        <v>-43751380</v>
      </c>
    </row>
    <row r="11" spans="1:6" s="4" customFormat="1" ht="25.5" outlineLevel="1">
      <c r="A11" s="139">
        <v>5.2</v>
      </c>
      <c r="B11" s="135" t="s">
        <v>176</v>
      </c>
      <c r="C11" s="174"/>
    </row>
    <row r="12" spans="1:6" s="4" customFormat="1">
      <c r="A12" s="139">
        <v>6</v>
      </c>
      <c r="B12" s="141" t="s">
        <v>438</v>
      </c>
      <c r="C12" s="240"/>
    </row>
    <row r="13" spans="1:6" s="4" customFormat="1" ht="15.75" thickBot="1">
      <c r="A13" s="142">
        <v>7</v>
      </c>
      <c r="B13" s="137" t="s">
        <v>170</v>
      </c>
      <c r="C13" s="710">
        <f>SUM(C8:C12)</f>
        <v>490823005.0831762</v>
      </c>
    </row>
    <row r="15" spans="1:6" ht="26.25">
      <c r="B15" s="23" t="s">
        <v>439</v>
      </c>
    </row>
    <row r="17" spans="2:9" s="2" customFormat="1">
      <c r="B17" s="38"/>
      <c r="C17"/>
      <c r="D17"/>
      <c r="E17"/>
      <c r="F17"/>
      <c r="G17"/>
      <c r="H17"/>
      <c r="I17"/>
    </row>
    <row r="18" spans="2:9" s="2" customFormat="1">
      <c r="B18" s="35"/>
      <c r="C18"/>
      <c r="D18"/>
      <c r="E18"/>
      <c r="F18"/>
      <c r="G18"/>
      <c r="H18"/>
      <c r="I18"/>
    </row>
    <row r="19" spans="2:9" s="2" customFormat="1">
      <c r="B19" s="35"/>
      <c r="C19"/>
      <c r="D19"/>
      <c r="E19"/>
      <c r="F19"/>
      <c r="G19"/>
      <c r="H19"/>
      <c r="I19"/>
    </row>
    <row r="20" spans="2:9" s="2" customFormat="1">
      <c r="B20" s="37"/>
      <c r="C20"/>
      <c r="D20"/>
      <c r="E20"/>
      <c r="F20"/>
      <c r="G20"/>
      <c r="H20"/>
      <c r="I20"/>
    </row>
    <row r="21" spans="2:9" s="2" customFormat="1">
      <c r="B21" s="36"/>
      <c r="C21"/>
      <c r="D21"/>
      <c r="E21"/>
      <c r="F21"/>
      <c r="G21"/>
      <c r="H21"/>
      <c r="I21"/>
    </row>
    <row r="22" spans="2:9" s="2" customFormat="1">
      <c r="B22" s="37"/>
      <c r="C22"/>
      <c r="D22"/>
      <c r="E22"/>
      <c r="F22"/>
      <c r="G22"/>
      <c r="H22"/>
      <c r="I22"/>
    </row>
    <row r="23" spans="2:9" s="2" customFormat="1">
      <c r="B23" s="36"/>
      <c r="C23"/>
      <c r="D23"/>
      <c r="E23"/>
      <c r="F23"/>
      <c r="G23"/>
      <c r="H23"/>
      <c r="I23"/>
    </row>
    <row r="24" spans="2:9" s="2" customFormat="1">
      <c r="B24" s="36"/>
      <c r="C24"/>
      <c r="D24"/>
      <c r="E24"/>
      <c r="F24"/>
      <c r="G24"/>
      <c r="H24"/>
      <c r="I24"/>
    </row>
    <row r="25" spans="2:9" s="2" customFormat="1">
      <c r="B25" s="36"/>
      <c r="C25"/>
      <c r="D25"/>
      <c r="E25"/>
      <c r="F25"/>
      <c r="G25"/>
      <c r="H25"/>
      <c r="I25"/>
    </row>
    <row r="26" spans="2:9" s="2" customFormat="1">
      <c r="B26" s="36"/>
      <c r="C26"/>
      <c r="D26"/>
      <c r="E26"/>
      <c r="F26"/>
      <c r="G26"/>
      <c r="H26"/>
      <c r="I26"/>
    </row>
    <row r="27" spans="2:9" s="2" customFormat="1">
      <c r="B27" s="36"/>
      <c r="C27"/>
      <c r="D27"/>
      <c r="E27"/>
      <c r="F27"/>
      <c r="G27"/>
      <c r="H27"/>
      <c r="I27"/>
    </row>
    <row r="28" spans="2:9" s="2" customFormat="1">
      <c r="B28" s="37"/>
      <c r="C28"/>
      <c r="D28"/>
      <c r="E28"/>
      <c r="F28"/>
      <c r="G28"/>
      <c r="H28"/>
      <c r="I28"/>
    </row>
    <row r="29" spans="2:9" s="2" customFormat="1">
      <c r="B29" s="37"/>
      <c r="C29"/>
      <c r="D29"/>
      <c r="E29"/>
      <c r="F29"/>
      <c r="G29"/>
      <c r="H29"/>
      <c r="I29"/>
    </row>
    <row r="30" spans="2:9" s="2" customFormat="1">
      <c r="B30" s="37"/>
      <c r="C30"/>
      <c r="D30"/>
      <c r="E30"/>
      <c r="F30"/>
      <c r="G30"/>
      <c r="H30"/>
      <c r="I30"/>
    </row>
    <row r="31" spans="2:9" s="2" customFormat="1">
      <c r="B31" s="37"/>
      <c r="C31"/>
      <c r="D31"/>
      <c r="E31"/>
      <c r="F31"/>
      <c r="G31"/>
      <c r="H31"/>
      <c r="I31"/>
    </row>
    <row r="32" spans="2:9" s="2" customFormat="1">
      <c r="B32" s="37"/>
      <c r="C32"/>
      <c r="D32"/>
      <c r="E32"/>
      <c r="F32"/>
      <c r="G32"/>
      <c r="H32"/>
      <c r="I32"/>
    </row>
    <row r="33" spans="2:9" s="2" customFormat="1">
      <c r="B33" s="37"/>
      <c r="C33"/>
      <c r="D33"/>
      <c r="E33"/>
      <c r="F33"/>
      <c r="G33"/>
      <c r="H33"/>
      <c r="I33"/>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2024-02-14T19:43:39Z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